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5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11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14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17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20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23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26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29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32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35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38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41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drawings/drawing44.xml" ContentType="application/vnd.openxmlformats-officedocument.drawing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47.xml" ContentType="application/vnd.openxmlformats-officedocument.drawing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drawings/drawing50.xml" ContentType="application/vnd.openxmlformats-officedocument.drawing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drawings/drawing53.xml" ContentType="application/vnd.openxmlformats-officedocument.drawing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drawings/drawing56.xml" ContentType="application/vnd.openxmlformats-officedocument.drawing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59.xml" ContentType="application/vnd.openxmlformats-officedocument.drawing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drawings/drawing62.xml" ContentType="application/vnd.openxmlformats-officedocument.drawing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drawings/drawing65.xml" ContentType="application/vnd.openxmlformats-officedocument.drawing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68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drawings/drawing71.xml" ContentType="application/vnd.openxmlformats-officedocument.drawing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drawings/drawing74.xml" ContentType="application/vnd.openxmlformats-officedocument.drawing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drawings/drawing77.xml" ContentType="application/vnd.openxmlformats-officedocument.drawing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drawings/drawing80.xml" ContentType="application/vnd.openxmlformats-officedocument.drawing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drawings/drawing83.xml" ContentType="application/vnd.openxmlformats-officedocument.drawing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drawings/drawing8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0" windowWidth="15600" windowHeight="11700" tabRatio="750" activeTab="2"/>
  </bookViews>
  <sheets>
    <sheet name="12m" sheetId="1" r:id="rId1"/>
    <sheet name="data" sheetId="3" r:id="rId2"/>
    <sheet name="ภาพรวม" sheetId="2" r:id="rId3"/>
    <sheet name="00_g" sheetId="31" r:id="rId4"/>
    <sheet name="11" sheetId="4" r:id="rId5"/>
    <sheet name="11_g" sheetId="32" r:id="rId6"/>
    <sheet name="12" sheetId="5" r:id="rId7"/>
    <sheet name="12_g" sheetId="33" r:id="rId8"/>
    <sheet name="13" sheetId="6" r:id="rId9"/>
    <sheet name="13_g" sheetId="34" r:id="rId10"/>
    <sheet name="14" sheetId="7" r:id="rId11"/>
    <sheet name="14_g" sheetId="35" r:id="rId12"/>
    <sheet name="15" sheetId="8" r:id="rId13"/>
    <sheet name="15_g" sheetId="36" r:id="rId14"/>
    <sheet name="16" sheetId="9" r:id="rId15"/>
    <sheet name="16_g" sheetId="37" r:id="rId16"/>
    <sheet name="17" sheetId="10" r:id="rId17"/>
    <sheet name="17_g" sheetId="38" r:id="rId18"/>
    <sheet name="18" sheetId="11" r:id="rId19"/>
    <sheet name="18_g" sheetId="39" r:id="rId20"/>
    <sheet name="19" sheetId="12" r:id="rId21"/>
    <sheet name="19_g" sheetId="40" r:id="rId22"/>
    <sheet name="20" sheetId="13" r:id="rId23"/>
    <sheet name="20_g" sheetId="41" r:id="rId24"/>
    <sheet name="21" sheetId="14" r:id="rId25"/>
    <sheet name="21_g" sheetId="42" r:id="rId26"/>
    <sheet name="22" sheetId="15" r:id="rId27"/>
    <sheet name="22_g" sheetId="43" r:id="rId28"/>
    <sheet name="23" sheetId="16" r:id="rId29"/>
    <sheet name="23_g" sheetId="44" r:id="rId30"/>
    <sheet name="24" sheetId="17" r:id="rId31"/>
    <sheet name="24_g" sheetId="45" r:id="rId32"/>
    <sheet name="25" sheetId="18" r:id="rId33"/>
    <sheet name="25_g" sheetId="46" r:id="rId34"/>
    <sheet name="26" sheetId="19" r:id="rId35"/>
    <sheet name="26_g" sheetId="47" r:id="rId36"/>
    <sheet name="27" sheetId="20" r:id="rId37"/>
    <sheet name="27_g" sheetId="48" r:id="rId38"/>
    <sheet name="28" sheetId="21" r:id="rId39"/>
    <sheet name="28_g" sheetId="49" r:id="rId40"/>
    <sheet name="29" sheetId="22" r:id="rId41"/>
    <sheet name="29_g" sheetId="50" r:id="rId42"/>
    <sheet name="30" sheetId="23" r:id="rId43"/>
    <sheet name="30_g" sheetId="51" r:id="rId44"/>
    <sheet name="31" sheetId="24" r:id="rId45"/>
    <sheet name="31_g" sheetId="52" r:id="rId46"/>
    <sheet name="32" sheetId="25" r:id="rId47"/>
    <sheet name="32_g" sheetId="53" r:id="rId48"/>
    <sheet name="33" sheetId="26" r:id="rId49"/>
    <sheet name="33_g" sheetId="54" r:id="rId50"/>
    <sheet name="34" sheetId="27" r:id="rId51"/>
    <sheet name="34_g" sheetId="55" r:id="rId52"/>
    <sheet name="35" sheetId="28" r:id="rId53"/>
    <sheet name="35_g" sheetId="56" r:id="rId54"/>
    <sheet name="36" sheetId="29" r:id="rId55"/>
    <sheet name="36_g" sheetId="57" r:id="rId56"/>
    <sheet name="37" sheetId="30" r:id="rId57"/>
    <sheet name="37_g" sheetId="58" r:id="rId58"/>
  </sheets>
  <externalReferences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xlnm.Print_Area" localSheetId="3">'00_g'!$A$1:$BO$88</definedName>
  </definedNames>
  <calcPr calcId="145621"/>
</workbook>
</file>

<file path=xl/calcChain.xml><?xml version="1.0" encoding="utf-8"?>
<calcChain xmlns="http://schemas.openxmlformats.org/spreadsheetml/2006/main">
  <c r="AW66" i="32" l="1"/>
  <c r="AW64" i="56"/>
  <c r="AG64" i="56"/>
  <c r="O64" i="56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A32" i="1"/>
  <c r="AU29" i="1"/>
  <c r="AO29" i="1"/>
  <c r="AI29" i="1"/>
  <c r="AC29" i="1"/>
  <c r="W29" i="1"/>
  <c r="Q29" i="1"/>
  <c r="K29" i="1"/>
  <c r="K63" i="1" s="1"/>
  <c r="AU28" i="1"/>
  <c r="AO28" i="1"/>
  <c r="AI28" i="1"/>
  <c r="AC28" i="1"/>
  <c r="W28" i="1"/>
  <c r="Q28" i="1"/>
  <c r="K28" i="1"/>
  <c r="K62" i="1" s="1"/>
  <c r="AU27" i="1"/>
  <c r="AO27" i="1"/>
  <c r="AI27" i="1"/>
  <c r="AC27" i="1"/>
  <c r="W27" i="1"/>
  <c r="Q27" i="1"/>
  <c r="K27" i="1"/>
  <c r="K61" i="1" s="1"/>
  <c r="AU26" i="1"/>
  <c r="AO26" i="1"/>
  <c r="AI26" i="1"/>
  <c r="AC26" i="1"/>
  <c r="W26" i="1"/>
  <c r="Q26" i="1"/>
  <c r="Q60" i="1" s="1"/>
  <c r="K26" i="1"/>
  <c r="K60" i="1" s="1"/>
  <c r="AU25" i="1"/>
  <c r="AO25" i="1"/>
  <c r="AI25" i="1"/>
  <c r="AC25" i="1"/>
  <c r="W25" i="1"/>
  <c r="Q25" i="1"/>
  <c r="Q59" i="1" s="1"/>
  <c r="K25" i="1"/>
  <c r="K59" i="1" s="1"/>
  <c r="AU24" i="1"/>
  <c r="AO24" i="1"/>
  <c r="AI24" i="1"/>
  <c r="AC24" i="1"/>
  <c r="W24" i="1"/>
  <c r="Q24" i="1"/>
  <c r="Q58" i="1" s="1"/>
  <c r="K24" i="1"/>
  <c r="K58" i="1" s="1"/>
  <c r="E24" i="1"/>
  <c r="E58" i="1" s="1"/>
  <c r="AU23" i="1"/>
  <c r="AO23" i="1"/>
  <c r="AI23" i="1"/>
  <c r="AC23" i="1"/>
  <c r="W23" i="1"/>
  <c r="Q23" i="1"/>
  <c r="Q57" i="1" s="1"/>
  <c r="K23" i="1"/>
  <c r="K57" i="1" s="1"/>
  <c r="AU22" i="1"/>
  <c r="AO22" i="1"/>
  <c r="AI22" i="1"/>
  <c r="AC22" i="1"/>
  <c r="W56" i="1" s="1"/>
  <c r="W22" i="1"/>
  <c r="Q22" i="1"/>
  <c r="Q56" i="1" s="1"/>
  <c r="K22" i="1"/>
  <c r="K56" i="1" s="1"/>
  <c r="AU21" i="1"/>
  <c r="AO21" i="1"/>
  <c r="AI21" i="1"/>
  <c r="AC21" i="1"/>
  <c r="W55" i="1" s="1"/>
  <c r="W21" i="1"/>
  <c r="Q21" i="1"/>
  <c r="Q55" i="1" s="1"/>
  <c r="K21" i="1"/>
  <c r="K55" i="1" s="1"/>
  <c r="AU20" i="1"/>
  <c r="AO20" i="1"/>
  <c r="AI20" i="1"/>
  <c r="AC20" i="1"/>
  <c r="W54" i="1" s="1"/>
  <c r="W20" i="1"/>
  <c r="Q20" i="1"/>
  <c r="Q54" i="1" s="1"/>
  <c r="K20" i="1"/>
  <c r="K54" i="1" s="1"/>
  <c r="AU19" i="1"/>
  <c r="AO19" i="1"/>
  <c r="AI19" i="1"/>
  <c r="AC19" i="1"/>
  <c r="W53" i="1" s="1"/>
  <c r="W19" i="1"/>
  <c r="Q19" i="1"/>
  <c r="K19" i="1"/>
  <c r="K53" i="1" s="1"/>
  <c r="AU18" i="1"/>
  <c r="AO18" i="1"/>
  <c r="AI18" i="1"/>
  <c r="AC18" i="1"/>
  <c r="W52" i="1" s="1"/>
  <c r="W18" i="1"/>
  <c r="Q18" i="1"/>
  <c r="Q52" i="1" s="1"/>
  <c r="K18" i="1"/>
  <c r="K52" i="1" s="1"/>
  <c r="E18" i="1"/>
  <c r="E52" i="1" s="1"/>
  <c r="AU17" i="1"/>
  <c r="AO17" i="1"/>
  <c r="AI17" i="1"/>
  <c r="AC17" i="1"/>
  <c r="W51" i="1" s="1"/>
  <c r="W17" i="1"/>
  <c r="Q17" i="1"/>
  <c r="Q51" i="1" s="1"/>
  <c r="K17" i="1"/>
  <c r="K51" i="1" s="1"/>
  <c r="AU16" i="1"/>
  <c r="AO16" i="1"/>
  <c r="AI16" i="1"/>
  <c r="AC16" i="1"/>
  <c r="W16" i="1"/>
  <c r="Q16" i="1"/>
  <c r="K16" i="1"/>
  <c r="K50" i="1" s="1"/>
  <c r="E16" i="1"/>
  <c r="E50" i="1" s="1"/>
  <c r="AU15" i="1"/>
  <c r="AO15" i="1"/>
  <c r="AI15" i="1"/>
  <c r="AC15" i="1"/>
  <c r="W15" i="1"/>
  <c r="Q15" i="1"/>
  <c r="Q49" i="1" s="1"/>
  <c r="K15" i="1"/>
  <c r="K49" i="1" s="1"/>
  <c r="AU14" i="1"/>
  <c r="AO14" i="1"/>
  <c r="AI14" i="1"/>
  <c r="AC14" i="1"/>
  <c r="W14" i="1"/>
  <c r="Q14" i="1"/>
  <c r="Q48" i="1" s="1"/>
  <c r="K14" i="1"/>
  <c r="K48" i="1" s="1"/>
  <c r="AU13" i="1"/>
  <c r="AO13" i="1"/>
  <c r="AI13" i="1"/>
  <c r="AC13" i="1"/>
  <c r="W13" i="1"/>
  <c r="Q13" i="1"/>
  <c r="Q47" i="1" s="1"/>
  <c r="K13" i="1"/>
  <c r="K47" i="1" s="1"/>
  <c r="AU12" i="1"/>
  <c r="AO12" i="1"/>
  <c r="AI12" i="1"/>
  <c r="AC12" i="1"/>
  <c r="W12" i="1"/>
  <c r="Q12" i="1"/>
  <c r="Q46" i="1" s="1"/>
  <c r="K12" i="1"/>
  <c r="K46" i="1" s="1"/>
  <c r="E12" i="1"/>
  <c r="E46" i="1" s="1"/>
  <c r="AU11" i="1"/>
  <c r="AO11" i="1"/>
  <c r="AI11" i="1"/>
  <c r="AC11" i="1"/>
  <c r="W11" i="1"/>
  <c r="Q11" i="1"/>
  <c r="Q45" i="1" s="1"/>
  <c r="K11" i="1"/>
  <c r="K45" i="1" s="1"/>
  <c r="AU10" i="1"/>
  <c r="AO10" i="1"/>
  <c r="AI10" i="1"/>
  <c r="AC10" i="1"/>
  <c r="W10" i="1"/>
  <c r="Q10" i="1"/>
  <c r="Q44" i="1" s="1"/>
  <c r="K10" i="1"/>
  <c r="K44" i="1" s="1"/>
  <c r="E10" i="1"/>
  <c r="E44" i="1" s="1"/>
  <c r="AU9" i="1"/>
  <c r="AO9" i="1"/>
  <c r="AI9" i="1"/>
  <c r="AC9" i="1"/>
  <c r="W9" i="1"/>
  <c r="Q9" i="1"/>
  <c r="K9" i="1"/>
  <c r="K43" i="1" s="1"/>
  <c r="AU8" i="1"/>
  <c r="AO8" i="1"/>
  <c r="AI8" i="1"/>
  <c r="AC8" i="1"/>
  <c r="W8" i="1"/>
  <c r="Q8" i="1"/>
  <c r="Q42" i="1" s="1"/>
  <c r="K8" i="1"/>
  <c r="K42" i="1" s="1"/>
  <c r="AU7" i="1"/>
  <c r="AO7" i="1"/>
  <c r="AI7" i="1"/>
  <c r="AC7" i="1"/>
  <c r="W7" i="1"/>
  <c r="Q7" i="1"/>
  <c r="Q41" i="1" s="1"/>
  <c r="K7" i="1"/>
  <c r="K41" i="1" s="1"/>
  <c r="AU6" i="1"/>
  <c r="AO6" i="1"/>
  <c r="AI6" i="1"/>
  <c r="AC6" i="1"/>
  <c r="W6" i="1"/>
  <c r="Q6" i="1"/>
  <c r="Q40" i="1" s="1"/>
  <c r="K6" i="1"/>
  <c r="K40" i="1" s="1"/>
  <c r="AU5" i="1"/>
  <c r="AO5" i="1"/>
  <c r="AI5" i="1"/>
  <c r="AC5" i="1"/>
  <c r="W5" i="1"/>
  <c r="Q5" i="1"/>
  <c r="Q39" i="1" s="1"/>
  <c r="K5" i="1"/>
  <c r="K39" i="1" s="1"/>
  <c r="AU4" i="1"/>
  <c r="AO4" i="1"/>
  <c r="AI4" i="1"/>
  <c r="AC4" i="1"/>
  <c r="W4" i="1"/>
  <c r="Q4" i="1"/>
  <c r="Q38" i="1" s="1"/>
  <c r="K4" i="1"/>
  <c r="K38" i="1" s="1"/>
  <c r="E4" i="1"/>
  <c r="E38" i="1" s="1"/>
  <c r="AU3" i="1"/>
  <c r="AU31" i="1" s="1"/>
  <c r="AO3" i="1"/>
  <c r="AO31" i="1" s="1"/>
  <c r="AI3" i="1"/>
  <c r="AI31" i="1" s="1"/>
  <c r="AC3" i="1"/>
  <c r="W3" i="1"/>
  <c r="W31" i="1" s="1"/>
  <c r="Q3" i="1"/>
  <c r="K3" i="1"/>
  <c r="E29" i="1"/>
  <c r="E63" i="1" s="1"/>
  <c r="E28" i="1"/>
  <c r="E62" i="1" s="1"/>
  <c r="E27" i="1"/>
  <c r="E61" i="1" s="1"/>
  <c r="E26" i="1"/>
  <c r="E60" i="1" s="1"/>
  <c r="E25" i="1"/>
  <c r="E59" i="1" s="1"/>
  <c r="E23" i="1"/>
  <c r="E57" i="1" s="1"/>
  <c r="E22" i="1"/>
  <c r="E56" i="1" s="1"/>
  <c r="E21" i="1"/>
  <c r="E55" i="1" s="1"/>
  <c r="E20" i="1"/>
  <c r="E54" i="1" s="1"/>
  <c r="E19" i="1"/>
  <c r="E53" i="1" s="1"/>
  <c r="E17" i="1"/>
  <c r="E51" i="1" s="1"/>
  <c r="E15" i="1"/>
  <c r="E49" i="1" s="1"/>
  <c r="E14" i="1"/>
  <c r="E48" i="1" s="1"/>
  <c r="E13" i="1"/>
  <c r="E47" i="1" s="1"/>
  <c r="E11" i="1"/>
  <c r="E45" i="1" s="1"/>
  <c r="E9" i="1"/>
  <c r="E43" i="1" s="1"/>
  <c r="E8" i="1"/>
  <c r="E42" i="1" s="1"/>
  <c r="E7" i="1"/>
  <c r="E41" i="1" s="1"/>
  <c r="E6" i="1"/>
  <c r="E40" i="1" s="1"/>
  <c r="E5" i="1"/>
  <c r="E39" i="1" s="1"/>
  <c r="E3" i="1"/>
  <c r="AX29" i="1"/>
  <c r="AY29" i="1" s="1"/>
  <c r="AV29" i="1"/>
  <c r="AR29" i="1"/>
  <c r="AP29" i="1"/>
  <c r="AL29" i="1"/>
  <c r="AJ29" i="1"/>
  <c r="AF29" i="1"/>
  <c r="AD29" i="1"/>
  <c r="Z29" i="1"/>
  <c r="X29" i="1"/>
  <c r="T29" i="1"/>
  <c r="R29" i="1"/>
  <c r="N29" i="1"/>
  <c r="L29" i="1"/>
  <c r="AX28" i="1"/>
  <c r="AV28" i="1"/>
  <c r="AR28" i="1"/>
  <c r="AP28" i="1"/>
  <c r="AL28" i="1"/>
  <c r="AJ28" i="1"/>
  <c r="AF28" i="1"/>
  <c r="AD28" i="1"/>
  <c r="Z28" i="1"/>
  <c r="X28" i="1"/>
  <c r="T28" i="1"/>
  <c r="R28" i="1"/>
  <c r="N28" i="1"/>
  <c r="L28" i="1"/>
  <c r="AX27" i="1"/>
  <c r="AY27" i="1" s="1"/>
  <c r="AV27" i="1"/>
  <c r="AR27" i="1"/>
  <c r="AP27" i="1"/>
  <c r="AL27" i="1"/>
  <c r="AJ27" i="1"/>
  <c r="AF27" i="1"/>
  <c r="AD27" i="1"/>
  <c r="Z27" i="1"/>
  <c r="AA27" i="1" s="1"/>
  <c r="X27" i="1"/>
  <c r="T27" i="1"/>
  <c r="R27" i="1"/>
  <c r="N27" i="1"/>
  <c r="L27" i="1"/>
  <c r="AX26" i="1"/>
  <c r="AY26" i="1" s="1"/>
  <c r="AV26" i="1"/>
  <c r="AR26" i="1"/>
  <c r="AS26" i="1" s="1"/>
  <c r="AP26" i="1"/>
  <c r="AL26" i="1"/>
  <c r="AM26" i="1" s="1"/>
  <c r="AJ26" i="1"/>
  <c r="AF26" i="1"/>
  <c r="AD26" i="1"/>
  <c r="Z26" i="1"/>
  <c r="AA26" i="1" s="1"/>
  <c r="X26" i="1"/>
  <c r="T26" i="1"/>
  <c r="R26" i="1"/>
  <c r="N26" i="1"/>
  <c r="L26" i="1"/>
  <c r="AX25" i="1"/>
  <c r="AY25" i="1" s="1"/>
  <c r="AV25" i="1"/>
  <c r="AR25" i="1"/>
  <c r="AS25" i="1" s="1"/>
  <c r="AP25" i="1"/>
  <c r="AL25" i="1"/>
  <c r="AJ25" i="1"/>
  <c r="AF25" i="1"/>
  <c r="AD25" i="1"/>
  <c r="Z25" i="1"/>
  <c r="AA25" i="1" s="1"/>
  <c r="X25" i="1"/>
  <c r="T25" i="1"/>
  <c r="R25" i="1"/>
  <c r="N25" i="1"/>
  <c r="L25" i="1"/>
  <c r="AX24" i="1"/>
  <c r="AY24" i="1" s="1"/>
  <c r="AV24" i="1"/>
  <c r="AR24" i="1"/>
  <c r="AS24" i="1" s="1"/>
  <c r="AP24" i="1"/>
  <c r="AL24" i="1"/>
  <c r="AM24" i="1" s="1"/>
  <c r="AJ24" i="1"/>
  <c r="AF24" i="1"/>
  <c r="AD24" i="1"/>
  <c r="Z24" i="1"/>
  <c r="X24" i="1"/>
  <c r="T24" i="1"/>
  <c r="R24" i="1"/>
  <c r="N24" i="1"/>
  <c r="L24" i="1"/>
  <c r="AX23" i="1"/>
  <c r="AV23" i="1"/>
  <c r="AR23" i="1"/>
  <c r="AP23" i="1"/>
  <c r="AL23" i="1"/>
  <c r="AM23" i="1" s="1"/>
  <c r="AJ23" i="1"/>
  <c r="AF23" i="1"/>
  <c r="AD23" i="1"/>
  <c r="Z23" i="1"/>
  <c r="X23" i="1"/>
  <c r="T23" i="1"/>
  <c r="R23" i="1"/>
  <c r="N23" i="1"/>
  <c r="L23" i="1"/>
  <c r="AX22" i="1"/>
  <c r="AV22" i="1"/>
  <c r="AR22" i="1"/>
  <c r="AP22" i="1"/>
  <c r="AL22" i="1"/>
  <c r="AJ22" i="1"/>
  <c r="AF22" i="1"/>
  <c r="AD22" i="1"/>
  <c r="Z22" i="1"/>
  <c r="AA22" i="1" s="1"/>
  <c r="X22" i="1"/>
  <c r="T22" i="1"/>
  <c r="R22" i="1"/>
  <c r="N22" i="1"/>
  <c r="L22" i="1"/>
  <c r="AX21" i="1"/>
  <c r="AV21" i="1"/>
  <c r="AR21" i="1"/>
  <c r="AS21" i="1" s="1"/>
  <c r="AP21" i="1"/>
  <c r="AL21" i="1"/>
  <c r="AM21" i="1" s="1"/>
  <c r="AJ21" i="1"/>
  <c r="AF21" i="1"/>
  <c r="AD21" i="1"/>
  <c r="Z21" i="1"/>
  <c r="X21" i="1"/>
  <c r="T21" i="1"/>
  <c r="R21" i="1"/>
  <c r="N21" i="1"/>
  <c r="L21" i="1"/>
  <c r="AX20" i="1"/>
  <c r="AV20" i="1"/>
  <c r="AR20" i="1"/>
  <c r="AP20" i="1"/>
  <c r="AL20" i="1"/>
  <c r="AM20" i="1" s="1"/>
  <c r="AJ20" i="1"/>
  <c r="AF20" i="1"/>
  <c r="AD20" i="1"/>
  <c r="Z20" i="1"/>
  <c r="X20" i="1"/>
  <c r="T20" i="1"/>
  <c r="R20" i="1"/>
  <c r="N20" i="1"/>
  <c r="L20" i="1"/>
  <c r="AX19" i="1"/>
  <c r="AY19" i="1" s="1"/>
  <c r="AV19" i="1"/>
  <c r="AR19" i="1"/>
  <c r="AP19" i="1"/>
  <c r="AL19" i="1"/>
  <c r="AJ19" i="1"/>
  <c r="AF19" i="1"/>
  <c r="AD19" i="1"/>
  <c r="Z19" i="1"/>
  <c r="X19" i="1"/>
  <c r="T19" i="1"/>
  <c r="R19" i="1"/>
  <c r="N19" i="1"/>
  <c r="L19" i="1"/>
  <c r="AX18" i="1"/>
  <c r="AV18" i="1"/>
  <c r="AR18" i="1"/>
  <c r="AP18" i="1"/>
  <c r="AL18" i="1"/>
  <c r="AM18" i="1" s="1"/>
  <c r="AJ18" i="1"/>
  <c r="AF18" i="1"/>
  <c r="AD18" i="1"/>
  <c r="Z18" i="1"/>
  <c r="AA18" i="1" s="1"/>
  <c r="X18" i="1"/>
  <c r="T18" i="1"/>
  <c r="R18" i="1"/>
  <c r="N18" i="1"/>
  <c r="L18" i="1"/>
  <c r="AX17" i="1"/>
  <c r="AY17" i="1" s="1"/>
  <c r="AV17" i="1"/>
  <c r="AR17" i="1"/>
  <c r="AP17" i="1"/>
  <c r="AL17" i="1"/>
  <c r="AJ17" i="1"/>
  <c r="AF17" i="1"/>
  <c r="AD17" i="1"/>
  <c r="Z17" i="1"/>
  <c r="X17" i="1"/>
  <c r="T17" i="1"/>
  <c r="R17" i="1"/>
  <c r="N17" i="1"/>
  <c r="L17" i="1"/>
  <c r="AX16" i="1"/>
  <c r="AV16" i="1"/>
  <c r="AR16" i="1"/>
  <c r="AS16" i="1" s="1"/>
  <c r="AP16" i="1"/>
  <c r="AL16" i="1"/>
  <c r="AM16" i="1" s="1"/>
  <c r="AJ16" i="1"/>
  <c r="AF16" i="1"/>
  <c r="AD16" i="1"/>
  <c r="Z16" i="1"/>
  <c r="AA16" i="1" s="1"/>
  <c r="X16" i="1"/>
  <c r="T16" i="1"/>
  <c r="R16" i="1"/>
  <c r="N16" i="1"/>
  <c r="L16" i="1"/>
  <c r="AX15" i="1"/>
  <c r="AY15" i="1" s="1"/>
  <c r="AV15" i="1"/>
  <c r="AR15" i="1"/>
  <c r="AP15" i="1"/>
  <c r="AL15" i="1"/>
  <c r="AJ15" i="1"/>
  <c r="AF15" i="1"/>
  <c r="AD15" i="1"/>
  <c r="Z15" i="1"/>
  <c r="X15" i="1"/>
  <c r="T15" i="1"/>
  <c r="R15" i="1"/>
  <c r="N15" i="1"/>
  <c r="L15" i="1"/>
  <c r="AX14" i="1"/>
  <c r="AY14" i="1" s="1"/>
  <c r="AV14" i="1"/>
  <c r="AR14" i="1"/>
  <c r="AP14" i="1"/>
  <c r="AL14" i="1"/>
  <c r="AJ14" i="1"/>
  <c r="AF14" i="1"/>
  <c r="AD14" i="1"/>
  <c r="Z14" i="1"/>
  <c r="AA14" i="1" s="1"/>
  <c r="X14" i="1"/>
  <c r="T14" i="1"/>
  <c r="R14" i="1"/>
  <c r="N14" i="1"/>
  <c r="L14" i="1"/>
  <c r="AX13" i="1"/>
  <c r="AV13" i="1"/>
  <c r="AR13" i="1"/>
  <c r="AS13" i="1" s="1"/>
  <c r="AP13" i="1"/>
  <c r="AL13" i="1"/>
  <c r="AJ13" i="1"/>
  <c r="AF13" i="1"/>
  <c r="AD13" i="1"/>
  <c r="Z13" i="1"/>
  <c r="X13" i="1"/>
  <c r="T13" i="1"/>
  <c r="R13" i="1"/>
  <c r="N13" i="1"/>
  <c r="L13" i="1"/>
  <c r="AX12" i="1"/>
  <c r="AV12" i="1"/>
  <c r="AR12" i="1"/>
  <c r="AS12" i="1" s="1"/>
  <c r="AP12" i="1"/>
  <c r="AL12" i="1"/>
  <c r="AM12" i="1" s="1"/>
  <c r="AJ12" i="1"/>
  <c r="AF12" i="1"/>
  <c r="AD12" i="1"/>
  <c r="Z12" i="1"/>
  <c r="X12" i="1"/>
  <c r="T12" i="1"/>
  <c r="R12" i="1"/>
  <c r="N12" i="1"/>
  <c r="L12" i="1"/>
  <c r="AX11" i="1"/>
  <c r="AV11" i="1"/>
  <c r="AR11" i="1"/>
  <c r="AS11" i="1" s="1"/>
  <c r="AP11" i="1"/>
  <c r="AL11" i="1"/>
  <c r="AM11" i="1" s="1"/>
  <c r="AJ11" i="1"/>
  <c r="AF11" i="1"/>
  <c r="AD11" i="1"/>
  <c r="Z11" i="1"/>
  <c r="AA11" i="1" s="1"/>
  <c r="X11" i="1"/>
  <c r="T11" i="1"/>
  <c r="R11" i="1"/>
  <c r="N11" i="1"/>
  <c r="L11" i="1"/>
  <c r="AX10" i="1"/>
  <c r="AV10" i="1"/>
  <c r="AR10" i="1"/>
  <c r="AP10" i="1"/>
  <c r="AL10" i="1"/>
  <c r="AJ10" i="1"/>
  <c r="AF10" i="1"/>
  <c r="AD10" i="1"/>
  <c r="Z10" i="1"/>
  <c r="X10" i="1"/>
  <c r="T10" i="1"/>
  <c r="R10" i="1"/>
  <c r="N10" i="1"/>
  <c r="L10" i="1"/>
  <c r="AX9" i="1"/>
  <c r="AY9" i="1" s="1"/>
  <c r="AV9" i="1"/>
  <c r="AR9" i="1"/>
  <c r="AS9" i="1" s="1"/>
  <c r="AP9" i="1"/>
  <c r="AL9" i="1"/>
  <c r="AM9" i="1" s="1"/>
  <c r="AJ9" i="1"/>
  <c r="AF9" i="1"/>
  <c r="AD9" i="1"/>
  <c r="Z9" i="1"/>
  <c r="AA9" i="1" s="1"/>
  <c r="X9" i="1"/>
  <c r="T9" i="1"/>
  <c r="R9" i="1"/>
  <c r="N9" i="1"/>
  <c r="L9" i="1"/>
  <c r="AX8" i="1"/>
  <c r="AY8" i="1" s="1"/>
  <c r="AV8" i="1"/>
  <c r="AR8" i="1"/>
  <c r="AS8" i="1" s="1"/>
  <c r="AP8" i="1"/>
  <c r="AL8" i="1"/>
  <c r="AJ8" i="1"/>
  <c r="AF8" i="1"/>
  <c r="AD8" i="1"/>
  <c r="Z8" i="1"/>
  <c r="AA8" i="1" s="1"/>
  <c r="X8" i="1"/>
  <c r="T8" i="1"/>
  <c r="R8" i="1"/>
  <c r="N8" i="1"/>
  <c r="L8" i="1"/>
  <c r="AX7" i="1"/>
  <c r="AV7" i="1"/>
  <c r="AR7" i="1"/>
  <c r="AP7" i="1"/>
  <c r="AL7" i="1"/>
  <c r="AJ7" i="1"/>
  <c r="AF7" i="1"/>
  <c r="AD7" i="1"/>
  <c r="Z7" i="1"/>
  <c r="X7" i="1"/>
  <c r="T7" i="1"/>
  <c r="R7" i="1"/>
  <c r="N7" i="1"/>
  <c r="L7" i="1"/>
  <c r="AX6" i="1"/>
  <c r="AV6" i="1"/>
  <c r="AR6" i="1"/>
  <c r="AP6" i="1"/>
  <c r="AL6" i="1"/>
  <c r="AJ6" i="1"/>
  <c r="AF6" i="1"/>
  <c r="AD6" i="1"/>
  <c r="Z6" i="1"/>
  <c r="X6" i="1"/>
  <c r="T6" i="1"/>
  <c r="R6" i="1"/>
  <c r="N6" i="1"/>
  <c r="L6" i="1"/>
  <c r="AX5" i="1"/>
  <c r="AV5" i="1"/>
  <c r="AR5" i="1"/>
  <c r="AP5" i="1"/>
  <c r="AL5" i="1"/>
  <c r="AJ5" i="1"/>
  <c r="AF5" i="1"/>
  <c r="AD5" i="1"/>
  <c r="Z5" i="1"/>
  <c r="X5" i="1"/>
  <c r="T5" i="1"/>
  <c r="R5" i="1"/>
  <c r="N5" i="1"/>
  <c r="L5" i="1"/>
  <c r="AX4" i="1"/>
  <c r="AV4" i="1"/>
  <c r="AR4" i="1"/>
  <c r="AP4" i="1"/>
  <c r="AL4" i="1"/>
  <c r="AJ4" i="1"/>
  <c r="AF4" i="1"/>
  <c r="AD4" i="1"/>
  <c r="Z4" i="1"/>
  <c r="X4" i="1"/>
  <c r="T4" i="1"/>
  <c r="R4" i="1"/>
  <c r="N4" i="1"/>
  <c r="L4" i="1"/>
  <c r="AX3" i="1"/>
  <c r="AV3" i="1"/>
  <c r="AR3" i="1"/>
  <c r="AP3" i="1"/>
  <c r="AL3" i="1"/>
  <c r="AJ3" i="1"/>
  <c r="AF3" i="1"/>
  <c r="AD3" i="1"/>
  <c r="Z3" i="1"/>
  <c r="X3" i="1"/>
  <c r="T3" i="1"/>
  <c r="R3" i="1"/>
  <c r="N3" i="1"/>
  <c r="L3" i="1"/>
  <c r="AT29" i="1"/>
  <c r="AN29" i="1"/>
  <c r="AH29" i="1"/>
  <c r="AB29" i="1"/>
  <c r="V29" i="1"/>
  <c r="P29" i="1"/>
  <c r="J29" i="1"/>
  <c r="J63" i="1" s="1"/>
  <c r="AT28" i="1"/>
  <c r="AN28" i="1"/>
  <c r="AH28" i="1"/>
  <c r="AB28" i="1"/>
  <c r="V28" i="1"/>
  <c r="P28" i="1"/>
  <c r="J28" i="1"/>
  <c r="J62" i="1" s="1"/>
  <c r="AT27" i="1"/>
  <c r="AN27" i="1"/>
  <c r="AH27" i="1"/>
  <c r="AB27" i="1"/>
  <c r="V27" i="1"/>
  <c r="P27" i="1"/>
  <c r="J27" i="1"/>
  <c r="J61" i="1" s="1"/>
  <c r="AT26" i="1"/>
  <c r="AN26" i="1"/>
  <c r="AH26" i="1"/>
  <c r="AB26" i="1"/>
  <c r="V60" i="1" s="1"/>
  <c r="V26" i="1"/>
  <c r="P26" i="1"/>
  <c r="J26" i="1"/>
  <c r="J60" i="1" s="1"/>
  <c r="AT25" i="1"/>
  <c r="AN25" i="1"/>
  <c r="AH25" i="1"/>
  <c r="AB25" i="1"/>
  <c r="V25" i="1"/>
  <c r="P25" i="1"/>
  <c r="J25" i="1"/>
  <c r="J59" i="1" s="1"/>
  <c r="AT24" i="1"/>
  <c r="AN24" i="1"/>
  <c r="AH24" i="1"/>
  <c r="AB24" i="1"/>
  <c r="V24" i="1"/>
  <c r="P24" i="1"/>
  <c r="P58" i="1" s="1"/>
  <c r="J24" i="1"/>
  <c r="J58" i="1" s="1"/>
  <c r="AT23" i="1"/>
  <c r="AN23" i="1"/>
  <c r="AH23" i="1"/>
  <c r="AB23" i="1"/>
  <c r="V57" i="1" s="1"/>
  <c r="V23" i="1"/>
  <c r="P23" i="1"/>
  <c r="J23" i="1"/>
  <c r="J57" i="1" s="1"/>
  <c r="AT22" i="1"/>
  <c r="AN22" i="1"/>
  <c r="AH22" i="1"/>
  <c r="AB22" i="1"/>
  <c r="V22" i="1"/>
  <c r="P22" i="1"/>
  <c r="J22" i="1"/>
  <c r="J56" i="1" s="1"/>
  <c r="AT21" i="1"/>
  <c r="AN21" i="1"/>
  <c r="AH21" i="1"/>
  <c r="AB21" i="1"/>
  <c r="V21" i="1"/>
  <c r="P21" i="1"/>
  <c r="P55" i="1" s="1"/>
  <c r="J21" i="1"/>
  <c r="J55" i="1" s="1"/>
  <c r="AT20" i="1"/>
  <c r="AN20" i="1"/>
  <c r="AH20" i="1"/>
  <c r="AB20" i="1"/>
  <c r="V20" i="1"/>
  <c r="P20" i="1"/>
  <c r="J20" i="1"/>
  <c r="J54" i="1" s="1"/>
  <c r="AT19" i="1"/>
  <c r="AN19" i="1"/>
  <c r="AH19" i="1"/>
  <c r="AB19" i="1"/>
  <c r="V19" i="1"/>
  <c r="P19" i="1"/>
  <c r="J19" i="1"/>
  <c r="J53" i="1" s="1"/>
  <c r="AT18" i="1"/>
  <c r="AN18" i="1"/>
  <c r="AH18" i="1"/>
  <c r="AB18" i="1"/>
  <c r="V52" i="1" s="1"/>
  <c r="V18" i="1"/>
  <c r="P18" i="1"/>
  <c r="J18" i="1"/>
  <c r="J52" i="1" s="1"/>
  <c r="AT17" i="1"/>
  <c r="AN17" i="1"/>
  <c r="AH17" i="1"/>
  <c r="AB17" i="1"/>
  <c r="V17" i="1"/>
  <c r="P17" i="1"/>
  <c r="J17" i="1"/>
  <c r="J51" i="1" s="1"/>
  <c r="AT16" i="1"/>
  <c r="AN16" i="1"/>
  <c r="AH16" i="1"/>
  <c r="AB16" i="1"/>
  <c r="V16" i="1"/>
  <c r="P16" i="1"/>
  <c r="P50" i="1" s="1"/>
  <c r="J16" i="1"/>
  <c r="J50" i="1" s="1"/>
  <c r="AT15" i="1"/>
  <c r="AN15" i="1"/>
  <c r="AH15" i="1"/>
  <c r="AB15" i="1"/>
  <c r="V15" i="1"/>
  <c r="P15" i="1"/>
  <c r="P49" i="1" s="1"/>
  <c r="J15" i="1"/>
  <c r="J49" i="1" s="1"/>
  <c r="AT14" i="1"/>
  <c r="AN14" i="1"/>
  <c r="AH14" i="1"/>
  <c r="AB14" i="1"/>
  <c r="V48" i="1" s="1"/>
  <c r="V14" i="1"/>
  <c r="P14" i="1"/>
  <c r="J14" i="1"/>
  <c r="J48" i="1" s="1"/>
  <c r="AT13" i="1"/>
  <c r="AN13" i="1"/>
  <c r="AH13" i="1"/>
  <c r="AB13" i="1"/>
  <c r="V13" i="1"/>
  <c r="P13" i="1"/>
  <c r="J13" i="1"/>
  <c r="J47" i="1" s="1"/>
  <c r="AT12" i="1"/>
  <c r="AN12" i="1"/>
  <c r="AH12" i="1"/>
  <c r="AB12" i="1"/>
  <c r="V12" i="1"/>
  <c r="P12" i="1"/>
  <c r="P46" i="1" s="1"/>
  <c r="J12" i="1"/>
  <c r="J46" i="1" s="1"/>
  <c r="AT11" i="1"/>
  <c r="AN11" i="1"/>
  <c r="AH11" i="1"/>
  <c r="AB11" i="1"/>
  <c r="V11" i="1"/>
  <c r="P11" i="1"/>
  <c r="J11" i="1"/>
  <c r="J45" i="1" s="1"/>
  <c r="AT10" i="1"/>
  <c r="AN10" i="1"/>
  <c r="AH10" i="1"/>
  <c r="AB10" i="1"/>
  <c r="V44" i="1" s="1"/>
  <c r="V10" i="1"/>
  <c r="P10" i="1"/>
  <c r="J10" i="1"/>
  <c r="J44" i="1" s="1"/>
  <c r="AT9" i="1"/>
  <c r="AN9" i="1"/>
  <c r="AH9" i="1"/>
  <c r="AB9" i="1"/>
  <c r="V9" i="1"/>
  <c r="P9" i="1"/>
  <c r="J9" i="1"/>
  <c r="J43" i="1" s="1"/>
  <c r="AT8" i="1"/>
  <c r="AN8" i="1"/>
  <c r="AH8" i="1"/>
  <c r="AB8" i="1"/>
  <c r="V8" i="1"/>
  <c r="P8" i="1"/>
  <c r="J8" i="1"/>
  <c r="J42" i="1" s="1"/>
  <c r="AT7" i="1"/>
  <c r="AN7" i="1"/>
  <c r="AH7" i="1"/>
  <c r="AB7" i="1"/>
  <c r="V7" i="1"/>
  <c r="P7" i="1"/>
  <c r="P41" i="1" s="1"/>
  <c r="J7" i="1"/>
  <c r="J41" i="1" s="1"/>
  <c r="AT6" i="1"/>
  <c r="AN6" i="1"/>
  <c r="AH6" i="1"/>
  <c r="AB6" i="1"/>
  <c r="V40" i="1" s="1"/>
  <c r="V6" i="1"/>
  <c r="P6" i="1"/>
  <c r="J6" i="1"/>
  <c r="J40" i="1" s="1"/>
  <c r="AT5" i="1"/>
  <c r="AN5" i="1"/>
  <c r="AH5" i="1"/>
  <c r="AB5" i="1"/>
  <c r="V5" i="1"/>
  <c r="P5" i="1"/>
  <c r="J5" i="1"/>
  <c r="J39" i="1" s="1"/>
  <c r="AT4" i="1"/>
  <c r="AN4" i="1"/>
  <c r="AH4" i="1"/>
  <c r="AB4" i="1"/>
  <c r="V4" i="1"/>
  <c r="P4" i="1"/>
  <c r="P38" i="1" s="1"/>
  <c r="J4" i="1"/>
  <c r="J38" i="1" s="1"/>
  <c r="AT3" i="1"/>
  <c r="AT31" i="1" s="1"/>
  <c r="AN3" i="1"/>
  <c r="AH3" i="1"/>
  <c r="AH31" i="1" s="1"/>
  <c r="AB3" i="1"/>
  <c r="V3" i="1"/>
  <c r="P3" i="1"/>
  <c r="J3" i="1"/>
  <c r="D3" i="1"/>
  <c r="D22" i="1"/>
  <c r="D56" i="1" s="1"/>
  <c r="D26" i="1"/>
  <c r="D60" i="1" s="1"/>
  <c r="D29" i="1"/>
  <c r="D63" i="1" s="1"/>
  <c r="D4" i="1"/>
  <c r="D38" i="1" s="1"/>
  <c r="D13" i="1"/>
  <c r="D47" i="1" s="1"/>
  <c r="D16" i="1"/>
  <c r="D50" i="1" s="1"/>
  <c r="D25" i="1"/>
  <c r="D59" i="1" s="1"/>
  <c r="D17" i="1"/>
  <c r="D51" i="1" s="1"/>
  <c r="D7" i="1"/>
  <c r="D41" i="1" s="1"/>
  <c r="D8" i="1"/>
  <c r="D42" i="1" s="1"/>
  <c r="D14" i="1"/>
  <c r="D48" i="1" s="1"/>
  <c r="D27" i="1"/>
  <c r="D61" i="1" s="1"/>
  <c r="D21" i="1"/>
  <c r="D55" i="1" s="1"/>
  <c r="D12" i="1"/>
  <c r="D46" i="1" s="1"/>
  <c r="D5" i="1"/>
  <c r="D39" i="1" s="1"/>
  <c r="D23" i="1"/>
  <c r="D57" i="1" s="1"/>
  <c r="D24" i="1"/>
  <c r="D58" i="1" s="1"/>
  <c r="D6" i="1"/>
  <c r="D40" i="1" s="1"/>
  <c r="D15" i="1"/>
  <c r="D49" i="1" s="1"/>
  <c r="D19" i="1"/>
  <c r="D53" i="1" s="1"/>
  <c r="D20" i="1"/>
  <c r="D54" i="1" s="1"/>
  <c r="D28" i="1"/>
  <c r="D62" i="1" s="1"/>
  <c r="D18" i="1"/>
  <c r="D52" i="1" s="1"/>
  <c r="D11" i="1"/>
  <c r="D45" i="1" s="1"/>
  <c r="D10" i="1"/>
  <c r="D44" i="1" s="1"/>
  <c r="D9" i="1"/>
  <c r="D43" i="1" s="1"/>
  <c r="V38" i="1" l="1"/>
  <c r="P40" i="1"/>
  <c r="V42" i="1"/>
  <c r="P44" i="1"/>
  <c r="V46" i="1"/>
  <c r="P48" i="1"/>
  <c r="P56" i="1"/>
  <c r="P60" i="1"/>
  <c r="V62" i="1"/>
  <c r="Q53" i="1"/>
  <c r="P51" i="1"/>
  <c r="P59" i="1"/>
  <c r="P63" i="1"/>
  <c r="AY18" i="1"/>
  <c r="AS19" i="1"/>
  <c r="Q43" i="1"/>
  <c r="Q50" i="1"/>
  <c r="AN31" i="1"/>
  <c r="V47" i="1"/>
  <c r="V51" i="1"/>
  <c r="V59" i="1"/>
  <c r="P61" i="1"/>
  <c r="V63" i="1"/>
  <c r="F21" i="1"/>
  <c r="H15" i="1"/>
  <c r="H13" i="1"/>
  <c r="F13" i="1"/>
  <c r="H12" i="1"/>
  <c r="F11" i="1"/>
  <c r="H22" i="1"/>
  <c r="F4" i="1"/>
  <c r="H3" i="1"/>
  <c r="H17" i="1"/>
  <c r="H6" i="1"/>
  <c r="H19" i="1"/>
  <c r="H20" i="1"/>
  <c r="H18" i="1"/>
  <c r="H29" i="1"/>
  <c r="F15" i="1"/>
  <c r="H11" i="1"/>
  <c r="H4" i="1"/>
  <c r="H10" i="1"/>
  <c r="F10" i="1"/>
  <c r="F28" i="1"/>
  <c r="F12" i="1"/>
  <c r="H25" i="1"/>
  <c r="F27" i="1"/>
  <c r="F6" i="1"/>
  <c r="F3" i="1"/>
  <c r="H14" i="1"/>
  <c r="H9" i="1"/>
  <c r="H7" i="1"/>
  <c r="H27" i="1"/>
  <c r="F23" i="1"/>
  <c r="F24" i="1"/>
  <c r="F18" i="1"/>
  <c r="F16" i="1"/>
  <c r="F8" i="1"/>
  <c r="F20" i="1"/>
  <c r="F17" i="1"/>
  <c r="F5" i="1"/>
  <c r="F29" i="1"/>
  <c r="H21" i="1"/>
  <c r="H8" i="1"/>
  <c r="H28" i="1"/>
  <c r="H26" i="1"/>
  <c r="F25" i="1"/>
  <c r="F22" i="1"/>
  <c r="H23" i="1"/>
  <c r="F19" i="1"/>
  <c r="H24" i="1"/>
  <c r="F14" i="1"/>
  <c r="D37" i="1"/>
  <c r="D65" i="1" s="1"/>
  <c r="D31" i="1"/>
  <c r="H16" i="1"/>
  <c r="H5" i="1"/>
  <c r="F9" i="1"/>
  <c r="F26" i="1"/>
  <c r="F7" i="1"/>
  <c r="V39" i="1"/>
  <c r="V43" i="1"/>
  <c r="P52" i="1"/>
  <c r="V55" i="1"/>
  <c r="P57" i="1"/>
  <c r="V58" i="1"/>
  <c r="L31" i="1"/>
  <c r="L37" i="1"/>
  <c r="M3" i="1"/>
  <c r="X31" i="1"/>
  <c r="Y3" i="1"/>
  <c r="AR31" i="1"/>
  <c r="AS3" i="1"/>
  <c r="AX31" i="1"/>
  <c r="AY3" i="1"/>
  <c r="L38" i="1"/>
  <c r="M38" i="1" s="1"/>
  <c r="M4" i="1"/>
  <c r="AA4" i="1"/>
  <c r="Z38" i="1"/>
  <c r="AG4" i="1"/>
  <c r="AS4" i="1"/>
  <c r="R39" i="1"/>
  <c r="S5" i="1"/>
  <c r="Y5" i="1"/>
  <c r="Z39" i="1"/>
  <c r="AG5" i="1"/>
  <c r="AM5" i="1"/>
  <c r="N40" i="1"/>
  <c r="O6" i="1"/>
  <c r="T40" i="1"/>
  <c r="U6" i="1"/>
  <c r="AM6" i="1"/>
  <c r="AS6" i="1"/>
  <c r="R41" i="1"/>
  <c r="S41" i="1" s="1"/>
  <c r="S7" i="1"/>
  <c r="AA7" i="1"/>
  <c r="AS7" i="1"/>
  <c r="Z42" i="1"/>
  <c r="AG8" i="1"/>
  <c r="Y9" i="1"/>
  <c r="X43" i="1"/>
  <c r="AE9" i="1"/>
  <c r="AK9" i="1"/>
  <c r="AW9" i="1"/>
  <c r="T44" i="1"/>
  <c r="U10" i="1"/>
  <c r="AA10" i="1"/>
  <c r="Y11" i="1"/>
  <c r="X45" i="1"/>
  <c r="AE11" i="1"/>
  <c r="AK11" i="1"/>
  <c r="AQ11" i="1"/>
  <c r="AY11" i="1"/>
  <c r="N46" i="1"/>
  <c r="O12" i="1"/>
  <c r="T46" i="1"/>
  <c r="U12" i="1"/>
  <c r="AY12" i="1"/>
  <c r="Z47" i="1"/>
  <c r="AG13" i="1"/>
  <c r="AM13" i="1"/>
  <c r="AY13" i="1"/>
  <c r="L48" i="1"/>
  <c r="M48" i="1" s="1"/>
  <c r="M14" i="1"/>
  <c r="R48" i="1"/>
  <c r="S48" i="1" s="1"/>
  <c r="S14" i="1"/>
  <c r="X48" i="1"/>
  <c r="AE14" i="1"/>
  <c r="AK14" i="1"/>
  <c r="N49" i="1"/>
  <c r="O15" i="1"/>
  <c r="T49" i="1"/>
  <c r="U15" i="1"/>
  <c r="AA15" i="1"/>
  <c r="Z49" i="1"/>
  <c r="AG15" i="1"/>
  <c r="AM15" i="1"/>
  <c r="X50" i="1"/>
  <c r="AE16" i="1"/>
  <c r="AQ16" i="1"/>
  <c r="AW16" i="1"/>
  <c r="N51" i="1"/>
  <c r="O17" i="1"/>
  <c r="T51" i="1"/>
  <c r="U17" i="1"/>
  <c r="AA17" i="1"/>
  <c r="Z51" i="1"/>
  <c r="AG17" i="1"/>
  <c r="N52" i="1"/>
  <c r="O18" i="1"/>
  <c r="T52" i="1"/>
  <c r="U18" i="1"/>
  <c r="Z52" i="1"/>
  <c r="AG18" i="1"/>
  <c r="L53" i="1"/>
  <c r="M53" i="1" s="1"/>
  <c r="M19" i="1"/>
  <c r="AK19" i="1"/>
  <c r="L54" i="1"/>
  <c r="M54" i="1" s="1"/>
  <c r="M20" i="1"/>
  <c r="R54" i="1"/>
  <c r="S20" i="1"/>
  <c r="AQ20" i="1"/>
  <c r="AW20" i="1"/>
  <c r="T55" i="1"/>
  <c r="U21" i="1"/>
  <c r="Z55" i="1"/>
  <c r="AG21" i="1"/>
  <c r="AW21" i="1"/>
  <c r="L56" i="1"/>
  <c r="M56" i="1" s="1"/>
  <c r="M22" i="1"/>
  <c r="AK22" i="1"/>
  <c r="AQ22" i="1"/>
  <c r="AW22" i="1"/>
  <c r="R57" i="1"/>
  <c r="S57" i="1" s="1"/>
  <c r="S23" i="1"/>
  <c r="Y23" i="1"/>
  <c r="X57" i="1"/>
  <c r="AE23" i="1"/>
  <c r="AK23" i="1"/>
  <c r="AW23" i="1"/>
  <c r="T59" i="1"/>
  <c r="U25" i="1"/>
  <c r="Z60" i="1"/>
  <c r="AG26" i="1"/>
  <c r="R61" i="1"/>
  <c r="S27" i="1"/>
  <c r="X61" i="1"/>
  <c r="AE27" i="1"/>
  <c r="AK27" i="1"/>
  <c r="AQ27" i="1"/>
  <c r="L62" i="1"/>
  <c r="M62" i="1" s="1"/>
  <c r="M28" i="1"/>
  <c r="R62" i="1"/>
  <c r="S28" i="1"/>
  <c r="Y28" i="1"/>
  <c r="X62" i="1"/>
  <c r="AE28" i="1"/>
  <c r="AK28" i="1"/>
  <c r="AW28" i="1"/>
  <c r="N63" i="1"/>
  <c r="O29" i="1"/>
  <c r="AA29" i="1"/>
  <c r="Z63" i="1"/>
  <c r="AG29" i="1"/>
  <c r="AM29" i="1"/>
  <c r="V31" i="1"/>
  <c r="AB31" i="1"/>
  <c r="AB32" i="1" s="1"/>
  <c r="V37" i="1"/>
  <c r="P39" i="1"/>
  <c r="V41" i="1"/>
  <c r="P43" i="1"/>
  <c r="P45" i="1"/>
  <c r="P47" i="1"/>
  <c r="V54" i="1"/>
  <c r="P62" i="1"/>
  <c r="R31" i="1"/>
  <c r="R37" i="1"/>
  <c r="S3" i="1"/>
  <c r="Z31" i="1"/>
  <c r="AA31" i="1" s="1"/>
  <c r="AA3" i="1"/>
  <c r="AF31" i="1"/>
  <c r="Z37" i="1"/>
  <c r="AG3" i="1"/>
  <c r="AL31" i="1"/>
  <c r="AM3" i="1"/>
  <c r="N38" i="1"/>
  <c r="O38" i="1" s="1"/>
  <c r="O4" i="1"/>
  <c r="T38" i="1"/>
  <c r="U4" i="1"/>
  <c r="AY4" i="1"/>
  <c r="N39" i="1"/>
  <c r="O5" i="1"/>
  <c r="T39" i="1"/>
  <c r="U39" i="1" s="1"/>
  <c r="U5" i="1"/>
  <c r="AA5" i="1"/>
  <c r="X40" i="1"/>
  <c r="AE6" i="1"/>
  <c r="AY6" i="1"/>
  <c r="N41" i="1"/>
  <c r="O7" i="1"/>
  <c r="T41" i="1"/>
  <c r="U41" i="1" s="1"/>
  <c r="U7" i="1"/>
  <c r="Z41" i="1"/>
  <c r="AG7" i="1"/>
  <c r="AM7" i="1"/>
  <c r="L42" i="1"/>
  <c r="M42" i="1" s="1"/>
  <c r="M8" i="1"/>
  <c r="R42" i="1"/>
  <c r="S8" i="1"/>
  <c r="Y8" i="1"/>
  <c r="AQ8" i="1"/>
  <c r="AW8" i="1"/>
  <c r="L43" i="1"/>
  <c r="M43" i="1" s="1"/>
  <c r="M9" i="1"/>
  <c r="R43" i="1"/>
  <c r="S43" i="1" s="1"/>
  <c r="S9" i="1"/>
  <c r="AQ9" i="1"/>
  <c r="L45" i="1"/>
  <c r="M45" i="1" s="1"/>
  <c r="M11" i="1"/>
  <c r="R45" i="1"/>
  <c r="S45" i="1" s="1"/>
  <c r="S11" i="1"/>
  <c r="X46" i="1"/>
  <c r="AE12" i="1"/>
  <c r="AK12" i="1"/>
  <c r="AQ12" i="1"/>
  <c r="R47" i="1"/>
  <c r="S47" i="1" s="1"/>
  <c r="S13" i="1"/>
  <c r="Y14" i="1"/>
  <c r="Z48" i="1"/>
  <c r="AA48" i="1" s="1"/>
  <c r="AG14" i="1"/>
  <c r="AM14" i="1"/>
  <c r="AS14" i="1"/>
  <c r="AW15" i="1"/>
  <c r="R50" i="1"/>
  <c r="S50" i="1" s="1"/>
  <c r="S16" i="1"/>
  <c r="Y16" i="1"/>
  <c r="AK16" i="1"/>
  <c r="AY16" i="1"/>
  <c r="AW17" i="1"/>
  <c r="AW18" i="1"/>
  <c r="R53" i="1"/>
  <c r="S19" i="1"/>
  <c r="Y19" i="1"/>
  <c r="X53" i="1"/>
  <c r="AE19" i="1"/>
  <c r="AM19" i="1"/>
  <c r="N54" i="1"/>
  <c r="O54" i="1" s="1"/>
  <c r="O20" i="1"/>
  <c r="Y20" i="1"/>
  <c r="X54" i="1"/>
  <c r="Y54" i="1" s="1"/>
  <c r="AE20" i="1"/>
  <c r="AK20" i="1"/>
  <c r="AY20" i="1"/>
  <c r="N55" i="1"/>
  <c r="O21" i="1"/>
  <c r="N56" i="1"/>
  <c r="O56" i="1" s="1"/>
  <c r="O22" i="1"/>
  <c r="T56" i="1"/>
  <c r="U22" i="1"/>
  <c r="Z56" i="1"/>
  <c r="AG22" i="1"/>
  <c r="N57" i="1"/>
  <c r="O23" i="1"/>
  <c r="Z57" i="1"/>
  <c r="AA57" i="1" s="1"/>
  <c r="AG23" i="1"/>
  <c r="AQ23" i="1"/>
  <c r="L58" i="1"/>
  <c r="M58" i="1" s="1"/>
  <c r="M24" i="1"/>
  <c r="R58" i="1"/>
  <c r="S58" i="1" s="1"/>
  <c r="S24" i="1"/>
  <c r="Y24" i="1"/>
  <c r="X58" i="1"/>
  <c r="AE24" i="1"/>
  <c r="AK24" i="1"/>
  <c r="AQ24" i="1"/>
  <c r="L59" i="1"/>
  <c r="M59" i="1" s="1"/>
  <c r="M25" i="1"/>
  <c r="AK25" i="1"/>
  <c r="N60" i="1"/>
  <c r="O26" i="1"/>
  <c r="T60" i="1"/>
  <c r="U26" i="1"/>
  <c r="N61" i="1"/>
  <c r="O27" i="1"/>
  <c r="T61" i="1"/>
  <c r="U61" i="1" s="1"/>
  <c r="U27" i="1"/>
  <c r="AS27" i="1"/>
  <c r="T62" i="1"/>
  <c r="U62" i="1" s="1"/>
  <c r="U28" i="1"/>
  <c r="Z62" i="1"/>
  <c r="AA62" i="1" s="1"/>
  <c r="AG28" i="1"/>
  <c r="AQ28" i="1"/>
  <c r="AY28" i="1"/>
  <c r="L63" i="1"/>
  <c r="M63" i="1" s="1"/>
  <c r="M29" i="1"/>
  <c r="T63" i="1"/>
  <c r="U29" i="1"/>
  <c r="AW29" i="1"/>
  <c r="P31" i="1"/>
  <c r="P32" i="1" s="1"/>
  <c r="P37" i="1"/>
  <c r="N37" i="1"/>
  <c r="N31" i="1"/>
  <c r="O3" i="1"/>
  <c r="T37" i="1"/>
  <c r="T31" i="1"/>
  <c r="U3" i="1"/>
  <c r="AV31" i="1"/>
  <c r="AW31" i="1" s="1"/>
  <c r="AW3" i="1"/>
  <c r="X38" i="1"/>
  <c r="AE4" i="1"/>
  <c r="AK4" i="1"/>
  <c r="AK5" i="1"/>
  <c r="AQ5" i="1"/>
  <c r="AW5" i="1"/>
  <c r="L40" i="1"/>
  <c r="M40" i="1" s="1"/>
  <c r="M6" i="1"/>
  <c r="R40" i="1"/>
  <c r="S40" i="1" s="1"/>
  <c r="S6" i="1"/>
  <c r="Y6" i="1"/>
  <c r="AK6" i="1"/>
  <c r="AQ6" i="1"/>
  <c r="AW7" i="1"/>
  <c r="X42" i="1"/>
  <c r="AE8" i="1"/>
  <c r="AK8" i="1"/>
  <c r="T43" i="1"/>
  <c r="U43" i="1" s="1"/>
  <c r="U9" i="1"/>
  <c r="Z43" i="1"/>
  <c r="AA43" i="1" s="1"/>
  <c r="AG9" i="1"/>
  <c r="L44" i="1"/>
  <c r="M44" i="1" s="1"/>
  <c r="M10" i="1"/>
  <c r="R44" i="1"/>
  <c r="S44" i="1" s="1"/>
  <c r="S10" i="1"/>
  <c r="Y10" i="1"/>
  <c r="X44" i="1"/>
  <c r="AE10" i="1"/>
  <c r="AK10" i="1"/>
  <c r="AQ10" i="1"/>
  <c r="AW10" i="1"/>
  <c r="T45" i="1"/>
  <c r="U45" i="1" s="1"/>
  <c r="U11" i="1"/>
  <c r="Z45" i="1"/>
  <c r="AA45" i="1" s="1"/>
  <c r="AG11" i="1"/>
  <c r="AW11" i="1"/>
  <c r="R46" i="1"/>
  <c r="S46" i="1" s="1"/>
  <c r="S12" i="1"/>
  <c r="Y12" i="1"/>
  <c r="AW12" i="1"/>
  <c r="L47" i="1"/>
  <c r="M47" i="1" s="1"/>
  <c r="M13" i="1"/>
  <c r="Y13" i="1"/>
  <c r="X47" i="1"/>
  <c r="AE13" i="1"/>
  <c r="AK13" i="1"/>
  <c r="AW13" i="1"/>
  <c r="N48" i="1"/>
  <c r="O48" i="1" s="1"/>
  <c r="O14" i="1"/>
  <c r="T48" i="1"/>
  <c r="U48" i="1" s="1"/>
  <c r="U14" i="1"/>
  <c r="L49" i="1"/>
  <c r="M49" i="1" s="1"/>
  <c r="M15" i="1"/>
  <c r="AK15" i="1"/>
  <c r="AQ15" i="1"/>
  <c r="L50" i="1"/>
  <c r="M50" i="1" s="1"/>
  <c r="M16" i="1"/>
  <c r="Z50" i="1"/>
  <c r="AA50" i="1" s="1"/>
  <c r="AG16" i="1"/>
  <c r="Y17" i="1"/>
  <c r="X51" i="1"/>
  <c r="Y51" i="1" s="1"/>
  <c r="AE17" i="1"/>
  <c r="AK17" i="1"/>
  <c r="AQ17" i="1"/>
  <c r="R52" i="1"/>
  <c r="S52" i="1" s="1"/>
  <c r="S18" i="1"/>
  <c r="X52" i="1"/>
  <c r="Y52" i="1" s="1"/>
  <c r="AE18" i="1"/>
  <c r="AQ18" i="1"/>
  <c r="N53" i="1"/>
  <c r="O53" i="1" s="1"/>
  <c r="O19" i="1"/>
  <c r="Z53" i="1"/>
  <c r="AA53" i="1" s="1"/>
  <c r="AG19" i="1"/>
  <c r="T54" i="1"/>
  <c r="U54" i="1" s="1"/>
  <c r="U20" i="1"/>
  <c r="Z54" i="1"/>
  <c r="AA54" i="1" s="1"/>
  <c r="AG20" i="1"/>
  <c r="AS20" i="1"/>
  <c r="Y21" i="1"/>
  <c r="X55" i="1"/>
  <c r="Y55" i="1" s="1"/>
  <c r="AE21" i="1"/>
  <c r="AK21" i="1"/>
  <c r="AQ21" i="1"/>
  <c r="AY21" i="1"/>
  <c r="AM22" i="1"/>
  <c r="AS22" i="1"/>
  <c r="AY22" i="1"/>
  <c r="T57" i="1"/>
  <c r="U57" i="1" s="1"/>
  <c r="U23" i="1"/>
  <c r="AA23" i="1"/>
  <c r="AS23" i="1"/>
  <c r="AY23" i="1"/>
  <c r="T58" i="1"/>
  <c r="U58" i="1" s="1"/>
  <c r="U24" i="1"/>
  <c r="AA24" i="1"/>
  <c r="AW24" i="1"/>
  <c r="R59" i="1"/>
  <c r="S59" i="1" s="1"/>
  <c r="S25" i="1"/>
  <c r="Y25" i="1"/>
  <c r="X59" i="1"/>
  <c r="AE25" i="1"/>
  <c r="AQ25" i="1"/>
  <c r="X60" i="1"/>
  <c r="AE26" i="1"/>
  <c r="AQ26" i="1"/>
  <c r="Z61" i="1"/>
  <c r="AA61" i="1" s="1"/>
  <c r="AG27" i="1"/>
  <c r="AM27" i="1"/>
  <c r="N62" i="1"/>
  <c r="O62" i="1" s="1"/>
  <c r="O28" i="1"/>
  <c r="AA28" i="1"/>
  <c r="AM28" i="1"/>
  <c r="AS28" i="1"/>
  <c r="AQ29" i="1"/>
  <c r="J37" i="1"/>
  <c r="J65" i="1" s="1"/>
  <c r="J31" i="1"/>
  <c r="D32" i="1" s="1"/>
  <c r="P42" i="1"/>
  <c r="V45" i="1"/>
  <c r="V49" i="1"/>
  <c r="V50" i="1"/>
  <c r="P53" i="1"/>
  <c r="V53" i="1"/>
  <c r="P54" i="1"/>
  <c r="V56" i="1"/>
  <c r="V61" i="1"/>
  <c r="AD31" i="1"/>
  <c r="X37" i="1"/>
  <c r="AE3" i="1"/>
  <c r="AJ31" i="1"/>
  <c r="AK31" i="1" s="1"/>
  <c r="AK3" i="1"/>
  <c r="AP31" i="1"/>
  <c r="AQ31" i="1" s="1"/>
  <c r="AQ3" i="1"/>
  <c r="R38" i="1"/>
  <c r="S38" i="1" s="1"/>
  <c r="S4" i="1"/>
  <c r="Y4" i="1"/>
  <c r="AM4" i="1"/>
  <c r="AQ4" i="1"/>
  <c r="AW4" i="1"/>
  <c r="L39" i="1"/>
  <c r="M39" i="1" s="1"/>
  <c r="M5" i="1"/>
  <c r="X39" i="1"/>
  <c r="AE5" i="1"/>
  <c r="AS5" i="1"/>
  <c r="AY5" i="1"/>
  <c r="AA6" i="1"/>
  <c r="Z40" i="1"/>
  <c r="AA40" i="1" s="1"/>
  <c r="AG6" i="1"/>
  <c r="AW6" i="1"/>
  <c r="L41" i="1"/>
  <c r="M41" i="1" s="1"/>
  <c r="M7" i="1"/>
  <c r="Y7" i="1"/>
  <c r="X41" i="1"/>
  <c r="AE7" i="1"/>
  <c r="AK7" i="1"/>
  <c r="AQ7" i="1"/>
  <c r="AY7" i="1"/>
  <c r="N42" i="1"/>
  <c r="O42" i="1" s="1"/>
  <c r="O8" i="1"/>
  <c r="T42" i="1"/>
  <c r="U42" i="1" s="1"/>
  <c r="U8" i="1"/>
  <c r="AM8" i="1"/>
  <c r="N43" i="1"/>
  <c r="O43" i="1" s="1"/>
  <c r="O9" i="1"/>
  <c r="N44" i="1"/>
  <c r="O44" i="1" s="1"/>
  <c r="O10" i="1"/>
  <c r="Z44" i="1"/>
  <c r="AA44" i="1" s="1"/>
  <c r="AG10" i="1"/>
  <c r="AM10" i="1"/>
  <c r="AS10" i="1"/>
  <c r="AY10" i="1"/>
  <c r="N45" i="1"/>
  <c r="O45" i="1" s="1"/>
  <c r="O11" i="1"/>
  <c r="L46" i="1"/>
  <c r="M46" i="1" s="1"/>
  <c r="M12" i="1"/>
  <c r="AA12" i="1"/>
  <c r="Z46" i="1"/>
  <c r="AA46" i="1" s="1"/>
  <c r="AG12" i="1"/>
  <c r="N47" i="1"/>
  <c r="O47" i="1" s="1"/>
  <c r="O13" i="1"/>
  <c r="T47" i="1"/>
  <c r="U47" i="1" s="1"/>
  <c r="U13" i="1"/>
  <c r="AA13" i="1"/>
  <c r="AQ13" i="1"/>
  <c r="AQ14" i="1"/>
  <c r="AW14" i="1"/>
  <c r="R49" i="1"/>
  <c r="S49" i="1" s="1"/>
  <c r="S15" i="1"/>
  <c r="Y15" i="1"/>
  <c r="X49" i="1"/>
  <c r="AE15" i="1"/>
  <c r="AS15" i="1"/>
  <c r="N50" i="1"/>
  <c r="O50" i="1" s="1"/>
  <c r="O16" i="1"/>
  <c r="T50" i="1"/>
  <c r="U50" i="1" s="1"/>
  <c r="U16" i="1"/>
  <c r="L51" i="1"/>
  <c r="M51" i="1" s="1"/>
  <c r="M17" i="1"/>
  <c r="R51" i="1"/>
  <c r="S51" i="1" s="1"/>
  <c r="S17" i="1"/>
  <c r="AM17" i="1"/>
  <c r="AS17" i="1"/>
  <c r="L52" i="1"/>
  <c r="M52" i="1" s="1"/>
  <c r="M18" i="1"/>
  <c r="Y18" i="1"/>
  <c r="AK18" i="1"/>
  <c r="AS18" i="1"/>
  <c r="T53" i="1"/>
  <c r="U53" i="1" s="1"/>
  <c r="U19" i="1"/>
  <c r="AA19" i="1"/>
  <c r="AQ19" i="1"/>
  <c r="AW19" i="1"/>
  <c r="AA20" i="1"/>
  <c r="L55" i="1"/>
  <c r="M55" i="1" s="1"/>
  <c r="M21" i="1"/>
  <c r="R55" i="1"/>
  <c r="S55" i="1" s="1"/>
  <c r="S21" i="1"/>
  <c r="AA21" i="1"/>
  <c r="R56" i="1"/>
  <c r="S56" i="1" s="1"/>
  <c r="S22" i="1"/>
  <c r="Y22" i="1"/>
  <c r="X56" i="1"/>
  <c r="Y56" i="1" s="1"/>
  <c r="AE22" i="1"/>
  <c r="L57" i="1"/>
  <c r="M57" i="1" s="1"/>
  <c r="M23" i="1"/>
  <c r="N58" i="1"/>
  <c r="O58" i="1" s="1"/>
  <c r="O24" i="1"/>
  <c r="Z58" i="1"/>
  <c r="AA58" i="1" s="1"/>
  <c r="AG24" i="1"/>
  <c r="N59" i="1"/>
  <c r="O59" i="1" s="1"/>
  <c r="O25" i="1"/>
  <c r="Z59" i="1"/>
  <c r="AA59" i="1" s="1"/>
  <c r="AG25" i="1"/>
  <c r="AM25" i="1"/>
  <c r="AW25" i="1"/>
  <c r="L60" i="1"/>
  <c r="M60" i="1" s="1"/>
  <c r="M26" i="1"/>
  <c r="R60" i="1"/>
  <c r="S60" i="1" s="1"/>
  <c r="S26" i="1"/>
  <c r="Y26" i="1"/>
  <c r="AK26" i="1"/>
  <c r="AW26" i="1"/>
  <c r="L61" i="1"/>
  <c r="M61" i="1" s="1"/>
  <c r="M27" i="1"/>
  <c r="Y27" i="1"/>
  <c r="AW27" i="1"/>
  <c r="R63" i="1"/>
  <c r="S29" i="1"/>
  <c r="Y29" i="1"/>
  <c r="X63" i="1"/>
  <c r="AE29" i="1"/>
  <c r="AK29" i="1"/>
  <c r="AS29" i="1"/>
  <c r="E37" i="1"/>
  <c r="E65" i="1" s="1"/>
  <c r="E31" i="1"/>
  <c r="W37" i="1"/>
  <c r="AC31" i="1"/>
  <c r="AC32" i="1" s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Q31" i="1"/>
  <c r="Q32" i="1" s="1"/>
  <c r="Q37" i="1"/>
  <c r="K37" i="1"/>
  <c r="K65" i="1" s="1"/>
  <c r="K31" i="1"/>
  <c r="W57" i="1"/>
  <c r="Q61" i="1"/>
  <c r="Q62" i="1"/>
  <c r="Q63" i="1"/>
  <c r="W58" i="1"/>
  <c r="W59" i="1"/>
  <c r="W60" i="1"/>
  <c r="W61" i="1"/>
  <c r="W62" i="1"/>
  <c r="W63" i="1"/>
  <c r="N227" i="3"/>
  <c r="AE66" i="38" s="1"/>
  <c r="M227" i="3"/>
  <c r="L227" i="3"/>
  <c r="K227" i="3"/>
  <c r="J227" i="3"/>
  <c r="I227" i="3"/>
  <c r="H227" i="3"/>
  <c r="G227" i="3"/>
  <c r="F227" i="3"/>
  <c r="E227" i="3"/>
  <c r="D227" i="3"/>
  <c r="C227" i="3"/>
  <c r="N226" i="3"/>
  <c r="AE66" i="58" s="1"/>
  <c r="M226" i="3"/>
  <c r="L226" i="3"/>
  <c r="K226" i="3"/>
  <c r="J226" i="3"/>
  <c r="I226" i="3"/>
  <c r="H226" i="3"/>
  <c r="G226" i="3"/>
  <c r="F226" i="3"/>
  <c r="E226" i="3"/>
  <c r="D226" i="3"/>
  <c r="C226" i="3"/>
  <c r="N225" i="3"/>
  <c r="AE66" i="57" s="1"/>
  <c r="M225" i="3"/>
  <c r="L225" i="3"/>
  <c r="K225" i="3"/>
  <c r="J225" i="3"/>
  <c r="I225" i="3"/>
  <c r="H225" i="3"/>
  <c r="G225" i="3"/>
  <c r="F225" i="3"/>
  <c r="E225" i="3"/>
  <c r="D225" i="3"/>
  <c r="C225" i="3"/>
  <c r="N224" i="3"/>
  <c r="AE66" i="56" s="1"/>
  <c r="M224" i="3"/>
  <c r="L224" i="3"/>
  <c r="K224" i="3"/>
  <c r="J224" i="3"/>
  <c r="I224" i="3"/>
  <c r="H224" i="3"/>
  <c r="G224" i="3"/>
  <c r="F224" i="3"/>
  <c r="E224" i="3"/>
  <c r="D224" i="3"/>
  <c r="C224" i="3"/>
  <c r="N223" i="3"/>
  <c r="AE66" i="55" s="1"/>
  <c r="M223" i="3"/>
  <c r="L223" i="3"/>
  <c r="K223" i="3"/>
  <c r="J223" i="3"/>
  <c r="I223" i="3"/>
  <c r="H223" i="3"/>
  <c r="G223" i="3"/>
  <c r="F223" i="3"/>
  <c r="E223" i="3"/>
  <c r="D223" i="3"/>
  <c r="C223" i="3"/>
  <c r="N222" i="3"/>
  <c r="AE66" i="54" s="1"/>
  <c r="M222" i="3"/>
  <c r="L222" i="3"/>
  <c r="K222" i="3"/>
  <c r="J222" i="3"/>
  <c r="I222" i="3"/>
  <c r="H222" i="3"/>
  <c r="G222" i="3"/>
  <c r="F222" i="3"/>
  <c r="E222" i="3"/>
  <c r="D222" i="3"/>
  <c r="C222" i="3"/>
  <c r="N221" i="3"/>
  <c r="AE66" i="53" s="1"/>
  <c r="M221" i="3"/>
  <c r="L221" i="3"/>
  <c r="K221" i="3"/>
  <c r="J221" i="3"/>
  <c r="I221" i="3"/>
  <c r="H221" i="3"/>
  <c r="G221" i="3"/>
  <c r="F221" i="3"/>
  <c r="E221" i="3"/>
  <c r="D221" i="3"/>
  <c r="C221" i="3"/>
  <c r="N220" i="3"/>
  <c r="AE66" i="52" s="1"/>
  <c r="M220" i="3"/>
  <c r="L220" i="3"/>
  <c r="K220" i="3"/>
  <c r="J220" i="3"/>
  <c r="I220" i="3"/>
  <c r="H220" i="3"/>
  <c r="G220" i="3"/>
  <c r="F220" i="3"/>
  <c r="E220" i="3"/>
  <c r="D220" i="3"/>
  <c r="C220" i="3"/>
  <c r="N219" i="3"/>
  <c r="AE66" i="51" s="1"/>
  <c r="M219" i="3"/>
  <c r="L219" i="3"/>
  <c r="K219" i="3"/>
  <c r="J219" i="3"/>
  <c r="I219" i="3"/>
  <c r="H219" i="3"/>
  <c r="G219" i="3"/>
  <c r="F219" i="3"/>
  <c r="E219" i="3"/>
  <c r="D219" i="3"/>
  <c r="C219" i="3"/>
  <c r="N218" i="3"/>
  <c r="AE66" i="50" s="1"/>
  <c r="M218" i="3"/>
  <c r="L218" i="3"/>
  <c r="K218" i="3"/>
  <c r="J218" i="3"/>
  <c r="I218" i="3"/>
  <c r="H218" i="3"/>
  <c r="G218" i="3"/>
  <c r="F218" i="3"/>
  <c r="E218" i="3"/>
  <c r="D218" i="3"/>
  <c r="C218" i="3"/>
  <c r="N217" i="3"/>
  <c r="AE66" i="49" s="1"/>
  <c r="M217" i="3"/>
  <c r="L217" i="3"/>
  <c r="K217" i="3"/>
  <c r="J217" i="3"/>
  <c r="I217" i="3"/>
  <c r="H217" i="3"/>
  <c r="G217" i="3"/>
  <c r="F217" i="3"/>
  <c r="E217" i="3"/>
  <c r="D217" i="3"/>
  <c r="C217" i="3"/>
  <c r="N216" i="3"/>
  <c r="AE66" i="48" s="1"/>
  <c r="M216" i="3"/>
  <c r="L216" i="3"/>
  <c r="K216" i="3"/>
  <c r="J216" i="3"/>
  <c r="I216" i="3"/>
  <c r="H216" i="3"/>
  <c r="G216" i="3"/>
  <c r="F216" i="3"/>
  <c r="E216" i="3"/>
  <c r="D216" i="3"/>
  <c r="C216" i="3"/>
  <c r="N215" i="3"/>
  <c r="AE66" i="47" s="1"/>
  <c r="M215" i="3"/>
  <c r="L215" i="3"/>
  <c r="K215" i="3"/>
  <c r="J215" i="3"/>
  <c r="I215" i="3"/>
  <c r="H215" i="3"/>
  <c r="G215" i="3"/>
  <c r="F215" i="3"/>
  <c r="E215" i="3"/>
  <c r="D215" i="3"/>
  <c r="C215" i="3"/>
  <c r="N214" i="3"/>
  <c r="AE66" i="46" s="1"/>
  <c r="M214" i="3"/>
  <c r="L214" i="3"/>
  <c r="K214" i="3"/>
  <c r="J214" i="3"/>
  <c r="I214" i="3"/>
  <c r="H214" i="3"/>
  <c r="G214" i="3"/>
  <c r="F214" i="3"/>
  <c r="E214" i="3"/>
  <c r="D214" i="3"/>
  <c r="C214" i="3"/>
  <c r="N213" i="3"/>
  <c r="AE66" i="45" s="1"/>
  <c r="M213" i="3"/>
  <c r="L213" i="3"/>
  <c r="K213" i="3"/>
  <c r="J213" i="3"/>
  <c r="I213" i="3"/>
  <c r="H213" i="3"/>
  <c r="G213" i="3"/>
  <c r="F213" i="3"/>
  <c r="E213" i="3"/>
  <c r="D213" i="3"/>
  <c r="C213" i="3"/>
  <c r="N212" i="3"/>
  <c r="AE66" i="44" s="1"/>
  <c r="M212" i="3"/>
  <c r="L212" i="3"/>
  <c r="K212" i="3"/>
  <c r="J212" i="3"/>
  <c r="I212" i="3"/>
  <c r="H212" i="3"/>
  <c r="G212" i="3"/>
  <c r="F212" i="3"/>
  <c r="E212" i="3"/>
  <c r="D212" i="3"/>
  <c r="C212" i="3"/>
  <c r="N211" i="3"/>
  <c r="AE66" i="43" s="1"/>
  <c r="M211" i="3"/>
  <c r="L211" i="3"/>
  <c r="K211" i="3"/>
  <c r="J211" i="3"/>
  <c r="I211" i="3"/>
  <c r="H211" i="3"/>
  <c r="G211" i="3"/>
  <c r="F211" i="3"/>
  <c r="E211" i="3"/>
  <c r="D211" i="3"/>
  <c r="C211" i="3"/>
  <c r="N210" i="3"/>
  <c r="AE66" i="42" s="1"/>
  <c r="M210" i="3"/>
  <c r="L210" i="3"/>
  <c r="K210" i="3"/>
  <c r="J210" i="3"/>
  <c r="I210" i="3"/>
  <c r="H210" i="3"/>
  <c r="G210" i="3"/>
  <c r="F210" i="3"/>
  <c r="E210" i="3"/>
  <c r="D210" i="3"/>
  <c r="C210" i="3"/>
  <c r="N209" i="3"/>
  <c r="AE66" i="41" s="1"/>
  <c r="M209" i="3"/>
  <c r="L209" i="3"/>
  <c r="K209" i="3"/>
  <c r="J209" i="3"/>
  <c r="I209" i="3"/>
  <c r="H209" i="3"/>
  <c r="G209" i="3"/>
  <c r="F209" i="3"/>
  <c r="E209" i="3"/>
  <c r="D209" i="3"/>
  <c r="C209" i="3"/>
  <c r="N208" i="3"/>
  <c r="AE66" i="40" s="1"/>
  <c r="M208" i="3"/>
  <c r="L208" i="3"/>
  <c r="K208" i="3"/>
  <c r="J208" i="3"/>
  <c r="I208" i="3"/>
  <c r="H208" i="3"/>
  <c r="G208" i="3"/>
  <c r="F208" i="3"/>
  <c r="E208" i="3"/>
  <c r="D208" i="3"/>
  <c r="C208" i="3"/>
  <c r="N207" i="3"/>
  <c r="AE66" i="39" s="1"/>
  <c r="M207" i="3"/>
  <c r="L207" i="3"/>
  <c r="K207" i="3"/>
  <c r="J207" i="3"/>
  <c r="I207" i="3"/>
  <c r="H207" i="3"/>
  <c r="G207" i="3"/>
  <c r="F207" i="3"/>
  <c r="E207" i="3"/>
  <c r="D207" i="3"/>
  <c r="C207" i="3"/>
  <c r="N206" i="3"/>
  <c r="AE66" i="37" s="1"/>
  <c r="M206" i="3"/>
  <c r="L206" i="3"/>
  <c r="K206" i="3"/>
  <c r="J206" i="3"/>
  <c r="I206" i="3"/>
  <c r="H206" i="3"/>
  <c r="G206" i="3"/>
  <c r="F206" i="3"/>
  <c r="E206" i="3"/>
  <c r="D206" i="3"/>
  <c r="C206" i="3"/>
  <c r="N205" i="3"/>
  <c r="AE66" i="36" s="1"/>
  <c r="M205" i="3"/>
  <c r="L205" i="3"/>
  <c r="K205" i="3"/>
  <c r="J205" i="3"/>
  <c r="I205" i="3"/>
  <c r="H205" i="3"/>
  <c r="G205" i="3"/>
  <c r="F205" i="3"/>
  <c r="E205" i="3"/>
  <c r="D205" i="3"/>
  <c r="C205" i="3"/>
  <c r="N204" i="3"/>
  <c r="AE66" i="35" s="1"/>
  <c r="M204" i="3"/>
  <c r="L204" i="3"/>
  <c r="K204" i="3"/>
  <c r="J204" i="3"/>
  <c r="I204" i="3"/>
  <c r="H204" i="3"/>
  <c r="G204" i="3"/>
  <c r="F204" i="3"/>
  <c r="E204" i="3"/>
  <c r="D204" i="3"/>
  <c r="C204" i="3"/>
  <c r="N203" i="3"/>
  <c r="AE66" i="34" s="1"/>
  <c r="M203" i="3"/>
  <c r="L203" i="3"/>
  <c r="K203" i="3"/>
  <c r="J203" i="3"/>
  <c r="I203" i="3"/>
  <c r="H203" i="3"/>
  <c r="G203" i="3"/>
  <c r="F203" i="3"/>
  <c r="E203" i="3"/>
  <c r="D203" i="3"/>
  <c r="C203" i="3"/>
  <c r="N202" i="3"/>
  <c r="AE66" i="33" s="1"/>
  <c r="M202" i="3"/>
  <c r="L202" i="3"/>
  <c r="K202" i="3"/>
  <c r="J202" i="3"/>
  <c r="I202" i="3"/>
  <c r="H202" i="3"/>
  <c r="G202" i="3"/>
  <c r="F202" i="3"/>
  <c r="E202" i="3"/>
  <c r="D202" i="3"/>
  <c r="C202" i="3"/>
  <c r="N201" i="3"/>
  <c r="AE66" i="32" s="1"/>
  <c r="M201" i="3"/>
  <c r="L201" i="3"/>
  <c r="K201" i="3"/>
  <c r="J201" i="3"/>
  <c r="I201" i="3"/>
  <c r="H201" i="3"/>
  <c r="G201" i="3"/>
  <c r="F201" i="3"/>
  <c r="E201" i="3"/>
  <c r="D201" i="3"/>
  <c r="C201" i="3"/>
  <c r="N200" i="3"/>
  <c r="AE66" i="31" s="1"/>
  <c r="M200" i="3"/>
  <c r="L200" i="3"/>
  <c r="K200" i="3"/>
  <c r="J200" i="3"/>
  <c r="I200" i="3"/>
  <c r="H200" i="3"/>
  <c r="G200" i="3"/>
  <c r="F200" i="3"/>
  <c r="E200" i="3"/>
  <c r="D200" i="3"/>
  <c r="C200" i="3"/>
  <c r="S63" i="1" l="1"/>
  <c r="Q65" i="1"/>
  <c r="W65" i="1"/>
  <c r="Y39" i="1"/>
  <c r="Y44" i="1"/>
  <c r="Y42" i="1"/>
  <c r="O61" i="1"/>
  <c r="O60" i="1"/>
  <c r="AG31" i="1"/>
  <c r="AF32" i="1"/>
  <c r="R65" i="1"/>
  <c r="S37" i="1"/>
  <c r="AA63" i="1"/>
  <c r="Y61" i="1"/>
  <c r="AA60" i="1"/>
  <c r="U55" i="1"/>
  <c r="S54" i="1"/>
  <c r="AA52" i="1"/>
  <c r="O52" i="1"/>
  <c r="Y45" i="1"/>
  <c r="U44" i="1"/>
  <c r="Y43" i="1"/>
  <c r="AA39" i="1"/>
  <c r="F41" i="1"/>
  <c r="G41" i="1" s="1"/>
  <c r="G7" i="1"/>
  <c r="H39" i="1"/>
  <c r="I5" i="1"/>
  <c r="F53" i="1"/>
  <c r="G53" i="1" s="1"/>
  <c r="G19" i="1"/>
  <c r="F59" i="1"/>
  <c r="G59" i="1" s="1"/>
  <c r="G25" i="1"/>
  <c r="H55" i="1"/>
  <c r="I21" i="1"/>
  <c r="F54" i="1"/>
  <c r="G54" i="1" s="1"/>
  <c r="G20" i="1"/>
  <c r="F58" i="1"/>
  <c r="G58" i="1" s="1"/>
  <c r="G24" i="1"/>
  <c r="F40" i="1"/>
  <c r="G40" i="1" s="1"/>
  <c r="G6" i="1"/>
  <c r="F62" i="1"/>
  <c r="G62" i="1" s="1"/>
  <c r="G28" i="1"/>
  <c r="F44" i="1"/>
  <c r="G44" i="1" s="1"/>
  <c r="G10" i="1"/>
  <c r="H63" i="1"/>
  <c r="I29" i="1"/>
  <c r="H52" i="1"/>
  <c r="I18" i="1"/>
  <c r="H31" i="1"/>
  <c r="H37" i="1"/>
  <c r="I3" i="1"/>
  <c r="H56" i="1"/>
  <c r="I22" i="1"/>
  <c r="H46" i="1"/>
  <c r="I12" i="1"/>
  <c r="Y41" i="1"/>
  <c r="Y60" i="1"/>
  <c r="H32" i="1"/>
  <c r="O31" i="1"/>
  <c r="O57" i="1"/>
  <c r="U56" i="1"/>
  <c r="S53" i="1"/>
  <c r="U38" i="1"/>
  <c r="AM31" i="1"/>
  <c r="R32" i="1"/>
  <c r="S32" i="1" s="1"/>
  <c r="S31" i="1"/>
  <c r="U51" i="1"/>
  <c r="U49" i="1"/>
  <c r="U46" i="1"/>
  <c r="O40" i="1"/>
  <c r="AS31" i="1"/>
  <c r="L65" i="1"/>
  <c r="M37" i="1"/>
  <c r="F60" i="1"/>
  <c r="G60" i="1" s="1"/>
  <c r="G26" i="1"/>
  <c r="H57" i="1"/>
  <c r="I23" i="1"/>
  <c r="H60" i="1"/>
  <c r="I60" i="1" s="1"/>
  <c r="I26" i="1"/>
  <c r="F63" i="1"/>
  <c r="G63" i="1" s="1"/>
  <c r="G29" i="1"/>
  <c r="F42" i="1"/>
  <c r="G42" i="1" s="1"/>
  <c r="G8" i="1"/>
  <c r="F57" i="1"/>
  <c r="G57" i="1" s="1"/>
  <c r="G23" i="1"/>
  <c r="H43" i="1"/>
  <c r="I9" i="1"/>
  <c r="F61" i="1"/>
  <c r="G61" i="1" s="1"/>
  <c r="G27" i="1"/>
  <c r="H44" i="1"/>
  <c r="I44" i="1" s="1"/>
  <c r="I10" i="1"/>
  <c r="F49" i="1"/>
  <c r="G49" i="1" s="1"/>
  <c r="G15" i="1"/>
  <c r="H54" i="1"/>
  <c r="I54" i="1" s="1"/>
  <c r="I20" i="1"/>
  <c r="H53" i="1"/>
  <c r="I53" i="1" s="1"/>
  <c r="I19" i="1"/>
  <c r="F55" i="1"/>
  <c r="G55" i="1" s="1"/>
  <c r="G21" i="1"/>
  <c r="E32" i="1"/>
  <c r="Y63" i="1"/>
  <c r="Y49" i="1"/>
  <c r="X65" i="1"/>
  <c r="Y37" i="1"/>
  <c r="Y59" i="1"/>
  <c r="Y38" i="1"/>
  <c r="T32" i="1"/>
  <c r="U31" i="1"/>
  <c r="N65" i="1"/>
  <c r="O65" i="1" s="1"/>
  <c r="O37" i="1"/>
  <c r="U60" i="1"/>
  <c r="O55" i="1"/>
  <c r="Y53" i="1"/>
  <c r="Y46" i="1"/>
  <c r="S42" i="1"/>
  <c r="O39" i="1"/>
  <c r="S62" i="1"/>
  <c r="S61" i="1"/>
  <c r="U59" i="1"/>
  <c r="Y57" i="1"/>
  <c r="AA55" i="1"/>
  <c r="U52" i="1"/>
  <c r="AA51" i="1"/>
  <c r="AA49" i="1"/>
  <c r="Y48" i="1"/>
  <c r="AA47" i="1"/>
  <c r="AA38" i="1"/>
  <c r="M31" i="1"/>
  <c r="F32" i="1"/>
  <c r="G32" i="1" s="1"/>
  <c r="H50" i="1"/>
  <c r="I16" i="1"/>
  <c r="F48" i="1"/>
  <c r="G48" i="1" s="1"/>
  <c r="G14" i="1"/>
  <c r="F56" i="1"/>
  <c r="G56" i="1" s="1"/>
  <c r="G22" i="1"/>
  <c r="H62" i="1"/>
  <c r="I62" i="1" s="1"/>
  <c r="I28" i="1"/>
  <c r="F39" i="1"/>
  <c r="G39" i="1" s="1"/>
  <c r="G5" i="1"/>
  <c r="F50" i="1"/>
  <c r="G50" i="1" s="1"/>
  <c r="G16" i="1"/>
  <c r="H61" i="1"/>
  <c r="I61" i="1" s="1"/>
  <c r="I27" i="1"/>
  <c r="H48" i="1"/>
  <c r="I48" i="1" s="1"/>
  <c r="I14" i="1"/>
  <c r="H59" i="1"/>
  <c r="I59" i="1" s="1"/>
  <c r="I25" i="1"/>
  <c r="H38" i="1"/>
  <c r="I4" i="1"/>
  <c r="F47" i="1"/>
  <c r="G47" i="1" s="1"/>
  <c r="G13" i="1"/>
  <c r="E66" i="1"/>
  <c r="AD32" i="1"/>
  <c r="AE32" i="1" s="1"/>
  <c r="AE31" i="1"/>
  <c r="Y47" i="1"/>
  <c r="T65" i="1"/>
  <c r="U65" i="1" s="1"/>
  <c r="U37" i="1"/>
  <c r="P65" i="1"/>
  <c r="U63" i="1"/>
  <c r="Y58" i="1"/>
  <c r="AA56" i="1"/>
  <c r="AA41" i="1"/>
  <c r="O41" i="1"/>
  <c r="Y40" i="1"/>
  <c r="Z65" i="1"/>
  <c r="AA37" i="1"/>
  <c r="V65" i="1"/>
  <c r="O63" i="1"/>
  <c r="Y62" i="1"/>
  <c r="O51" i="1"/>
  <c r="Y50" i="1"/>
  <c r="O49" i="1"/>
  <c r="O46" i="1"/>
  <c r="AA42" i="1"/>
  <c r="U40" i="1"/>
  <c r="S39" i="1"/>
  <c r="AY31" i="1"/>
  <c r="Y31" i="1"/>
  <c r="F43" i="1"/>
  <c r="G43" i="1" s="1"/>
  <c r="G9" i="1"/>
  <c r="H58" i="1"/>
  <c r="I58" i="1" s="1"/>
  <c r="I24" i="1"/>
  <c r="H42" i="1"/>
  <c r="I8" i="1"/>
  <c r="F51" i="1"/>
  <c r="G51" i="1" s="1"/>
  <c r="G17" i="1"/>
  <c r="F52" i="1"/>
  <c r="G52" i="1" s="1"/>
  <c r="G18" i="1"/>
  <c r="H41" i="1"/>
  <c r="I41" i="1" s="1"/>
  <c r="I7" i="1"/>
  <c r="F37" i="1"/>
  <c r="F31" i="1"/>
  <c r="G31" i="1" s="1"/>
  <c r="G3" i="1"/>
  <c r="F46" i="1"/>
  <c r="G46" i="1" s="1"/>
  <c r="G12" i="1"/>
  <c r="H45" i="1"/>
  <c r="I11" i="1"/>
  <c r="H40" i="1"/>
  <c r="I40" i="1" s="1"/>
  <c r="I6" i="1"/>
  <c r="H51" i="1"/>
  <c r="I17" i="1"/>
  <c r="F38" i="1"/>
  <c r="G38" i="1" s="1"/>
  <c r="G4" i="1"/>
  <c r="F45" i="1"/>
  <c r="G45" i="1" s="1"/>
  <c r="G11" i="1"/>
  <c r="H47" i="1"/>
  <c r="I47" i="1" s="1"/>
  <c r="I13" i="1"/>
  <c r="H49" i="1"/>
  <c r="I49" i="1" s="1"/>
  <c r="I15" i="1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195" i="3"/>
  <c r="M66" i="38" s="1"/>
  <c r="AU66" i="38" s="1"/>
  <c r="N194" i="3"/>
  <c r="M66" i="58" s="1"/>
  <c r="AU66" i="58" s="1"/>
  <c r="N193" i="3"/>
  <c r="M66" i="57" s="1"/>
  <c r="AU66" i="57" s="1"/>
  <c r="N192" i="3"/>
  <c r="M66" i="56" s="1"/>
  <c r="AU66" i="56" s="1"/>
  <c r="N191" i="3"/>
  <c r="M66" i="55" s="1"/>
  <c r="AU66" i="55" s="1"/>
  <c r="N190" i="3"/>
  <c r="M66" i="54" s="1"/>
  <c r="AU66" i="54" s="1"/>
  <c r="N189" i="3"/>
  <c r="M66" i="53" s="1"/>
  <c r="AU66" i="53" s="1"/>
  <c r="N188" i="3"/>
  <c r="M66" i="52" s="1"/>
  <c r="AU66" i="52" s="1"/>
  <c r="N187" i="3"/>
  <c r="M66" i="51" s="1"/>
  <c r="AU66" i="51" s="1"/>
  <c r="N186" i="3"/>
  <c r="M66" i="50" s="1"/>
  <c r="AU66" i="50" s="1"/>
  <c r="N185" i="3"/>
  <c r="M66" i="49" s="1"/>
  <c r="AU66" i="49" s="1"/>
  <c r="N184" i="3"/>
  <c r="M66" i="48" s="1"/>
  <c r="AU66" i="48" s="1"/>
  <c r="N183" i="3"/>
  <c r="M66" i="47" s="1"/>
  <c r="AU66" i="47" s="1"/>
  <c r="N182" i="3"/>
  <c r="M66" i="46" s="1"/>
  <c r="AU66" i="46" s="1"/>
  <c r="N181" i="3"/>
  <c r="M66" i="45" s="1"/>
  <c r="AU66" i="45" s="1"/>
  <c r="N180" i="3"/>
  <c r="M66" i="44" s="1"/>
  <c r="AU66" i="44" s="1"/>
  <c r="N179" i="3"/>
  <c r="M66" i="43" s="1"/>
  <c r="AU66" i="43" s="1"/>
  <c r="N178" i="3"/>
  <c r="M66" i="42" s="1"/>
  <c r="AU66" i="42" s="1"/>
  <c r="N177" i="3"/>
  <c r="M66" i="41" s="1"/>
  <c r="AU66" i="41" s="1"/>
  <c r="N176" i="3"/>
  <c r="M66" i="40" s="1"/>
  <c r="AU66" i="40" s="1"/>
  <c r="N175" i="3"/>
  <c r="M66" i="39" s="1"/>
  <c r="AU66" i="39" s="1"/>
  <c r="N174" i="3"/>
  <c r="M66" i="37" s="1"/>
  <c r="AU66" i="37" s="1"/>
  <c r="N173" i="3"/>
  <c r="M66" i="36" s="1"/>
  <c r="AU66" i="36" s="1"/>
  <c r="N172" i="3"/>
  <c r="M66" i="35" s="1"/>
  <c r="AU66" i="35" s="1"/>
  <c r="N171" i="3"/>
  <c r="M66" i="34" s="1"/>
  <c r="AU66" i="34" s="1"/>
  <c r="N170" i="3"/>
  <c r="M66" i="33" s="1"/>
  <c r="AU66" i="33" s="1"/>
  <c r="N169" i="3"/>
  <c r="M66" i="32" s="1"/>
  <c r="N168" i="3"/>
  <c r="M66" i="31" s="1"/>
  <c r="AU66" i="31" s="1"/>
  <c r="Q163" i="3"/>
  <c r="BN41" i="38" s="1"/>
  <c r="Q162" i="3"/>
  <c r="BN41" i="58" s="1"/>
  <c r="Q161" i="3"/>
  <c r="BN41" i="57" s="1"/>
  <c r="Q160" i="3"/>
  <c r="BN41" i="56" s="1"/>
  <c r="Q159" i="3"/>
  <c r="BN41" i="55" s="1"/>
  <c r="Q158" i="3"/>
  <c r="BN41" i="54" s="1"/>
  <c r="Q157" i="3"/>
  <c r="BN41" i="53" s="1"/>
  <c r="Q156" i="3"/>
  <c r="BN41" i="52" s="1"/>
  <c r="Q155" i="3"/>
  <c r="BN41" i="51" s="1"/>
  <c r="Q154" i="3"/>
  <c r="BN41" i="50" s="1"/>
  <c r="Q153" i="3"/>
  <c r="BN41" i="49" s="1"/>
  <c r="Q152" i="3"/>
  <c r="BN41" i="48" s="1"/>
  <c r="Q151" i="3"/>
  <c r="BN41" i="47" s="1"/>
  <c r="Q150" i="3"/>
  <c r="BN41" i="46" s="1"/>
  <c r="Q149" i="3"/>
  <c r="BN41" i="45" s="1"/>
  <c r="Q148" i="3"/>
  <c r="BN41" i="44" s="1"/>
  <c r="Q147" i="3"/>
  <c r="BN41" i="43" s="1"/>
  <c r="Q146" i="3"/>
  <c r="BN41" i="42" s="1"/>
  <c r="Q145" i="3"/>
  <c r="BN41" i="41" s="1"/>
  <c r="Q144" i="3"/>
  <c r="BN41" i="40" s="1"/>
  <c r="Q143" i="3"/>
  <c r="BN41" i="39" s="1"/>
  <c r="Q142" i="3"/>
  <c r="BN41" i="37" s="1"/>
  <c r="Q141" i="3"/>
  <c r="BN41" i="36" s="1"/>
  <c r="Q140" i="3"/>
  <c r="BN41" i="35" s="1"/>
  <c r="Q139" i="3"/>
  <c r="BN41" i="34" s="1"/>
  <c r="Q138" i="3"/>
  <c r="BN41" i="33" s="1"/>
  <c r="Q137" i="3"/>
  <c r="BN41" i="32" s="1"/>
  <c r="Q136" i="3"/>
  <c r="BN41" i="31" s="1"/>
  <c r="N131" i="3"/>
  <c r="BK20" i="38" s="1"/>
  <c r="N130" i="3"/>
  <c r="BK20" i="58" s="1"/>
  <c r="N129" i="3"/>
  <c r="BK20" i="57" s="1"/>
  <c r="N128" i="3"/>
  <c r="BK20" i="56" s="1"/>
  <c r="N127" i="3"/>
  <c r="BK20" i="55" s="1"/>
  <c r="N126" i="3"/>
  <c r="BK20" i="54" s="1"/>
  <c r="N125" i="3"/>
  <c r="BK20" i="53" s="1"/>
  <c r="N124" i="3"/>
  <c r="BK20" i="52" s="1"/>
  <c r="N123" i="3"/>
  <c r="BK20" i="51" s="1"/>
  <c r="N122" i="3"/>
  <c r="BK20" i="50" s="1"/>
  <c r="N121" i="3"/>
  <c r="BK20" i="49" s="1"/>
  <c r="N120" i="3"/>
  <c r="BK20" i="48" s="1"/>
  <c r="N119" i="3"/>
  <c r="BK20" i="47" s="1"/>
  <c r="N118" i="3"/>
  <c r="BK20" i="46" s="1"/>
  <c r="N117" i="3"/>
  <c r="BK20" i="45" s="1"/>
  <c r="N116" i="3"/>
  <c r="BK20" i="44" s="1"/>
  <c r="N115" i="3"/>
  <c r="BK20" i="43" s="1"/>
  <c r="N114" i="3"/>
  <c r="BK20" i="42" s="1"/>
  <c r="N113" i="3"/>
  <c r="BK20" i="41" s="1"/>
  <c r="N112" i="3"/>
  <c r="BK20" i="40" s="1"/>
  <c r="N111" i="3"/>
  <c r="BK20" i="39" s="1"/>
  <c r="N110" i="3"/>
  <c r="BK20" i="37" s="1"/>
  <c r="N109" i="3"/>
  <c r="BK20" i="36" s="1"/>
  <c r="N108" i="3"/>
  <c r="BK20" i="35" s="1"/>
  <c r="N107" i="3"/>
  <c r="BK20" i="34" s="1"/>
  <c r="N106" i="3"/>
  <c r="BK20" i="33" s="1"/>
  <c r="N105" i="3"/>
  <c r="BK20" i="32" s="1"/>
  <c r="N99" i="3"/>
  <c r="AU20" i="38" s="1"/>
  <c r="N98" i="3"/>
  <c r="AU20" i="58" s="1"/>
  <c r="N97" i="3"/>
  <c r="AU20" i="57" s="1"/>
  <c r="N96" i="3"/>
  <c r="AU20" i="56" s="1"/>
  <c r="N95" i="3"/>
  <c r="AU20" i="55" s="1"/>
  <c r="N94" i="3"/>
  <c r="AU20" i="54" s="1"/>
  <c r="N93" i="3"/>
  <c r="AU20" i="53" s="1"/>
  <c r="N92" i="3"/>
  <c r="AU20" i="52" s="1"/>
  <c r="N91" i="3"/>
  <c r="AU20" i="51" s="1"/>
  <c r="N90" i="3"/>
  <c r="AU20" i="50" s="1"/>
  <c r="N89" i="3"/>
  <c r="AU20" i="49" s="1"/>
  <c r="N88" i="3"/>
  <c r="AU20" i="48" s="1"/>
  <c r="N87" i="3"/>
  <c r="AU20" i="47" s="1"/>
  <c r="N86" i="3"/>
  <c r="AU20" i="46" s="1"/>
  <c r="N85" i="3"/>
  <c r="AU20" i="45" s="1"/>
  <c r="N84" i="3"/>
  <c r="AU20" i="44" s="1"/>
  <c r="N83" i="3"/>
  <c r="AU20" i="43" s="1"/>
  <c r="N82" i="3"/>
  <c r="AU20" i="42" s="1"/>
  <c r="N81" i="3"/>
  <c r="AU20" i="41" s="1"/>
  <c r="N80" i="3"/>
  <c r="AU20" i="40" s="1"/>
  <c r="N79" i="3"/>
  <c r="AU20" i="39" s="1"/>
  <c r="N78" i="3"/>
  <c r="AU20" i="37" s="1"/>
  <c r="N77" i="3"/>
  <c r="AU20" i="36" s="1"/>
  <c r="N76" i="3"/>
  <c r="AU20" i="35" s="1"/>
  <c r="N75" i="3"/>
  <c r="AU20" i="34" s="1"/>
  <c r="N74" i="3"/>
  <c r="AU20" i="33" s="1"/>
  <c r="N73" i="3"/>
  <c r="AU20" i="32" s="1"/>
  <c r="N67" i="3"/>
  <c r="M20" i="38" s="1"/>
  <c r="N66" i="3"/>
  <c r="M20" i="58" s="1"/>
  <c r="N65" i="3"/>
  <c r="M20" i="57" s="1"/>
  <c r="N64" i="3"/>
  <c r="M20" i="56" s="1"/>
  <c r="N63" i="3"/>
  <c r="M20" i="55" s="1"/>
  <c r="N62" i="3"/>
  <c r="M20" i="54" s="1"/>
  <c r="N61" i="3"/>
  <c r="M20" i="53" s="1"/>
  <c r="N60" i="3"/>
  <c r="M20" i="52" s="1"/>
  <c r="N59" i="3"/>
  <c r="M20" i="51" s="1"/>
  <c r="N58" i="3"/>
  <c r="M20" i="50" s="1"/>
  <c r="N57" i="3"/>
  <c r="M20" i="49" s="1"/>
  <c r="N56" i="3"/>
  <c r="M20" i="48" s="1"/>
  <c r="N55" i="3"/>
  <c r="M20" i="47" s="1"/>
  <c r="N54" i="3"/>
  <c r="M20" i="46" s="1"/>
  <c r="N53" i="3"/>
  <c r="M20" i="45" s="1"/>
  <c r="N52" i="3"/>
  <c r="M20" i="44" s="1"/>
  <c r="N51" i="3"/>
  <c r="M20" i="43" s="1"/>
  <c r="N50" i="3"/>
  <c r="M20" i="42" s="1"/>
  <c r="N49" i="3"/>
  <c r="M20" i="41" s="1"/>
  <c r="N48" i="3"/>
  <c r="M20" i="40" s="1"/>
  <c r="N47" i="3"/>
  <c r="M20" i="39" s="1"/>
  <c r="N46" i="3"/>
  <c r="M20" i="37" s="1"/>
  <c r="N45" i="3"/>
  <c r="M20" i="36" s="1"/>
  <c r="N44" i="3"/>
  <c r="M20" i="35" s="1"/>
  <c r="N43" i="3"/>
  <c r="M20" i="34" s="1"/>
  <c r="N42" i="3"/>
  <c r="M20" i="33" s="1"/>
  <c r="N41" i="3"/>
  <c r="M20" i="32" s="1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9" i="3"/>
  <c r="P148" i="3"/>
  <c r="P147" i="3"/>
  <c r="P146" i="3"/>
  <c r="P145" i="3"/>
  <c r="P144" i="3"/>
  <c r="P143" i="3"/>
  <c r="P142" i="3"/>
  <c r="P141" i="3"/>
  <c r="P140" i="3"/>
  <c r="P139" i="3"/>
  <c r="P138" i="3"/>
  <c r="P137" i="3"/>
  <c r="P136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G259" i="3"/>
  <c r="G258" i="3"/>
  <c r="G257" i="3"/>
  <c r="G256" i="3"/>
  <c r="G255" i="3"/>
  <c r="G254" i="3"/>
  <c r="G253" i="3"/>
  <c r="G252" i="3"/>
  <c r="G251" i="3"/>
  <c r="G250" i="3"/>
  <c r="G249" i="3"/>
  <c r="G248" i="3"/>
  <c r="G247" i="3"/>
  <c r="G246" i="3"/>
  <c r="G245" i="3"/>
  <c r="G244" i="3"/>
  <c r="G243" i="3"/>
  <c r="G242" i="3"/>
  <c r="G241" i="3"/>
  <c r="G240" i="3"/>
  <c r="G239" i="3"/>
  <c r="G238" i="3"/>
  <c r="G237" i="3"/>
  <c r="G236" i="3"/>
  <c r="G235" i="3"/>
  <c r="G234" i="3"/>
  <c r="G233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D259" i="3"/>
  <c r="D258" i="3"/>
  <c r="D257" i="3"/>
  <c r="D256" i="3"/>
  <c r="D255" i="3"/>
  <c r="D254" i="3"/>
  <c r="D253" i="3"/>
  <c r="D252" i="3"/>
  <c r="D251" i="3"/>
  <c r="D250" i="3"/>
  <c r="D249" i="3"/>
  <c r="D248" i="3"/>
  <c r="D247" i="3"/>
  <c r="D246" i="3"/>
  <c r="D245" i="3"/>
  <c r="D244" i="3"/>
  <c r="D243" i="3"/>
  <c r="D242" i="3"/>
  <c r="D241" i="3"/>
  <c r="D240" i="3"/>
  <c r="D239" i="3"/>
  <c r="D238" i="3"/>
  <c r="D237" i="3"/>
  <c r="D236" i="3"/>
  <c r="D235" i="3"/>
  <c r="D234" i="3"/>
  <c r="D233" i="3"/>
  <c r="D195" i="3"/>
  <c r="D194" i="3"/>
  <c r="D193" i="3"/>
  <c r="D192" i="3"/>
  <c r="D191" i="3"/>
  <c r="D190" i="3"/>
  <c r="D189" i="3"/>
  <c r="D188" i="3"/>
  <c r="D187" i="3"/>
  <c r="D186" i="3"/>
  <c r="D185" i="3"/>
  <c r="D184" i="3"/>
  <c r="D183" i="3"/>
  <c r="D182" i="3"/>
  <c r="D181" i="3"/>
  <c r="D180" i="3"/>
  <c r="D179" i="3"/>
  <c r="D178" i="3"/>
  <c r="D177" i="3"/>
  <c r="D176" i="3"/>
  <c r="D175" i="3"/>
  <c r="D174" i="3"/>
  <c r="D173" i="3"/>
  <c r="D172" i="3"/>
  <c r="D171" i="3"/>
  <c r="D170" i="3"/>
  <c r="D169" i="3"/>
  <c r="D168" i="3"/>
  <c r="D163" i="3"/>
  <c r="D162" i="3"/>
  <c r="D161" i="3"/>
  <c r="D160" i="3"/>
  <c r="D159" i="3"/>
  <c r="D158" i="3"/>
  <c r="D157" i="3"/>
  <c r="D156" i="3"/>
  <c r="D155" i="3"/>
  <c r="D154" i="3"/>
  <c r="D153" i="3"/>
  <c r="D152" i="3"/>
  <c r="D151" i="3"/>
  <c r="D150" i="3"/>
  <c r="D149" i="3"/>
  <c r="D148" i="3"/>
  <c r="D147" i="3"/>
  <c r="D146" i="3"/>
  <c r="D145" i="3"/>
  <c r="D144" i="3"/>
  <c r="D143" i="3"/>
  <c r="D142" i="3"/>
  <c r="D141" i="3"/>
  <c r="D140" i="3"/>
  <c r="D139" i="3"/>
  <c r="D138" i="3"/>
  <c r="D137" i="3"/>
  <c r="D136" i="3"/>
  <c r="D131" i="3"/>
  <c r="D130" i="3"/>
  <c r="D129" i="3"/>
  <c r="D128" i="3"/>
  <c r="D127" i="3"/>
  <c r="D126" i="3"/>
  <c r="D125" i="3"/>
  <c r="D124" i="3"/>
  <c r="D123" i="3"/>
  <c r="D122" i="3"/>
  <c r="D121" i="3"/>
  <c r="D120" i="3"/>
  <c r="D119" i="3"/>
  <c r="D118" i="3"/>
  <c r="D117" i="3"/>
  <c r="D116" i="3"/>
  <c r="D115" i="3"/>
  <c r="D114" i="3"/>
  <c r="D113" i="3"/>
  <c r="D112" i="3"/>
  <c r="D111" i="3"/>
  <c r="D110" i="3"/>
  <c r="D109" i="3"/>
  <c r="D108" i="3"/>
  <c r="D107" i="3"/>
  <c r="D106" i="3"/>
  <c r="D105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C259" i="3"/>
  <c r="C258" i="3"/>
  <c r="C257" i="3"/>
  <c r="C256" i="3"/>
  <c r="C255" i="3"/>
  <c r="C254" i="3"/>
  <c r="C253" i="3"/>
  <c r="C252" i="3"/>
  <c r="C251" i="3"/>
  <c r="O251" i="3" s="1"/>
  <c r="AC22" i="51" s="1"/>
  <c r="C250" i="3"/>
  <c r="C249" i="3"/>
  <c r="C248" i="3"/>
  <c r="C247" i="3"/>
  <c r="C246" i="3"/>
  <c r="C245" i="3"/>
  <c r="C244" i="3"/>
  <c r="C243" i="3"/>
  <c r="C242" i="3"/>
  <c r="C241" i="3"/>
  <c r="C240" i="3"/>
  <c r="C239" i="3"/>
  <c r="C238" i="3"/>
  <c r="C237" i="3"/>
  <c r="C236" i="3"/>
  <c r="C235" i="3"/>
  <c r="C234" i="3"/>
  <c r="C233" i="3"/>
  <c r="C195" i="3"/>
  <c r="C194" i="3"/>
  <c r="C193" i="3"/>
  <c r="C192" i="3"/>
  <c r="C191" i="3"/>
  <c r="C190" i="3"/>
  <c r="C189" i="3"/>
  <c r="C188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AC66" i="38"/>
  <c r="Y66" i="38"/>
  <c r="U66" i="38"/>
  <c r="AC66" i="56"/>
  <c r="Y67" i="56"/>
  <c r="U67" i="56"/>
  <c r="AC66" i="54"/>
  <c r="Y66" i="54"/>
  <c r="U66" i="54"/>
  <c r="AC66" i="53"/>
  <c r="Y66" i="53"/>
  <c r="U66" i="53"/>
  <c r="AC66" i="52"/>
  <c r="Y66" i="52"/>
  <c r="AC66" i="50"/>
  <c r="Y66" i="50"/>
  <c r="AC66" i="48"/>
  <c r="Y66" i="48"/>
  <c r="AC66" i="47"/>
  <c r="Y66" i="47"/>
  <c r="AC66" i="45"/>
  <c r="Y66" i="45"/>
  <c r="U66" i="45"/>
  <c r="AC66" i="43"/>
  <c r="Y66" i="43"/>
  <c r="U66" i="43"/>
  <c r="AC66" i="40"/>
  <c r="Y66" i="40"/>
  <c r="U66" i="40"/>
  <c r="W66" i="31"/>
  <c r="X66" i="31"/>
  <c r="V66" i="31"/>
  <c r="AC66" i="31"/>
  <c r="AB66" i="31"/>
  <c r="Z66" i="31"/>
  <c r="U66" i="31"/>
  <c r="Y66" i="31"/>
  <c r="AA66" i="31"/>
  <c r="AD66" i="31"/>
  <c r="X31" i="3"/>
  <c r="H9" i="30" s="1"/>
  <c r="S29" i="3"/>
  <c r="G20" i="28" s="1"/>
  <c r="U26" i="3"/>
  <c r="I20" i="25" s="1"/>
  <c r="W23" i="3"/>
  <c r="G9" i="22" s="1"/>
  <c r="Y23" i="3"/>
  <c r="I9" i="22" s="1"/>
  <c r="Y22" i="3"/>
  <c r="I9" i="21" s="1"/>
  <c r="AA21" i="3"/>
  <c r="G13" i="20" s="1"/>
  <c r="Z20" i="3"/>
  <c r="J9" i="19" s="1"/>
  <c r="AA19" i="3"/>
  <c r="G13" i="18" s="1"/>
  <c r="X16" i="3"/>
  <c r="H9" i="15" s="1"/>
  <c r="Y15" i="3"/>
  <c r="I9" i="14" s="1"/>
  <c r="S13" i="3"/>
  <c r="G20" i="12" s="1"/>
  <c r="AE12" i="3"/>
  <c r="G17" i="11" s="1"/>
  <c r="AD12" i="3"/>
  <c r="J13" i="11" s="1"/>
  <c r="AA12" i="3"/>
  <c r="G13" i="11" s="1"/>
  <c r="W12" i="3"/>
  <c r="G9" i="11" s="1"/>
  <c r="AA32" i="3"/>
  <c r="G13" i="10" s="1"/>
  <c r="W32" i="3"/>
  <c r="G9" i="10" s="1"/>
  <c r="V32" i="3"/>
  <c r="J20" i="10" s="1"/>
  <c r="AA10" i="3"/>
  <c r="Z10" i="3"/>
  <c r="J9" i="8" s="1"/>
  <c r="S9" i="3"/>
  <c r="Z8" i="3"/>
  <c r="J9" i="6" s="1"/>
  <c r="W8" i="3"/>
  <c r="G9" i="6" s="1"/>
  <c r="W7" i="3"/>
  <c r="G9" i="5" s="1"/>
  <c r="T7" i="3"/>
  <c r="H20" i="5" s="1"/>
  <c r="U7" i="3"/>
  <c r="I20" i="5" s="1"/>
  <c r="AB22" i="58"/>
  <c r="Z22" i="58"/>
  <c r="X22" i="58"/>
  <c r="V22" i="58"/>
  <c r="AB21" i="58"/>
  <c r="AB23" i="58" s="1"/>
  <c r="Z21" i="58"/>
  <c r="Z23" i="58" s="1"/>
  <c r="X21" i="58"/>
  <c r="X23" i="58" s="1"/>
  <c r="V21" i="58"/>
  <c r="V23" i="58" s="1"/>
  <c r="T1" i="58"/>
  <c r="AB22" i="57"/>
  <c r="Z22" i="57"/>
  <c r="X22" i="57"/>
  <c r="V22" i="57"/>
  <c r="AB21" i="57"/>
  <c r="AB23" i="57" s="1"/>
  <c r="Z21" i="57"/>
  <c r="Z23" i="57" s="1"/>
  <c r="X21" i="57"/>
  <c r="X23" i="57" s="1"/>
  <c r="V21" i="57"/>
  <c r="T1" i="57"/>
  <c r="AB22" i="56"/>
  <c r="Z22" i="56"/>
  <c r="X22" i="56"/>
  <c r="V22" i="56"/>
  <c r="AB21" i="56"/>
  <c r="AB23" i="56" s="1"/>
  <c r="Z21" i="56"/>
  <c r="X21" i="56"/>
  <c r="V21" i="56"/>
  <c r="T1" i="56"/>
  <c r="AB22" i="55"/>
  <c r="Z22" i="55"/>
  <c r="X22" i="55"/>
  <c r="V22" i="55"/>
  <c r="AB21" i="55"/>
  <c r="AB23" i="55" s="1"/>
  <c r="Z21" i="55"/>
  <c r="Z23" i="55" s="1"/>
  <c r="X21" i="55"/>
  <c r="X23" i="55" s="1"/>
  <c r="V21" i="55"/>
  <c r="V23" i="55" s="1"/>
  <c r="T1" i="55"/>
  <c r="AB22" i="54"/>
  <c r="Z22" i="54"/>
  <c r="X22" i="54"/>
  <c r="V22" i="54"/>
  <c r="AB21" i="54"/>
  <c r="AB23" i="54" s="1"/>
  <c r="Z21" i="54"/>
  <c r="Z23" i="54" s="1"/>
  <c r="X21" i="54"/>
  <c r="X23" i="54" s="1"/>
  <c r="V21" i="54"/>
  <c r="T1" i="54"/>
  <c r="AB22" i="53"/>
  <c r="Z22" i="53"/>
  <c r="X22" i="53"/>
  <c r="V22" i="53"/>
  <c r="AB21" i="53"/>
  <c r="AB23" i="53" s="1"/>
  <c r="Z21" i="53"/>
  <c r="Z23" i="53" s="1"/>
  <c r="X21" i="53"/>
  <c r="X23" i="53" s="1"/>
  <c r="V21" i="53"/>
  <c r="V23" i="53" s="1"/>
  <c r="T1" i="53"/>
  <c r="AB22" i="52"/>
  <c r="Z22" i="52"/>
  <c r="X22" i="52"/>
  <c r="V22" i="52"/>
  <c r="AB21" i="52"/>
  <c r="AB23" i="52" s="1"/>
  <c r="Z21" i="52"/>
  <c r="Z23" i="52" s="1"/>
  <c r="X21" i="52"/>
  <c r="X23" i="52" s="1"/>
  <c r="V21" i="52"/>
  <c r="V23" i="52" s="1"/>
  <c r="T1" i="52"/>
  <c r="AB22" i="51"/>
  <c r="Z22" i="51"/>
  <c r="X22" i="51"/>
  <c r="V22" i="51"/>
  <c r="AB21" i="51"/>
  <c r="AB23" i="51" s="1"/>
  <c r="Z21" i="51"/>
  <c r="Z23" i="51" s="1"/>
  <c r="X21" i="51"/>
  <c r="X23" i="51" s="1"/>
  <c r="V21" i="51"/>
  <c r="V23" i="51" s="1"/>
  <c r="T1" i="51"/>
  <c r="AB22" i="50"/>
  <c r="Z22" i="50"/>
  <c r="X22" i="50"/>
  <c r="V22" i="50"/>
  <c r="AB21" i="50"/>
  <c r="AB23" i="50" s="1"/>
  <c r="Z21" i="50"/>
  <c r="Z23" i="50" s="1"/>
  <c r="X21" i="50"/>
  <c r="X23" i="50" s="1"/>
  <c r="V21" i="50"/>
  <c r="T1" i="50"/>
  <c r="AB22" i="49"/>
  <c r="Z22" i="49"/>
  <c r="X22" i="49"/>
  <c r="V22" i="49"/>
  <c r="AB21" i="49"/>
  <c r="AB23" i="49" s="1"/>
  <c r="Z21" i="49"/>
  <c r="Z23" i="49" s="1"/>
  <c r="X21" i="49"/>
  <c r="X23" i="49" s="1"/>
  <c r="V21" i="49"/>
  <c r="V23" i="49" s="1"/>
  <c r="T1" i="49"/>
  <c r="AB22" i="48"/>
  <c r="Z22" i="48"/>
  <c r="X22" i="48"/>
  <c r="V22" i="48"/>
  <c r="AB21" i="48"/>
  <c r="AB23" i="48" s="1"/>
  <c r="Z21" i="48"/>
  <c r="Z23" i="48" s="1"/>
  <c r="X21" i="48"/>
  <c r="X23" i="48" s="1"/>
  <c r="V21" i="48"/>
  <c r="V23" i="48" s="1"/>
  <c r="T1" i="48"/>
  <c r="AB22" i="47"/>
  <c r="Z22" i="47"/>
  <c r="X22" i="47"/>
  <c r="V22" i="47"/>
  <c r="AB21" i="47"/>
  <c r="AB23" i="47" s="1"/>
  <c r="Z21" i="47"/>
  <c r="Z23" i="47" s="1"/>
  <c r="X21" i="47"/>
  <c r="X23" i="47" s="1"/>
  <c r="V21" i="47"/>
  <c r="T1" i="47"/>
  <c r="AB22" i="46"/>
  <c r="Z22" i="46"/>
  <c r="X22" i="46"/>
  <c r="V22" i="46"/>
  <c r="AB21" i="46"/>
  <c r="Z21" i="46"/>
  <c r="Z23" i="46" s="1"/>
  <c r="X21" i="46"/>
  <c r="V21" i="46"/>
  <c r="T1" i="46"/>
  <c r="AB22" i="45"/>
  <c r="Z22" i="45"/>
  <c r="X22" i="45"/>
  <c r="V22" i="45"/>
  <c r="AB21" i="45"/>
  <c r="AB23" i="45" s="1"/>
  <c r="Z21" i="45"/>
  <c r="Z23" i="45" s="1"/>
  <c r="X21" i="45"/>
  <c r="X23" i="45" s="1"/>
  <c r="V21" i="45"/>
  <c r="T1" i="45"/>
  <c r="AB22" i="44"/>
  <c r="Z22" i="44"/>
  <c r="X22" i="44"/>
  <c r="V22" i="44"/>
  <c r="AB21" i="44"/>
  <c r="AB23" i="44" s="1"/>
  <c r="Z21" i="44"/>
  <c r="Z23" i="44" s="1"/>
  <c r="X21" i="44"/>
  <c r="X23" i="44" s="1"/>
  <c r="V21" i="44"/>
  <c r="V23" i="44" s="1"/>
  <c r="T1" i="44"/>
  <c r="AB22" i="43"/>
  <c r="Z22" i="43"/>
  <c r="X22" i="43"/>
  <c r="V22" i="43"/>
  <c r="AB21" i="43"/>
  <c r="AB23" i="43" s="1"/>
  <c r="Z21" i="43"/>
  <c r="Z23" i="43" s="1"/>
  <c r="X21" i="43"/>
  <c r="X23" i="43" s="1"/>
  <c r="V21" i="43"/>
  <c r="V23" i="43" s="1"/>
  <c r="T1" i="43"/>
  <c r="AB22" i="42"/>
  <c r="Z22" i="42"/>
  <c r="X22" i="42"/>
  <c r="V22" i="42"/>
  <c r="AB21" i="42"/>
  <c r="Z21" i="42"/>
  <c r="Z23" i="42" s="1"/>
  <c r="X21" i="42"/>
  <c r="X23" i="42" s="1"/>
  <c r="V21" i="42"/>
  <c r="V23" i="42" s="1"/>
  <c r="T1" i="42"/>
  <c r="AB22" i="41"/>
  <c r="Z22" i="41"/>
  <c r="X22" i="41"/>
  <c r="V22" i="41"/>
  <c r="AB21" i="41"/>
  <c r="AB23" i="41" s="1"/>
  <c r="Z21" i="41"/>
  <c r="X21" i="41"/>
  <c r="X23" i="41" s="1"/>
  <c r="V21" i="41"/>
  <c r="T1" i="41"/>
  <c r="AB22" i="40"/>
  <c r="Z22" i="40"/>
  <c r="X22" i="40"/>
  <c r="V22" i="40"/>
  <c r="AB21" i="40"/>
  <c r="AB23" i="40"/>
  <c r="Z21" i="40"/>
  <c r="Z23" i="40" s="1"/>
  <c r="X21" i="40"/>
  <c r="V21" i="40"/>
  <c r="T1" i="40"/>
  <c r="AB22" i="39"/>
  <c r="Z22" i="39"/>
  <c r="X22" i="39"/>
  <c r="V22" i="39"/>
  <c r="AB21" i="39"/>
  <c r="AB23" i="39" s="1"/>
  <c r="Z21" i="39"/>
  <c r="Z23" i="39" s="1"/>
  <c r="X21" i="39"/>
  <c r="X23" i="39" s="1"/>
  <c r="V21" i="39"/>
  <c r="V23" i="39" s="1"/>
  <c r="T1" i="39"/>
  <c r="AB22" i="38"/>
  <c r="Z22" i="38"/>
  <c r="X22" i="38"/>
  <c r="V22" i="38"/>
  <c r="AB21" i="38"/>
  <c r="AB23" i="38" s="1"/>
  <c r="Z21" i="38"/>
  <c r="Z23" i="38"/>
  <c r="X21" i="38"/>
  <c r="X23" i="38" s="1"/>
  <c r="V21" i="38"/>
  <c r="T1" i="38"/>
  <c r="AB22" i="37"/>
  <c r="Z22" i="37"/>
  <c r="X22" i="37"/>
  <c r="V22" i="37"/>
  <c r="AB21" i="37"/>
  <c r="AB23" i="37"/>
  <c r="Z21" i="37"/>
  <c r="X21" i="37"/>
  <c r="V21" i="37"/>
  <c r="T1" i="37"/>
  <c r="AB22" i="36"/>
  <c r="Z22" i="36"/>
  <c r="X22" i="36"/>
  <c r="V22" i="36"/>
  <c r="AB21" i="36"/>
  <c r="AB23" i="36" s="1"/>
  <c r="Z21" i="36"/>
  <c r="Z23" i="36" s="1"/>
  <c r="X21" i="36"/>
  <c r="V21" i="36"/>
  <c r="V23" i="36" s="1"/>
  <c r="T1" i="36"/>
  <c r="AB22" i="35"/>
  <c r="Z22" i="35"/>
  <c r="X22" i="35"/>
  <c r="V22" i="35"/>
  <c r="AB21" i="35"/>
  <c r="AB23" i="35" s="1"/>
  <c r="Z21" i="35"/>
  <c r="Z23" i="35" s="1"/>
  <c r="X21" i="35"/>
  <c r="V21" i="35"/>
  <c r="T1" i="35"/>
  <c r="AB22" i="34"/>
  <c r="Z22" i="34"/>
  <c r="X22" i="34"/>
  <c r="V22" i="34"/>
  <c r="AB21" i="34"/>
  <c r="AB23" i="34" s="1"/>
  <c r="Z21" i="34"/>
  <c r="Z23" i="34" s="1"/>
  <c r="X21" i="34"/>
  <c r="X23" i="34" s="1"/>
  <c r="V21" i="34"/>
  <c r="T1" i="34"/>
  <c r="AB22" i="33"/>
  <c r="Z22" i="33"/>
  <c r="X22" i="33"/>
  <c r="V22" i="33"/>
  <c r="AB21" i="33"/>
  <c r="AB23" i="33" s="1"/>
  <c r="Z21" i="33"/>
  <c r="Z23" i="33" s="1"/>
  <c r="X21" i="33"/>
  <c r="X23" i="33" s="1"/>
  <c r="V21" i="33"/>
  <c r="V23" i="33" s="1"/>
  <c r="T1" i="33"/>
  <c r="AB22" i="32"/>
  <c r="Z22" i="32"/>
  <c r="X22" i="32"/>
  <c r="V22" i="32"/>
  <c r="AB21" i="32"/>
  <c r="AB23" i="32" s="1"/>
  <c r="Z21" i="32"/>
  <c r="Z23" i="32" s="1"/>
  <c r="X21" i="32"/>
  <c r="X23" i="32" s="1"/>
  <c r="V21" i="32"/>
  <c r="T1" i="32"/>
  <c r="S46" i="32"/>
  <c r="T46" i="32"/>
  <c r="T1" i="31"/>
  <c r="V21" i="31"/>
  <c r="X21" i="31"/>
  <c r="Z21" i="31"/>
  <c r="AB21" i="31"/>
  <c r="V22" i="31"/>
  <c r="X22" i="31"/>
  <c r="Z22" i="31"/>
  <c r="AB22" i="31"/>
  <c r="AG291" i="3"/>
  <c r="AF291" i="3"/>
  <c r="AE291" i="3"/>
  <c r="AD291" i="3"/>
  <c r="AC291" i="3"/>
  <c r="AB291" i="3"/>
  <c r="AA291" i="3"/>
  <c r="Z291" i="3"/>
  <c r="Y291" i="3"/>
  <c r="X291" i="3"/>
  <c r="W291" i="3"/>
  <c r="AH291" i="3"/>
  <c r="V291" i="3"/>
  <c r="AG290" i="3"/>
  <c r="AF290" i="3"/>
  <c r="AE290" i="3"/>
  <c r="AD290" i="3"/>
  <c r="AC290" i="3"/>
  <c r="AB290" i="3"/>
  <c r="AA290" i="3"/>
  <c r="Z290" i="3"/>
  <c r="Y290" i="3"/>
  <c r="X290" i="3"/>
  <c r="W290" i="3"/>
  <c r="AJ290" i="3"/>
  <c r="V290" i="3"/>
  <c r="AG289" i="3"/>
  <c r="AF289" i="3"/>
  <c r="AE289" i="3"/>
  <c r="AD289" i="3"/>
  <c r="AC289" i="3"/>
  <c r="AB289" i="3"/>
  <c r="AA289" i="3"/>
  <c r="Z289" i="3"/>
  <c r="Y289" i="3"/>
  <c r="X289" i="3"/>
  <c r="W289" i="3"/>
  <c r="AK289" i="3"/>
  <c r="V289" i="3"/>
  <c r="AG288" i="3"/>
  <c r="AF288" i="3"/>
  <c r="AE288" i="3"/>
  <c r="AD288" i="3"/>
  <c r="AC288" i="3"/>
  <c r="AB288" i="3"/>
  <c r="AA288" i="3"/>
  <c r="Z288" i="3"/>
  <c r="Y288" i="3"/>
  <c r="X288" i="3"/>
  <c r="W288" i="3"/>
  <c r="AI288" i="3"/>
  <c r="V288" i="3"/>
  <c r="AG287" i="3"/>
  <c r="AF287" i="3"/>
  <c r="AE287" i="3"/>
  <c r="AD287" i="3"/>
  <c r="AC287" i="3"/>
  <c r="AB287" i="3"/>
  <c r="AA287" i="3"/>
  <c r="Z287" i="3"/>
  <c r="Y287" i="3"/>
  <c r="X287" i="3"/>
  <c r="W287" i="3"/>
  <c r="AJ287" i="3"/>
  <c r="V287" i="3"/>
  <c r="AG286" i="3"/>
  <c r="AF286" i="3"/>
  <c r="AE286" i="3"/>
  <c r="AD286" i="3"/>
  <c r="AC286" i="3"/>
  <c r="AB286" i="3"/>
  <c r="AA286" i="3"/>
  <c r="Z286" i="3"/>
  <c r="Y286" i="3"/>
  <c r="X286" i="3"/>
  <c r="W286" i="3"/>
  <c r="AH286" i="3"/>
  <c r="V286" i="3"/>
  <c r="AG285" i="3"/>
  <c r="AF285" i="3"/>
  <c r="AE285" i="3"/>
  <c r="AD285" i="3"/>
  <c r="AC285" i="3"/>
  <c r="AB285" i="3"/>
  <c r="AA285" i="3"/>
  <c r="Z285" i="3"/>
  <c r="Y285" i="3"/>
  <c r="X285" i="3"/>
  <c r="W285" i="3"/>
  <c r="AI285" i="3"/>
  <c r="V285" i="3"/>
  <c r="AG284" i="3"/>
  <c r="AF284" i="3"/>
  <c r="AE284" i="3"/>
  <c r="AD284" i="3"/>
  <c r="AC284" i="3"/>
  <c r="AB284" i="3"/>
  <c r="AA284" i="3"/>
  <c r="Z284" i="3"/>
  <c r="Y284" i="3"/>
  <c r="X284" i="3"/>
  <c r="W284" i="3"/>
  <c r="AK284" i="3"/>
  <c r="V284" i="3"/>
  <c r="AG283" i="3"/>
  <c r="AF283" i="3"/>
  <c r="AE283" i="3"/>
  <c r="AD283" i="3"/>
  <c r="AC283" i="3"/>
  <c r="AB283" i="3"/>
  <c r="AA283" i="3"/>
  <c r="Z283" i="3"/>
  <c r="Y283" i="3"/>
  <c r="X283" i="3"/>
  <c r="W283" i="3"/>
  <c r="AH283" i="3"/>
  <c r="V283" i="3"/>
  <c r="AG282" i="3"/>
  <c r="AF282" i="3"/>
  <c r="AE282" i="3"/>
  <c r="AD282" i="3"/>
  <c r="AC282" i="3"/>
  <c r="AB282" i="3"/>
  <c r="AA282" i="3"/>
  <c r="Z282" i="3"/>
  <c r="Y282" i="3"/>
  <c r="X282" i="3"/>
  <c r="W282" i="3"/>
  <c r="AJ282" i="3"/>
  <c r="V282" i="3"/>
  <c r="AG281" i="3"/>
  <c r="AF281" i="3"/>
  <c r="AE281" i="3"/>
  <c r="AD281" i="3"/>
  <c r="AC281" i="3"/>
  <c r="AB281" i="3"/>
  <c r="AA281" i="3"/>
  <c r="Z281" i="3"/>
  <c r="Y281" i="3"/>
  <c r="X281" i="3"/>
  <c r="W281" i="3"/>
  <c r="AK281" i="3"/>
  <c r="V281" i="3"/>
  <c r="AG280" i="3"/>
  <c r="AF280" i="3"/>
  <c r="AE280" i="3"/>
  <c r="AD280" i="3"/>
  <c r="AC280" i="3"/>
  <c r="AB280" i="3"/>
  <c r="AA280" i="3"/>
  <c r="Z280" i="3"/>
  <c r="Y280" i="3"/>
  <c r="X280" i="3"/>
  <c r="W280" i="3"/>
  <c r="AI280" i="3"/>
  <c r="V280" i="3"/>
  <c r="AG279" i="3"/>
  <c r="AF279" i="3"/>
  <c r="AE279" i="3"/>
  <c r="AD279" i="3"/>
  <c r="AC279" i="3"/>
  <c r="AB279" i="3"/>
  <c r="AA279" i="3"/>
  <c r="Z279" i="3"/>
  <c r="Y279" i="3"/>
  <c r="X279" i="3"/>
  <c r="W279" i="3"/>
  <c r="AJ279" i="3"/>
  <c r="V279" i="3"/>
  <c r="AG278" i="3"/>
  <c r="AF278" i="3"/>
  <c r="AE278" i="3"/>
  <c r="AD278" i="3"/>
  <c r="AC278" i="3"/>
  <c r="AB278" i="3"/>
  <c r="AA278" i="3"/>
  <c r="Z278" i="3"/>
  <c r="Y278" i="3"/>
  <c r="X278" i="3"/>
  <c r="W278" i="3"/>
  <c r="AH278" i="3"/>
  <c r="V278" i="3"/>
  <c r="AG277" i="3"/>
  <c r="AF277" i="3"/>
  <c r="AE277" i="3"/>
  <c r="AD277" i="3"/>
  <c r="AC277" i="3"/>
  <c r="AB277" i="3"/>
  <c r="AA277" i="3"/>
  <c r="Z277" i="3"/>
  <c r="Y277" i="3"/>
  <c r="X277" i="3"/>
  <c r="W277" i="3"/>
  <c r="AI277" i="3"/>
  <c r="V277" i="3"/>
  <c r="AG276" i="3"/>
  <c r="AF276" i="3"/>
  <c r="AE276" i="3"/>
  <c r="AD276" i="3"/>
  <c r="AC276" i="3"/>
  <c r="AB276" i="3"/>
  <c r="AA276" i="3"/>
  <c r="Z276" i="3"/>
  <c r="Y276" i="3"/>
  <c r="X276" i="3"/>
  <c r="W276" i="3"/>
  <c r="AK276" i="3"/>
  <c r="V276" i="3"/>
  <c r="AG275" i="3"/>
  <c r="AF275" i="3"/>
  <c r="AE275" i="3"/>
  <c r="AD275" i="3"/>
  <c r="AC275" i="3"/>
  <c r="AB275" i="3"/>
  <c r="AA275" i="3"/>
  <c r="Z275" i="3"/>
  <c r="Y275" i="3"/>
  <c r="X275" i="3"/>
  <c r="W275" i="3"/>
  <c r="AH275" i="3"/>
  <c r="V275" i="3"/>
  <c r="AG274" i="3"/>
  <c r="AF274" i="3"/>
  <c r="AE274" i="3"/>
  <c r="AD274" i="3"/>
  <c r="AC274" i="3"/>
  <c r="AB274" i="3"/>
  <c r="AA274" i="3"/>
  <c r="Z274" i="3"/>
  <c r="Y274" i="3"/>
  <c r="X274" i="3"/>
  <c r="W274" i="3"/>
  <c r="AJ274" i="3"/>
  <c r="V274" i="3"/>
  <c r="AG273" i="3"/>
  <c r="AF273" i="3"/>
  <c r="AE273" i="3"/>
  <c r="AD273" i="3"/>
  <c r="AC273" i="3"/>
  <c r="AB273" i="3"/>
  <c r="AA273" i="3"/>
  <c r="Z273" i="3"/>
  <c r="Y273" i="3"/>
  <c r="X273" i="3"/>
  <c r="W273" i="3"/>
  <c r="AK273" i="3"/>
  <c r="V273" i="3"/>
  <c r="AG272" i="3"/>
  <c r="AF272" i="3"/>
  <c r="AE272" i="3"/>
  <c r="AD272" i="3"/>
  <c r="AC272" i="3"/>
  <c r="AB272" i="3"/>
  <c r="AA272" i="3"/>
  <c r="Z272" i="3"/>
  <c r="Y272" i="3"/>
  <c r="X272" i="3"/>
  <c r="W272" i="3"/>
  <c r="AI272" i="3"/>
  <c r="V272" i="3"/>
  <c r="AG271" i="3"/>
  <c r="AF271" i="3"/>
  <c r="AE271" i="3"/>
  <c r="AD271" i="3"/>
  <c r="AC271" i="3"/>
  <c r="AB271" i="3"/>
  <c r="AA271" i="3"/>
  <c r="Z271" i="3"/>
  <c r="Y271" i="3"/>
  <c r="X271" i="3"/>
  <c r="W271" i="3"/>
  <c r="AJ271" i="3"/>
  <c r="V271" i="3"/>
  <c r="AG270" i="3"/>
  <c r="AF270" i="3"/>
  <c r="AE270" i="3"/>
  <c r="AD270" i="3"/>
  <c r="AC270" i="3"/>
  <c r="AB270" i="3"/>
  <c r="AA270" i="3"/>
  <c r="Z270" i="3"/>
  <c r="Y270" i="3"/>
  <c r="X270" i="3"/>
  <c r="W270" i="3"/>
  <c r="AH270" i="3"/>
  <c r="V270" i="3"/>
  <c r="AG269" i="3"/>
  <c r="AF269" i="3"/>
  <c r="AE269" i="3"/>
  <c r="AD269" i="3"/>
  <c r="AC269" i="3"/>
  <c r="AB269" i="3"/>
  <c r="AA269" i="3"/>
  <c r="Z269" i="3"/>
  <c r="Y269" i="3"/>
  <c r="X269" i="3"/>
  <c r="W269" i="3"/>
  <c r="AI269" i="3"/>
  <c r="V269" i="3"/>
  <c r="AG268" i="3"/>
  <c r="AF268" i="3"/>
  <c r="AE268" i="3"/>
  <c r="AD268" i="3"/>
  <c r="AC268" i="3"/>
  <c r="AB268" i="3"/>
  <c r="AA268" i="3"/>
  <c r="Z268" i="3"/>
  <c r="Y268" i="3"/>
  <c r="X268" i="3"/>
  <c r="W268" i="3"/>
  <c r="AK268" i="3"/>
  <c r="V268" i="3"/>
  <c r="AG267" i="3"/>
  <c r="AF267" i="3"/>
  <c r="AE267" i="3"/>
  <c r="AD267" i="3"/>
  <c r="AC267" i="3"/>
  <c r="AB267" i="3"/>
  <c r="AA267" i="3"/>
  <c r="Z267" i="3"/>
  <c r="Y267" i="3"/>
  <c r="X267" i="3"/>
  <c r="W267" i="3"/>
  <c r="AH267" i="3"/>
  <c r="V267" i="3"/>
  <c r="AG266" i="3"/>
  <c r="AF266" i="3"/>
  <c r="AE266" i="3"/>
  <c r="AD266" i="3"/>
  <c r="AC266" i="3"/>
  <c r="AB266" i="3"/>
  <c r="AA266" i="3"/>
  <c r="Z266" i="3"/>
  <c r="Y266" i="3"/>
  <c r="X266" i="3"/>
  <c r="W266" i="3"/>
  <c r="AJ266" i="3"/>
  <c r="V266" i="3"/>
  <c r="AG265" i="3"/>
  <c r="AF265" i="3"/>
  <c r="AF264" i="3"/>
  <c r="AE265" i="3"/>
  <c r="AD265" i="3"/>
  <c r="AC265" i="3"/>
  <c r="AB265" i="3"/>
  <c r="AB264" i="3"/>
  <c r="AA265" i="3"/>
  <c r="Z265" i="3"/>
  <c r="Y265" i="3"/>
  <c r="X265" i="3"/>
  <c r="X264" i="3"/>
  <c r="W265" i="3"/>
  <c r="AK265" i="3"/>
  <c r="V265" i="3"/>
  <c r="AK291" i="3"/>
  <c r="AJ291" i="3"/>
  <c r="AI291" i="3"/>
  <c r="AK290" i="3"/>
  <c r="AI290" i="3"/>
  <c r="AH290" i="3"/>
  <c r="AJ289" i="3"/>
  <c r="AI289" i="3"/>
  <c r="AH289" i="3"/>
  <c r="AK288" i="3"/>
  <c r="AJ288" i="3"/>
  <c r="AH288" i="3"/>
  <c r="AK287" i="3"/>
  <c r="AI287" i="3"/>
  <c r="AH287" i="3"/>
  <c r="AK286" i="3"/>
  <c r="AJ286" i="3"/>
  <c r="AI286" i="3"/>
  <c r="AK285" i="3"/>
  <c r="AJ285" i="3"/>
  <c r="AH285" i="3"/>
  <c r="AJ284" i="3"/>
  <c r="AI284" i="3"/>
  <c r="AH284" i="3"/>
  <c r="AK283" i="3"/>
  <c r="AJ283" i="3"/>
  <c r="AI283" i="3"/>
  <c r="AK282" i="3"/>
  <c r="AI282" i="3"/>
  <c r="AH282" i="3"/>
  <c r="AJ281" i="3"/>
  <c r="AI281" i="3"/>
  <c r="AH281" i="3"/>
  <c r="AK280" i="3"/>
  <c r="AJ280" i="3"/>
  <c r="AH280" i="3"/>
  <c r="AK279" i="3"/>
  <c r="AI279" i="3"/>
  <c r="AH279" i="3"/>
  <c r="AK278" i="3"/>
  <c r="AJ278" i="3"/>
  <c r="AI278" i="3"/>
  <c r="AK277" i="3"/>
  <c r="AJ277" i="3"/>
  <c r="AH277" i="3"/>
  <c r="AJ276" i="3"/>
  <c r="AI276" i="3"/>
  <c r="AH276" i="3"/>
  <c r="AK275" i="3"/>
  <c r="AJ275" i="3"/>
  <c r="AI275" i="3"/>
  <c r="AK274" i="3"/>
  <c r="AI274" i="3"/>
  <c r="AH274" i="3"/>
  <c r="AJ273" i="3"/>
  <c r="AI273" i="3"/>
  <c r="AH273" i="3"/>
  <c r="AK272" i="3"/>
  <c r="AJ272" i="3"/>
  <c r="AH272" i="3"/>
  <c r="AK271" i="3"/>
  <c r="AI271" i="3"/>
  <c r="AH271" i="3"/>
  <c r="AK270" i="3"/>
  <c r="AJ270" i="3"/>
  <c r="AI270" i="3"/>
  <c r="AK269" i="3"/>
  <c r="AJ269" i="3"/>
  <c r="AH269" i="3"/>
  <c r="AJ268" i="3"/>
  <c r="AI268" i="3"/>
  <c r="AH268" i="3"/>
  <c r="AK267" i="3"/>
  <c r="AJ267" i="3"/>
  <c r="AI267" i="3"/>
  <c r="AK266" i="3"/>
  <c r="AI266" i="3"/>
  <c r="AH266" i="3"/>
  <c r="AJ265" i="3"/>
  <c r="AI265" i="3"/>
  <c r="AG264" i="3"/>
  <c r="AE264" i="3"/>
  <c r="AD264" i="3"/>
  <c r="AC264" i="3"/>
  <c r="AA264" i="3"/>
  <c r="Z264" i="3"/>
  <c r="Y264" i="3"/>
  <c r="W264" i="3"/>
  <c r="AK259" i="3"/>
  <c r="AJ259" i="3"/>
  <c r="AI259" i="3"/>
  <c r="AK258" i="3"/>
  <c r="AJ258" i="3"/>
  <c r="AI258" i="3"/>
  <c r="AK257" i="3"/>
  <c r="AJ257" i="3"/>
  <c r="AI257" i="3"/>
  <c r="AK256" i="3"/>
  <c r="AJ256" i="3"/>
  <c r="AI256" i="3"/>
  <c r="AK255" i="3"/>
  <c r="AJ255" i="3"/>
  <c r="AI255" i="3"/>
  <c r="AK254" i="3"/>
  <c r="AJ254" i="3"/>
  <c r="AI254" i="3"/>
  <c r="AK253" i="3"/>
  <c r="AJ253" i="3"/>
  <c r="AI253" i="3"/>
  <c r="AK252" i="3"/>
  <c r="AJ252" i="3"/>
  <c r="AI252" i="3"/>
  <c r="AK251" i="3"/>
  <c r="AJ251" i="3"/>
  <c r="AI251" i="3"/>
  <c r="AK250" i="3"/>
  <c r="AJ250" i="3"/>
  <c r="AI250" i="3"/>
  <c r="AK249" i="3"/>
  <c r="AJ249" i="3"/>
  <c r="AI249" i="3"/>
  <c r="AK248" i="3"/>
  <c r="AJ248" i="3"/>
  <c r="AI248" i="3"/>
  <c r="AK247" i="3"/>
  <c r="AJ247" i="3"/>
  <c r="AI247" i="3"/>
  <c r="AK246" i="3"/>
  <c r="AJ246" i="3"/>
  <c r="AI246" i="3"/>
  <c r="AK245" i="3"/>
  <c r="AJ245" i="3"/>
  <c r="AI245" i="3"/>
  <c r="AK244" i="3"/>
  <c r="AJ244" i="3"/>
  <c r="AI244" i="3"/>
  <c r="AK243" i="3"/>
  <c r="AJ243" i="3"/>
  <c r="AI243" i="3"/>
  <c r="AK242" i="3"/>
  <c r="AJ242" i="3"/>
  <c r="AI242" i="3"/>
  <c r="AK241" i="3"/>
  <c r="AJ241" i="3"/>
  <c r="AI241" i="3"/>
  <c r="AK240" i="3"/>
  <c r="AJ240" i="3"/>
  <c r="AI240" i="3"/>
  <c r="AK239" i="3"/>
  <c r="AJ239" i="3"/>
  <c r="AI239" i="3"/>
  <c r="AK238" i="3"/>
  <c r="AJ238" i="3"/>
  <c r="AI238" i="3"/>
  <c r="AK237" i="3"/>
  <c r="AJ237" i="3"/>
  <c r="AI237" i="3"/>
  <c r="AK236" i="3"/>
  <c r="AJ236" i="3"/>
  <c r="AI236" i="3"/>
  <c r="AK235" i="3"/>
  <c r="AJ235" i="3"/>
  <c r="AI235" i="3"/>
  <c r="AK234" i="3"/>
  <c r="AJ234" i="3"/>
  <c r="AI234" i="3"/>
  <c r="AK233" i="3"/>
  <c r="AJ233" i="3"/>
  <c r="AI233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F232" i="3"/>
  <c r="AB232" i="3"/>
  <c r="X232" i="3"/>
  <c r="AH235" i="3"/>
  <c r="AG232" i="3"/>
  <c r="AC232" i="3"/>
  <c r="Y232" i="3"/>
  <c r="AH234" i="3"/>
  <c r="AH233" i="3"/>
  <c r="AE232" i="3"/>
  <c r="AD232" i="3"/>
  <c r="AA232" i="3"/>
  <c r="Z232" i="3"/>
  <c r="W232" i="3"/>
  <c r="V232" i="3"/>
  <c r="AI232" i="3"/>
  <c r="P253" i="3"/>
  <c r="W22" i="53" s="1"/>
  <c r="O258" i="3"/>
  <c r="AC22" i="58" s="1"/>
  <c r="AE22" i="58" s="1"/>
  <c r="O253" i="3"/>
  <c r="AC22" i="53" s="1"/>
  <c r="AE22" i="53" s="1"/>
  <c r="AH265" i="3"/>
  <c r="V264" i="3"/>
  <c r="AH264" i="3"/>
  <c r="AI264" i="3"/>
  <c r="AJ232" i="3"/>
  <c r="AK232" i="3"/>
  <c r="AH232" i="3"/>
  <c r="AK264" i="3"/>
  <c r="AJ264" i="3"/>
  <c r="BK41" i="38"/>
  <c r="BK41" i="58"/>
  <c r="BK41" i="57"/>
  <c r="BK41" i="56"/>
  <c r="BK41" i="55"/>
  <c r="BK41" i="54"/>
  <c r="BK41" i="53"/>
  <c r="BK41" i="52"/>
  <c r="BK41" i="51"/>
  <c r="BK41" i="50"/>
  <c r="BK41" i="49"/>
  <c r="BK41" i="48"/>
  <c r="BK41" i="47"/>
  <c r="BK41" i="46"/>
  <c r="BK41" i="45"/>
  <c r="BK41" i="44"/>
  <c r="BK41" i="43"/>
  <c r="BK41" i="42"/>
  <c r="BK41" i="41"/>
  <c r="BK41" i="40"/>
  <c r="BK41" i="39"/>
  <c r="BK41" i="37"/>
  <c r="BK41" i="36"/>
  <c r="BK41" i="35"/>
  <c r="BK41" i="34"/>
  <c r="BK41" i="33"/>
  <c r="BK41" i="31"/>
  <c r="S31" i="3"/>
  <c r="G20" i="30"/>
  <c r="S30" i="3"/>
  <c r="G20" i="29" s="1"/>
  <c r="W29" i="3"/>
  <c r="G9" i="28" s="1"/>
  <c r="S28" i="3"/>
  <c r="G20" i="27"/>
  <c r="W24" i="3"/>
  <c r="G9" i="23" s="1"/>
  <c r="S23" i="3"/>
  <c r="G20" i="22" s="1"/>
  <c r="AA20" i="3"/>
  <c r="G13" i="19" s="1"/>
  <c r="W20" i="3"/>
  <c r="G9" i="19" s="1"/>
  <c r="AE19" i="3"/>
  <c r="G17" i="18" s="1"/>
  <c r="S19" i="3"/>
  <c r="AE16" i="3"/>
  <c r="G17" i="15" s="1"/>
  <c r="AA16" i="3"/>
  <c r="G13" i="15" s="1"/>
  <c r="AA14" i="3"/>
  <c r="G13" i="13" s="1"/>
  <c r="Z14" i="3"/>
  <c r="J9" i="13" s="1"/>
  <c r="W15" i="3"/>
  <c r="G9" i="14" s="1"/>
  <c r="S20" i="3"/>
  <c r="G20" i="19" s="1"/>
  <c r="AJ47" i="58"/>
  <c r="AI47" i="58"/>
  <c r="T47" i="58"/>
  <c r="S47" i="58"/>
  <c r="B47" i="58"/>
  <c r="A47" i="58"/>
  <c r="AZ40" i="58"/>
  <c r="BO40" i="58" s="1"/>
  <c r="BK19" i="58"/>
  <c r="BJ19" i="58"/>
  <c r="BI19" i="58"/>
  <c r="BH19" i="58"/>
  <c r="BG19" i="58"/>
  <c r="BF19" i="58"/>
  <c r="BE19" i="58"/>
  <c r="BD19" i="58"/>
  <c r="BC19" i="58"/>
  <c r="BB19" i="58"/>
  <c r="BA19" i="58"/>
  <c r="AZ19" i="58"/>
  <c r="AU19" i="58"/>
  <c r="AT19" i="58"/>
  <c r="AS19" i="58"/>
  <c r="AR19" i="58"/>
  <c r="AQ19" i="58"/>
  <c r="AP19" i="58"/>
  <c r="AO19" i="58"/>
  <c r="AN19" i="58"/>
  <c r="AM19" i="58"/>
  <c r="AL19" i="58"/>
  <c r="AK19" i="58"/>
  <c r="AJ19" i="58"/>
  <c r="AW19" i="58" s="1"/>
  <c r="M19" i="58"/>
  <c r="L19" i="58"/>
  <c r="K19" i="58"/>
  <c r="J19" i="58"/>
  <c r="I19" i="58"/>
  <c r="H19" i="58"/>
  <c r="G19" i="58"/>
  <c r="F19" i="58"/>
  <c r="E19" i="58"/>
  <c r="D19" i="58"/>
  <c r="C19" i="58"/>
  <c r="B19" i="58"/>
  <c r="O19" i="58" s="1"/>
  <c r="BM17" i="58"/>
  <c r="AW17" i="58"/>
  <c r="AZ1" i="58"/>
  <c r="AY1" i="58"/>
  <c r="AJ1" i="58"/>
  <c r="AI1" i="58"/>
  <c r="B1" i="58"/>
  <c r="AJ47" i="57"/>
  <c r="AI47" i="57"/>
  <c r="T47" i="57"/>
  <c r="S47" i="57"/>
  <c r="B47" i="57"/>
  <c r="A47" i="57"/>
  <c r="AZ40" i="57"/>
  <c r="AZ44" i="57" s="1"/>
  <c r="BK19" i="57"/>
  <c r="BJ19" i="57"/>
  <c r="BI19" i="57"/>
  <c r="BH19" i="57"/>
  <c r="BG19" i="57"/>
  <c r="BF19" i="57"/>
  <c r="BE19" i="57"/>
  <c r="BD19" i="57"/>
  <c r="BC19" i="57"/>
  <c r="BB19" i="57"/>
  <c r="BA19" i="57"/>
  <c r="AZ19" i="57"/>
  <c r="BM19" i="57" s="1"/>
  <c r="AU19" i="57"/>
  <c r="AT19" i="57"/>
  <c r="AS19" i="57"/>
  <c r="AR19" i="57"/>
  <c r="AQ19" i="57"/>
  <c r="AP19" i="57"/>
  <c r="AO19" i="57"/>
  <c r="AN19" i="57"/>
  <c r="AM19" i="57"/>
  <c r="AL19" i="57"/>
  <c r="AK19" i="57"/>
  <c r="AJ19" i="57"/>
  <c r="AW19" i="57" s="1"/>
  <c r="M19" i="57"/>
  <c r="L19" i="57"/>
  <c r="K19" i="57"/>
  <c r="J19" i="57"/>
  <c r="I19" i="57"/>
  <c r="H19" i="57"/>
  <c r="G19" i="57"/>
  <c r="F19" i="57"/>
  <c r="E19" i="57"/>
  <c r="D19" i="57"/>
  <c r="C19" i="57"/>
  <c r="B19" i="57"/>
  <c r="BM17" i="57"/>
  <c r="AW17" i="57"/>
  <c r="AZ1" i="57"/>
  <c r="AY1" i="57"/>
  <c r="AJ1" i="57"/>
  <c r="AI1" i="57"/>
  <c r="B1" i="57"/>
  <c r="AJ48" i="56"/>
  <c r="AI48" i="56"/>
  <c r="T48" i="56"/>
  <c r="S48" i="56"/>
  <c r="B48" i="56"/>
  <c r="A48" i="56"/>
  <c r="AZ40" i="56"/>
  <c r="BN40" i="56" s="1"/>
  <c r="BK19" i="56"/>
  <c r="BJ19" i="56"/>
  <c r="BI19" i="56"/>
  <c r="BH19" i="56"/>
  <c r="BG19" i="56"/>
  <c r="BF19" i="56"/>
  <c r="BE19" i="56"/>
  <c r="BD19" i="56"/>
  <c r="BC19" i="56"/>
  <c r="BB19" i="56"/>
  <c r="BA19" i="56"/>
  <c r="AZ19" i="56"/>
  <c r="AU19" i="56"/>
  <c r="AT19" i="56"/>
  <c r="AS19" i="56"/>
  <c r="AR19" i="56"/>
  <c r="AQ19" i="56"/>
  <c r="AP19" i="56"/>
  <c r="AO19" i="56"/>
  <c r="AN19" i="56"/>
  <c r="AM19" i="56"/>
  <c r="AL19" i="56"/>
  <c r="AK19" i="56"/>
  <c r="AJ19" i="56"/>
  <c r="M19" i="56"/>
  <c r="L19" i="56"/>
  <c r="K19" i="56"/>
  <c r="J19" i="56"/>
  <c r="I19" i="56"/>
  <c r="H19" i="56"/>
  <c r="G19" i="56"/>
  <c r="F19" i="56"/>
  <c r="E19" i="56"/>
  <c r="D19" i="56"/>
  <c r="C19" i="56"/>
  <c r="B19" i="56"/>
  <c r="BM17" i="56"/>
  <c r="AW17" i="56"/>
  <c r="AZ1" i="56"/>
  <c r="AY1" i="56"/>
  <c r="AJ1" i="56"/>
  <c r="AI1" i="56"/>
  <c r="B1" i="56"/>
  <c r="AJ47" i="55"/>
  <c r="AI47" i="55"/>
  <c r="T47" i="55"/>
  <c r="S47" i="55"/>
  <c r="B47" i="55"/>
  <c r="A47" i="55"/>
  <c r="AZ40" i="55"/>
  <c r="BE40" i="55" s="1"/>
  <c r="BK19" i="55"/>
  <c r="BJ19" i="55"/>
  <c r="BI19" i="55"/>
  <c r="BH19" i="55"/>
  <c r="BG19" i="55"/>
  <c r="BF19" i="55"/>
  <c r="BE19" i="55"/>
  <c r="BD19" i="55"/>
  <c r="BC19" i="55"/>
  <c r="BB19" i="55"/>
  <c r="BA19" i="55"/>
  <c r="AZ19" i="55"/>
  <c r="AU19" i="55"/>
  <c r="AT19" i="55"/>
  <c r="AS19" i="55"/>
  <c r="AR19" i="55"/>
  <c r="AQ19" i="55"/>
  <c r="AP19" i="55"/>
  <c r="AO19" i="55"/>
  <c r="AN19" i="55"/>
  <c r="AM19" i="55"/>
  <c r="AL19" i="55"/>
  <c r="AK19" i="55"/>
  <c r="AJ19" i="55"/>
  <c r="AW19" i="55" s="1"/>
  <c r="M19" i="55"/>
  <c r="L19" i="55"/>
  <c r="K19" i="55"/>
  <c r="J19" i="55"/>
  <c r="I19" i="55"/>
  <c r="H19" i="55"/>
  <c r="G19" i="55"/>
  <c r="F19" i="55"/>
  <c r="E19" i="55"/>
  <c r="D19" i="55"/>
  <c r="C19" i="55"/>
  <c r="B19" i="55"/>
  <c r="O19" i="55" s="1"/>
  <c r="BM17" i="55"/>
  <c r="AW17" i="55"/>
  <c r="AZ1" i="55"/>
  <c r="AY1" i="55"/>
  <c r="AJ1" i="55"/>
  <c r="AI1" i="55"/>
  <c r="B1" i="55"/>
  <c r="AJ47" i="54"/>
  <c r="AI47" i="54"/>
  <c r="T47" i="54"/>
  <c r="S47" i="54"/>
  <c r="B47" i="54"/>
  <c r="A47" i="54"/>
  <c r="AZ40" i="54"/>
  <c r="BI40" i="54"/>
  <c r="BK19" i="54"/>
  <c r="BJ19" i="54"/>
  <c r="BI19" i="54"/>
  <c r="BH19" i="54"/>
  <c r="BG19" i="54"/>
  <c r="BF19" i="54"/>
  <c r="BE19" i="54"/>
  <c r="BD19" i="54"/>
  <c r="BC19" i="54"/>
  <c r="BB19" i="54"/>
  <c r="BA19" i="54"/>
  <c r="AZ19" i="54"/>
  <c r="BM19" i="54" s="1"/>
  <c r="AU19" i="54"/>
  <c r="AT19" i="54"/>
  <c r="AS19" i="54"/>
  <c r="AR19" i="54"/>
  <c r="AQ19" i="54"/>
  <c r="AP19" i="54"/>
  <c r="AO19" i="54"/>
  <c r="AN19" i="54"/>
  <c r="AM19" i="54"/>
  <c r="AL19" i="54"/>
  <c r="AK19" i="54"/>
  <c r="AJ19" i="54"/>
  <c r="AW19" i="54" s="1"/>
  <c r="M19" i="54"/>
  <c r="L19" i="54"/>
  <c r="K19" i="54"/>
  <c r="J19" i="54"/>
  <c r="I19" i="54"/>
  <c r="H19" i="54"/>
  <c r="G19" i="54"/>
  <c r="F19" i="54"/>
  <c r="E19" i="54"/>
  <c r="D19" i="54"/>
  <c r="C19" i="54"/>
  <c r="B19" i="54"/>
  <c r="O19" i="54" s="1"/>
  <c r="BM17" i="54"/>
  <c r="AW17" i="54"/>
  <c r="AZ1" i="54"/>
  <c r="AY1" i="54"/>
  <c r="AJ1" i="54"/>
  <c r="AI1" i="54"/>
  <c r="B1" i="54"/>
  <c r="AJ47" i="53"/>
  <c r="AI47" i="53"/>
  <c r="T47" i="53"/>
  <c r="S47" i="53"/>
  <c r="B47" i="53"/>
  <c r="A47" i="53"/>
  <c r="AZ40" i="53"/>
  <c r="BN40" i="53" s="1"/>
  <c r="BK19" i="53"/>
  <c r="BJ19" i="53"/>
  <c r="BI19" i="53"/>
  <c r="BH19" i="53"/>
  <c r="BG19" i="53"/>
  <c r="BF19" i="53"/>
  <c r="BE19" i="53"/>
  <c r="BD19" i="53"/>
  <c r="BC19" i="53"/>
  <c r="BB19" i="53"/>
  <c r="BA19" i="53"/>
  <c r="AZ19" i="53"/>
  <c r="AU19" i="53"/>
  <c r="AT19" i="53"/>
  <c r="AS19" i="53"/>
  <c r="AR19" i="53"/>
  <c r="AQ19" i="53"/>
  <c r="AP19" i="53"/>
  <c r="AO19" i="53"/>
  <c r="AN19" i="53"/>
  <c r="AM19" i="53"/>
  <c r="AL19" i="53"/>
  <c r="AK19" i="53"/>
  <c r="AJ19" i="53"/>
  <c r="AW19" i="53" s="1"/>
  <c r="M19" i="53"/>
  <c r="L19" i="53"/>
  <c r="K19" i="53"/>
  <c r="J19" i="53"/>
  <c r="I19" i="53"/>
  <c r="H19" i="53"/>
  <c r="G19" i="53"/>
  <c r="F19" i="53"/>
  <c r="E19" i="53"/>
  <c r="D19" i="53"/>
  <c r="C19" i="53"/>
  <c r="B19" i="53"/>
  <c r="O19" i="53" s="1"/>
  <c r="BM17" i="53"/>
  <c r="AW17" i="53"/>
  <c r="AZ1" i="53"/>
  <c r="AY1" i="53"/>
  <c r="AJ1" i="53"/>
  <c r="AI1" i="53"/>
  <c r="B1" i="53"/>
  <c r="AJ47" i="52"/>
  <c r="AI47" i="52"/>
  <c r="T47" i="52"/>
  <c r="S47" i="52"/>
  <c r="B47" i="52"/>
  <c r="A47" i="52"/>
  <c r="AZ40" i="52"/>
  <c r="BK19" i="52"/>
  <c r="BJ19" i="52"/>
  <c r="BI19" i="52"/>
  <c r="BH19" i="52"/>
  <c r="BG19" i="52"/>
  <c r="BF19" i="52"/>
  <c r="BE19" i="52"/>
  <c r="BD19" i="52"/>
  <c r="BC19" i="52"/>
  <c r="BB19" i="52"/>
  <c r="BA19" i="52"/>
  <c r="AZ19" i="52"/>
  <c r="AU19" i="52"/>
  <c r="AT19" i="52"/>
  <c r="AS19" i="52"/>
  <c r="AR19" i="52"/>
  <c r="AQ19" i="52"/>
  <c r="AP19" i="52"/>
  <c r="AO19" i="52"/>
  <c r="AN19" i="52"/>
  <c r="AM19" i="52"/>
  <c r="AL19" i="52"/>
  <c r="AK19" i="52"/>
  <c r="AJ19" i="52"/>
  <c r="M19" i="52"/>
  <c r="L19" i="52"/>
  <c r="K19" i="52"/>
  <c r="J19" i="52"/>
  <c r="I19" i="52"/>
  <c r="H19" i="52"/>
  <c r="G19" i="52"/>
  <c r="F19" i="52"/>
  <c r="E19" i="52"/>
  <c r="D19" i="52"/>
  <c r="C19" i="52"/>
  <c r="B19" i="52"/>
  <c r="O19" i="52" s="1"/>
  <c r="BM17" i="52"/>
  <c r="AW17" i="52"/>
  <c r="AZ1" i="52"/>
  <c r="AY1" i="52"/>
  <c r="AJ1" i="52"/>
  <c r="AI1" i="52"/>
  <c r="B1" i="52"/>
  <c r="AJ47" i="51"/>
  <c r="AI47" i="51"/>
  <c r="T47" i="51"/>
  <c r="S47" i="51"/>
  <c r="B47" i="51"/>
  <c r="A47" i="51"/>
  <c r="AZ40" i="51"/>
  <c r="BK40" i="51" s="1"/>
  <c r="BK19" i="51"/>
  <c r="BJ19" i="51"/>
  <c r="BI19" i="51"/>
  <c r="BH19" i="51"/>
  <c r="BG19" i="51"/>
  <c r="BF19" i="51"/>
  <c r="BE19" i="51"/>
  <c r="BD19" i="51"/>
  <c r="BC19" i="51"/>
  <c r="BB19" i="51"/>
  <c r="BA19" i="51"/>
  <c r="AZ19" i="51"/>
  <c r="AU19" i="51"/>
  <c r="AT19" i="51"/>
  <c r="AS19" i="51"/>
  <c r="AR19" i="51"/>
  <c r="AQ19" i="51"/>
  <c r="AP19" i="51"/>
  <c r="AO19" i="51"/>
  <c r="AN19" i="51"/>
  <c r="AM19" i="51"/>
  <c r="AL19" i="51"/>
  <c r="AK19" i="51"/>
  <c r="AJ19" i="51"/>
  <c r="M19" i="51"/>
  <c r="L19" i="51"/>
  <c r="K19" i="51"/>
  <c r="J19" i="51"/>
  <c r="I19" i="51"/>
  <c r="H19" i="51"/>
  <c r="G19" i="51"/>
  <c r="F19" i="51"/>
  <c r="E19" i="51"/>
  <c r="D19" i="51"/>
  <c r="C19" i="51"/>
  <c r="B19" i="51"/>
  <c r="BM17" i="51"/>
  <c r="AW17" i="51"/>
  <c r="AZ1" i="51"/>
  <c r="AY1" i="51"/>
  <c r="AJ1" i="51"/>
  <c r="AI1" i="51"/>
  <c r="B1" i="51"/>
  <c r="AJ47" i="50"/>
  <c r="AI47" i="50"/>
  <c r="T47" i="50"/>
  <c r="S47" i="50"/>
  <c r="B47" i="50"/>
  <c r="A47" i="50"/>
  <c r="AZ40" i="50"/>
  <c r="BM40" i="50" s="1"/>
  <c r="BK19" i="50"/>
  <c r="BJ19" i="50"/>
  <c r="BI19" i="50"/>
  <c r="BH19" i="50"/>
  <c r="BG19" i="50"/>
  <c r="BF19" i="50"/>
  <c r="BE19" i="50"/>
  <c r="BD19" i="50"/>
  <c r="BC19" i="50"/>
  <c r="BB19" i="50"/>
  <c r="BA19" i="50"/>
  <c r="AZ19" i="50"/>
  <c r="BM19" i="50" s="1"/>
  <c r="AU19" i="50"/>
  <c r="AT19" i="50"/>
  <c r="AS19" i="50"/>
  <c r="AR19" i="50"/>
  <c r="AQ19" i="50"/>
  <c r="AP19" i="50"/>
  <c r="AO19" i="50"/>
  <c r="AN19" i="50"/>
  <c r="AM19" i="50"/>
  <c r="AL19" i="50"/>
  <c r="AK19" i="50"/>
  <c r="AJ19" i="50"/>
  <c r="AW19" i="50" s="1"/>
  <c r="M19" i="50"/>
  <c r="L19" i="50"/>
  <c r="K19" i="50"/>
  <c r="J19" i="50"/>
  <c r="I19" i="50"/>
  <c r="H19" i="50"/>
  <c r="G19" i="50"/>
  <c r="F19" i="50"/>
  <c r="E19" i="50"/>
  <c r="D19" i="50"/>
  <c r="C19" i="50"/>
  <c r="B19" i="50"/>
  <c r="O19" i="50" s="1"/>
  <c r="BM17" i="50"/>
  <c r="AW17" i="50"/>
  <c r="AZ1" i="50"/>
  <c r="AY1" i="50"/>
  <c r="AJ1" i="50"/>
  <c r="AI1" i="50"/>
  <c r="B1" i="50"/>
  <c r="AJ47" i="49"/>
  <c r="AI47" i="49"/>
  <c r="T47" i="49"/>
  <c r="S47" i="49"/>
  <c r="B47" i="49"/>
  <c r="A47" i="49"/>
  <c r="AZ40" i="49"/>
  <c r="BK40" i="49" s="1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U19" i="49"/>
  <c r="AT19" i="49"/>
  <c r="AS19" i="49"/>
  <c r="AR19" i="49"/>
  <c r="AQ19" i="49"/>
  <c r="AP19" i="49"/>
  <c r="AO19" i="49"/>
  <c r="AN19" i="49"/>
  <c r="AM19" i="49"/>
  <c r="AL19" i="49"/>
  <c r="AK19" i="49"/>
  <c r="AJ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BM17" i="49"/>
  <c r="AW17" i="49"/>
  <c r="AZ1" i="49"/>
  <c r="AY1" i="49"/>
  <c r="AJ1" i="49"/>
  <c r="AI1" i="49"/>
  <c r="B1" i="49"/>
  <c r="AJ47" i="48"/>
  <c r="AI47" i="48"/>
  <c r="T47" i="48"/>
  <c r="S47" i="48"/>
  <c r="B47" i="48"/>
  <c r="A47" i="48"/>
  <c r="AZ40" i="48"/>
  <c r="BF40" i="48" s="1"/>
  <c r="BK19" i="48"/>
  <c r="BJ19" i="48"/>
  <c r="BI19" i="48"/>
  <c r="BH19" i="48"/>
  <c r="BG19" i="48"/>
  <c r="BF19" i="48"/>
  <c r="BE19" i="48"/>
  <c r="BD19" i="48"/>
  <c r="BC19" i="48"/>
  <c r="BB19" i="48"/>
  <c r="BA19" i="48"/>
  <c r="AZ19" i="48"/>
  <c r="BM19" i="48" s="1"/>
  <c r="AU19" i="48"/>
  <c r="AT19" i="48"/>
  <c r="AS19" i="48"/>
  <c r="AR19" i="48"/>
  <c r="AQ19" i="48"/>
  <c r="AP19" i="48"/>
  <c r="AO19" i="48"/>
  <c r="AN19" i="48"/>
  <c r="AM19" i="48"/>
  <c r="AL19" i="48"/>
  <c r="AK19" i="48"/>
  <c r="AJ19" i="48"/>
  <c r="AW19" i="48" s="1"/>
  <c r="M19" i="48"/>
  <c r="L19" i="48"/>
  <c r="K19" i="48"/>
  <c r="J19" i="48"/>
  <c r="I19" i="48"/>
  <c r="H19" i="48"/>
  <c r="G19" i="48"/>
  <c r="F19" i="48"/>
  <c r="E19" i="48"/>
  <c r="D19" i="48"/>
  <c r="C19" i="48"/>
  <c r="B19" i="48"/>
  <c r="O19" i="48" s="1"/>
  <c r="BM17" i="48"/>
  <c r="AW17" i="48"/>
  <c r="AZ1" i="48"/>
  <c r="AY1" i="48"/>
  <c r="AJ1" i="48"/>
  <c r="AI1" i="48"/>
  <c r="B1" i="48"/>
  <c r="AJ47" i="47"/>
  <c r="AI47" i="47"/>
  <c r="T47" i="47"/>
  <c r="S47" i="47"/>
  <c r="B47" i="47"/>
  <c r="A47" i="47"/>
  <c r="AZ40" i="47"/>
  <c r="BJ40" i="47" s="1"/>
  <c r="BK19" i="47"/>
  <c r="BJ19" i="47"/>
  <c r="BI19" i="47"/>
  <c r="BH19" i="47"/>
  <c r="BG19" i="47"/>
  <c r="BF19" i="47"/>
  <c r="BE19" i="47"/>
  <c r="BD19" i="47"/>
  <c r="BC19" i="47"/>
  <c r="BB19" i="47"/>
  <c r="BA19" i="47"/>
  <c r="AZ19" i="47"/>
  <c r="AU19" i="47"/>
  <c r="AT19" i="47"/>
  <c r="AS19" i="47"/>
  <c r="AR19" i="47"/>
  <c r="AQ19" i="47"/>
  <c r="AP19" i="47"/>
  <c r="AO19" i="47"/>
  <c r="AN19" i="47"/>
  <c r="AM19" i="47"/>
  <c r="AL19" i="47"/>
  <c r="AK19" i="47"/>
  <c r="AJ19" i="47"/>
  <c r="M19" i="47"/>
  <c r="L19" i="47"/>
  <c r="K19" i="47"/>
  <c r="J19" i="47"/>
  <c r="I19" i="47"/>
  <c r="H19" i="47"/>
  <c r="G19" i="47"/>
  <c r="F19" i="47"/>
  <c r="E19" i="47"/>
  <c r="D19" i="47"/>
  <c r="C19" i="47"/>
  <c r="B19" i="47"/>
  <c r="BM17" i="47"/>
  <c r="AW17" i="47"/>
  <c r="AZ1" i="47"/>
  <c r="AY1" i="47"/>
  <c r="AJ1" i="47"/>
  <c r="AI1" i="47"/>
  <c r="B1" i="47"/>
  <c r="AJ47" i="46"/>
  <c r="AI47" i="46"/>
  <c r="T47" i="46"/>
  <c r="S47" i="46"/>
  <c r="B47" i="46"/>
  <c r="A47" i="46"/>
  <c r="AZ40" i="46"/>
  <c r="BI40" i="46" s="1"/>
  <c r="BK19" i="46"/>
  <c r="BJ19" i="46"/>
  <c r="BI19" i="46"/>
  <c r="BH19" i="46"/>
  <c r="BG19" i="46"/>
  <c r="BF19" i="46"/>
  <c r="BE19" i="46"/>
  <c r="BD19" i="46"/>
  <c r="BC19" i="46"/>
  <c r="BB19" i="46"/>
  <c r="BA19" i="46"/>
  <c r="AZ19" i="46"/>
  <c r="BM19" i="46" s="1"/>
  <c r="AU19" i="46"/>
  <c r="AT19" i="46"/>
  <c r="AS19" i="46"/>
  <c r="AR19" i="46"/>
  <c r="AQ19" i="46"/>
  <c r="AP19" i="46"/>
  <c r="AO19" i="46"/>
  <c r="AN19" i="46"/>
  <c r="AM19" i="46"/>
  <c r="AL19" i="46"/>
  <c r="AK19" i="46"/>
  <c r="AJ19" i="46"/>
  <c r="AW19" i="46" s="1"/>
  <c r="M19" i="46"/>
  <c r="L19" i="46"/>
  <c r="K19" i="46"/>
  <c r="J19" i="46"/>
  <c r="I19" i="46"/>
  <c r="H19" i="46"/>
  <c r="G19" i="46"/>
  <c r="F19" i="46"/>
  <c r="E19" i="46"/>
  <c r="D19" i="46"/>
  <c r="C19" i="46"/>
  <c r="B19" i="46"/>
  <c r="O19" i="46" s="1"/>
  <c r="BM17" i="46"/>
  <c r="AW17" i="46"/>
  <c r="AZ1" i="46"/>
  <c r="AY1" i="46"/>
  <c r="AJ1" i="46"/>
  <c r="AI1" i="46"/>
  <c r="B1" i="46"/>
  <c r="AJ47" i="45"/>
  <c r="AI47" i="45"/>
  <c r="T47" i="45"/>
  <c r="S47" i="45"/>
  <c r="B47" i="45"/>
  <c r="A47" i="45"/>
  <c r="AZ40" i="45"/>
  <c r="BO40" i="45" s="1"/>
  <c r="BK19" i="45"/>
  <c r="BJ19" i="45"/>
  <c r="BI19" i="45"/>
  <c r="BH19" i="45"/>
  <c r="BG19" i="45"/>
  <c r="BF19" i="45"/>
  <c r="BE19" i="45"/>
  <c r="BD19" i="45"/>
  <c r="BC19" i="45"/>
  <c r="BB19" i="45"/>
  <c r="BA19" i="45"/>
  <c r="AZ19" i="45"/>
  <c r="AU19" i="45"/>
  <c r="AT19" i="45"/>
  <c r="AS19" i="45"/>
  <c r="AR19" i="45"/>
  <c r="AQ19" i="45"/>
  <c r="AP19" i="45"/>
  <c r="AO19" i="45"/>
  <c r="AN19" i="45"/>
  <c r="AM19" i="45"/>
  <c r="AL19" i="45"/>
  <c r="AK19" i="45"/>
  <c r="AJ19" i="45"/>
  <c r="M19" i="45"/>
  <c r="L19" i="45"/>
  <c r="K19" i="45"/>
  <c r="J19" i="45"/>
  <c r="I19" i="45"/>
  <c r="H19" i="45"/>
  <c r="G19" i="45"/>
  <c r="F19" i="45"/>
  <c r="E19" i="45"/>
  <c r="D19" i="45"/>
  <c r="C19" i="45"/>
  <c r="B19" i="45"/>
  <c r="BM17" i="45"/>
  <c r="AW17" i="45"/>
  <c r="AZ1" i="45"/>
  <c r="AY1" i="45"/>
  <c r="AJ1" i="45"/>
  <c r="AI1" i="45"/>
  <c r="B1" i="45"/>
  <c r="AJ47" i="44"/>
  <c r="AI47" i="44"/>
  <c r="T47" i="44"/>
  <c r="S47" i="44"/>
  <c r="B47" i="44"/>
  <c r="A47" i="44"/>
  <c r="AZ40" i="44"/>
  <c r="BK19" i="44"/>
  <c r="BJ19" i="44"/>
  <c r="BI19" i="44"/>
  <c r="BH19" i="44"/>
  <c r="BG19" i="44"/>
  <c r="BF19" i="44"/>
  <c r="BE19" i="44"/>
  <c r="BD19" i="44"/>
  <c r="BC19" i="44"/>
  <c r="BB19" i="44"/>
  <c r="BA19" i="44"/>
  <c r="AZ19" i="44"/>
  <c r="BM19" i="44" s="1"/>
  <c r="AU19" i="44"/>
  <c r="AT19" i="44"/>
  <c r="AS19" i="44"/>
  <c r="AR19" i="44"/>
  <c r="AQ19" i="44"/>
  <c r="AP19" i="44"/>
  <c r="AO19" i="44"/>
  <c r="AN19" i="44"/>
  <c r="AM19" i="44"/>
  <c r="AL19" i="44"/>
  <c r="AK19" i="44"/>
  <c r="AJ19" i="44"/>
  <c r="AW19" i="44" s="1"/>
  <c r="M19" i="44"/>
  <c r="L19" i="44"/>
  <c r="K19" i="44"/>
  <c r="J19" i="44"/>
  <c r="I19" i="44"/>
  <c r="H19" i="44"/>
  <c r="G19" i="44"/>
  <c r="F19" i="44"/>
  <c r="E19" i="44"/>
  <c r="D19" i="44"/>
  <c r="C19" i="44"/>
  <c r="B19" i="44"/>
  <c r="O19" i="44" s="1"/>
  <c r="BM17" i="44"/>
  <c r="AW17" i="44"/>
  <c r="AZ1" i="44"/>
  <c r="AY1" i="44"/>
  <c r="AJ1" i="44"/>
  <c r="AI1" i="44"/>
  <c r="B1" i="44"/>
  <c r="AJ47" i="43"/>
  <c r="AI47" i="43"/>
  <c r="T47" i="43"/>
  <c r="S47" i="43"/>
  <c r="B47" i="43"/>
  <c r="A47" i="43"/>
  <c r="AZ40" i="43"/>
  <c r="BO40" i="43" s="1"/>
  <c r="BK19" i="43"/>
  <c r="BJ19" i="43"/>
  <c r="BI19" i="43"/>
  <c r="BH19" i="43"/>
  <c r="BG19" i="43"/>
  <c r="BF19" i="43"/>
  <c r="BE19" i="43"/>
  <c r="BD19" i="43"/>
  <c r="BC19" i="43"/>
  <c r="BB19" i="43"/>
  <c r="BA19" i="43"/>
  <c r="AZ19" i="43"/>
  <c r="AU19" i="43"/>
  <c r="AT19" i="43"/>
  <c r="AS19" i="43"/>
  <c r="AR19" i="43"/>
  <c r="AQ19" i="43"/>
  <c r="AP19" i="43"/>
  <c r="AO19" i="43"/>
  <c r="AN19" i="43"/>
  <c r="AM19" i="43"/>
  <c r="AL19" i="43"/>
  <c r="AK19" i="43"/>
  <c r="AJ19" i="43"/>
  <c r="M19" i="43"/>
  <c r="L19" i="43"/>
  <c r="K19" i="43"/>
  <c r="J19" i="43"/>
  <c r="I19" i="43"/>
  <c r="H19" i="43"/>
  <c r="G19" i="43"/>
  <c r="F19" i="43"/>
  <c r="E19" i="43"/>
  <c r="D19" i="43"/>
  <c r="C19" i="43"/>
  <c r="B19" i="43"/>
  <c r="BM17" i="43"/>
  <c r="AW17" i="43"/>
  <c r="AZ1" i="43"/>
  <c r="AY1" i="43"/>
  <c r="AJ1" i="43"/>
  <c r="AI1" i="43"/>
  <c r="B1" i="43"/>
  <c r="AJ47" i="42"/>
  <c r="AI47" i="42"/>
  <c r="T47" i="42"/>
  <c r="S47" i="42"/>
  <c r="B47" i="42"/>
  <c r="A47" i="42"/>
  <c r="AZ40" i="42"/>
  <c r="BN40" i="42" s="1"/>
  <c r="BK19" i="42"/>
  <c r="BJ19" i="42"/>
  <c r="BI19" i="42"/>
  <c r="BH19" i="42"/>
  <c r="BG19" i="42"/>
  <c r="BF19" i="42"/>
  <c r="BE19" i="42"/>
  <c r="BD19" i="42"/>
  <c r="BC19" i="42"/>
  <c r="BB19" i="42"/>
  <c r="BA19" i="42"/>
  <c r="AZ19" i="42"/>
  <c r="BM19" i="42" s="1"/>
  <c r="AU19" i="42"/>
  <c r="AT19" i="42"/>
  <c r="AS19" i="42"/>
  <c r="AR19" i="42"/>
  <c r="AQ19" i="42"/>
  <c r="AP19" i="42"/>
  <c r="AO19" i="42"/>
  <c r="AN19" i="42"/>
  <c r="AM19" i="42"/>
  <c r="AL19" i="42"/>
  <c r="AK19" i="42"/>
  <c r="AJ19" i="42"/>
  <c r="AW19" i="42" s="1"/>
  <c r="M19" i="42"/>
  <c r="L19" i="42"/>
  <c r="K19" i="42"/>
  <c r="J19" i="42"/>
  <c r="I19" i="42"/>
  <c r="H19" i="42"/>
  <c r="G19" i="42"/>
  <c r="F19" i="42"/>
  <c r="E19" i="42"/>
  <c r="D19" i="42"/>
  <c r="C19" i="42"/>
  <c r="B19" i="42"/>
  <c r="O19" i="42" s="1"/>
  <c r="BM17" i="42"/>
  <c r="AW17" i="42"/>
  <c r="AZ1" i="42"/>
  <c r="AY1" i="42"/>
  <c r="AJ1" i="42"/>
  <c r="AI1" i="42"/>
  <c r="B1" i="42"/>
  <c r="AJ47" i="41"/>
  <c r="AI47" i="41"/>
  <c r="T47" i="41"/>
  <c r="S47" i="41"/>
  <c r="B47" i="41"/>
  <c r="A47" i="41"/>
  <c r="AZ40" i="41"/>
  <c r="BK40" i="41" s="1"/>
  <c r="BK19" i="41"/>
  <c r="BJ19" i="41"/>
  <c r="BI19" i="41"/>
  <c r="BH19" i="41"/>
  <c r="BG19" i="41"/>
  <c r="BF19" i="41"/>
  <c r="BE19" i="41"/>
  <c r="BD19" i="41"/>
  <c r="BC19" i="41"/>
  <c r="BB19" i="41"/>
  <c r="BA19" i="41"/>
  <c r="AZ19" i="41"/>
  <c r="AU19" i="41"/>
  <c r="AT19" i="41"/>
  <c r="AS19" i="41"/>
  <c r="AR19" i="41"/>
  <c r="AQ19" i="41"/>
  <c r="AP19" i="41"/>
  <c r="AO19" i="41"/>
  <c r="AN19" i="41"/>
  <c r="AM19" i="41"/>
  <c r="AL19" i="41"/>
  <c r="AK19" i="41"/>
  <c r="AJ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BM17" i="41"/>
  <c r="AW17" i="41"/>
  <c r="AZ1" i="41"/>
  <c r="AY1" i="41"/>
  <c r="AJ1" i="41"/>
  <c r="AI1" i="41"/>
  <c r="B1" i="41"/>
  <c r="AJ47" i="40"/>
  <c r="AI47" i="40"/>
  <c r="T47" i="40"/>
  <c r="S47" i="40"/>
  <c r="B47" i="40"/>
  <c r="A47" i="40"/>
  <c r="AZ40" i="40"/>
  <c r="BA40" i="40" s="1"/>
  <c r="BK19" i="40"/>
  <c r="BJ19" i="40"/>
  <c r="BI19" i="40"/>
  <c r="BH19" i="40"/>
  <c r="BG19" i="40"/>
  <c r="BF19" i="40"/>
  <c r="BE19" i="40"/>
  <c r="BD19" i="40"/>
  <c r="BC19" i="40"/>
  <c r="BB19" i="40"/>
  <c r="BA19" i="40"/>
  <c r="AZ19" i="40"/>
  <c r="BM19" i="40" s="1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W19" i="40" s="1"/>
  <c r="M19" i="40"/>
  <c r="L19" i="40"/>
  <c r="K19" i="40"/>
  <c r="J19" i="40"/>
  <c r="I19" i="40"/>
  <c r="H19" i="40"/>
  <c r="G19" i="40"/>
  <c r="F19" i="40"/>
  <c r="E19" i="40"/>
  <c r="D19" i="40"/>
  <c r="C19" i="40"/>
  <c r="B19" i="40"/>
  <c r="O19" i="40" s="1"/>
  <c r="BM17" i="40"/>
  <c r="AW17" i="40"/>
  <c r="AZ1" i="40"/>
  <c r="AY1" i="40"/>
  <c r="AJ1" i="40"/>
  <c r="AI1" i="40"/>
  <c r="B1" i="40"/>
  <c r="AJ47" i="39"/>
  <c r="AI47" i="39"/>
  <c r="T47" i="39"/>
  <c r="S47" i="39"/>
  <c r="B47" i="39"/>
  <c r="A47" i="39"/>
  <c r="AZ40" i="39"/>
  <c r="BD40" i="39" s="1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M19" i="39"/>
  <c r="L19" i="39"/>
  <c r="K19" i="39"/>
  <c r="J19" i="39"/>
  <c r="I19" i="39"/>
  <c r="H19" i="39"/>
  <c r="G19" i="39"/>
  <c r="F19" i="39"/>
  <c r="E19" i="39"/>
  <c r="D19" i="39"/>
  <c r="C19" i="39"/>
  <c r="B19" i="39"/>
  <c r="BM17" i="39"/>
  <c r="AW17" i="39"/>
  <c r="AZ1" i="39"/>
  <c r="AY1" i="39"/>
  <c r="AJ1" i="39"/>
  <c r="AI1" i="39"/>
  <c r="B1" i="39"/>
  <c r="AJ46" i="32"/>
  <c r="AJ47" i="33"/>
  <c r="AJ47" i="34"/>
  <c r="AJ47" i="35"/>
  <c r="AJ47" i="36"/>
  <c r="AJ47" i="37"/>
  <c r="AJ47" i="38"/>
  <c r="AJ47" i="31"/>
  <c r="T47" i="33"/>
  <c r="T47" i="34"/>
  <c r="T47" i="35"/>
  <c r="T47" i="36"/>
  <c r="T47" i="37"/>
  <c r="T47" i="38"/>
  <c r="T47" i="31"/>
  <c r="B46" i="32"/>
  <c r="B47" i="33"/>
  <c r="B47" i="34"/>
  <c r="B47" i="35"/>
  <c r="B47" i="36"/>
  <c r="B47" i="37"/>
  <c r="B47" i="38"/>
  <c r="B47" i="31"/>
  <c r="BA1" i="32"/>
  <c r="AZ1" i="33"/>
  <c r="AZ1" i="34"/>
  <c r="AZ1" i="35"/>
  <c r="AZ1" i="36"/>
  <c r="AZ1" i="37"/>
  <c r="AZ1" i="38"/>
  <c r="AZ1" i="31"/>
  <c r="AJ1" i="32"/>
  <c r="AJ1" i="33"/>
  <c r="AJ1" i="34"/>
  <c r="AJ1" i="35"/>
  <c r="AJ1" i="36"/>
  <c r="AJ1" i="37"/>
  <c r="AJ1" i="38"/>
  <c r="AJ1" i="31"/>
  <c r="B1" i="32"/>
  <c r="B1" i="33"/>
  <c r="B1" i="34"/>
  <c r="B1" i="35"/>
  <c r="B1" i="36"/>
  <c r="B1" i="37"/>
  <c r="B1" i="38"/>
  <c r="B1" i="31"/>
  <c r="AZ1" i="32"/>
  <c r="AY1" i="33"/>
  <c r="AY1" i="34"/>
  <c r="AY1" i="35"/>
  <c r="AY1" i="36"/>
  <c r="AY1" i="37"/>
  <c r="AY1" i="38"/>
  <c r="AY1" i="31"/>
  <c r="AI1" i="32"/>
  <c r="AI1" i="33"/>
  <c r="AI1" i="34"/>
  <c r="AI1" i="35"/>
  <c r="AI1" i="36"/>
  <c r="AI1" i="37"/>
  <c r="AI1" i="38"/>
  <c r="AI1" i="31"/>
  <c r="AI46" i="32"/>
  <c r="AI47" i="33"/>
  <c r="AI47" i="34"/>
  <c r="AI47" i="35"/>
  <c r="AI47" i="36"/>
  <c r="AI47" i="37"/>
  <c r="AI47" i="38"/>
  <c r="AI47" i="31"/>
  <c r="S47" i="33"/>
  <c r="S47" i="34"/>
  <c r="S47" i="35"/>
  <c r="S47" i="36"/>
  <c r="S47" i="37"/>
  <c r="S47" i="38"/>
  <c r="S47" i="31"/>
  <c r="A46" i="32"/>
  <c r="A47" i="33"/>
  <c r="A47" i="34"/>
  <c r="A47" i="35"/>
  <c r="A47" i="36"/>
  <c r="A47" i="37"/>
  <c r="A47" i="38"/>
  <c r="A47" i="31"/>
  <c r="AZ40" i="38"/>
  <c r="BN40" i="38" s="1"/>
  <c r="BK19" i="38"/>
  <c r="BJ19" i="38"/>
  <c r="BI19" i="38"/>
  <c r="BH19" i="38"/>
  <c r="BG19" i="38"/>
  <c r="BF19" i="38"/>
  <c r="BE19" i="38"/>
  <c r="BD19" i="38"/>
  <c r="BC19" i="38"/>
  <c r="BB19" i="38"/>
  <c r="BA19" i="38"/>
  <c r="AZ19" i="38"/>
  <c r="BM19" i="38" s="1"/>
  <c r="AU19" i="38"/>
  <c r="AT19" i="38"/>
  <c r="AS19" i="38"/>
  <c r="AR19" i="38"/>
  <c r="AQ19" i="38"/>
  <c r="AP19" i="38"/>
  <c r="AO19" i="38"/>
  <c r="AN19" i="38"/>
  <c r="AM19" i="38"/>
  <c r="AL19" i="38"/>
  <c r="AK19" i="38"/>
  <c r="AJ19" i="38"/>
  <c r="AW19" i="38" s="1"/>
  <c r="M19" i="38"/>
  <c r="L19" i="38"/>
  <c r="K19" i="38"/>
  <c r="J19" i="38"/>
  <c r="I19" i="38"/>
  <c r="H19" i="38"/>
  <c r="G19" i="38"/>
  <c r="F19" i="38"/>
  <c r="E19" i="38"/>
  <c r="D19" i="38"/>
  <c r="C19" i="38"/>
  <c r="B19" i="38"/>
  <c r="O19" i="38" s="1"/>
  <c r="BM17" i="38"/>
  <c r="AW17" i="38"/>
  <c r="AZ40" i="37"/>
  <c r="BN40" i="37" s="1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M19" i="37"/>
  <c r="L19" i="37"/>
  <c r="K19" i="37"/>
  <c r="J19" i="37"/>
  <c r="I19" i="37"/>
  <c r="H19" i="37"/>
  <c r="G19" i="37"/>
  <c r="F19" i="37"/>
  <c r="E19" i="37"/>
  <c r="D19" i="37"/>
  <c r="C19" i="37"/>
  <c r="B19" i="37"/>
  <c r="BM17" i="37"/>
  <c r="AW17" i="37"/>
  <c r="AZ40" i="36"/>
  <c r="BI40" i="36" s="1"/>
  <c r="BK19" i="36"/>
  <c r="BJ19" i="36"/>
  <c r="BI19" i="36"/>
  <c r="BH19" i="36"/>
  <c r="BG19" i="36"/>
  <c r="BF19" i="36"/>
  <c r="BE19" i="36"/>
  <c r="BD19" i="36"/>
  <c r="BC19" i="36"/>
  <c r="BB19" i="36"/>
  <c r="BA19" i="36"/>
  <c r="AZ19" i="36"/>
  <c r="AU19" i="36"/>
  <c r="AT19" i="36"/>
  <c r="AS19" i="36"/>
  <c r="AR19" i="36"/>
  <c r="AQ19" i="36"/>
  <c r="AP19" i="36"/>
  <c r="AO19" i="36"/>
  <c r="AN19" i="36"/>
  <c r="AM19" i="36"/>
  <c r="AL19" i="36"/>
  <c r="AK19" i="36"/>
  <c r="AJ19" i="36"/>
  <c r="AW19" i="36" s="1"/>
  <c r="M19" i="36"/>
  <c r="L19" i="36"/>
  <c r="K19" i="36"/>
  <c r="J19" i="36"/>
  <c r="I19" i="36"/>
  <c r="H19" i="36"/>
  <c r="G19" i="36"/>
  <c r="F19" i="36"/>
  <c r="E19" i="36"/>
  <c r="D19" i="36"/>
  <c r="C19" i="36"/>
  <c r="B19" i="36"/>
  <c r="O19" i="36" s="1"/>
  <c r="BM17" i="36"/>
  <c r="AW17" i="36"/>
  <c r="AZ40" i="35"/>
  <c r="AZ44" i="35" s="1"/>
  <c r="BK19" i="35"/>
  <c r="BJ19" i="35"/>
  <c r="BI19" i="35"/>
  <c r="BH19" i="35"/>
  <c r="BG19" i="35"/>
  <c r="BF19" i="35"/>
  <c r="BE19" i="35"/>
  <c r="BD19" i="35"/>
  <c r="BC19" i="35"/>
  <c r="BB19" i="35"/>
  <c r="BA19" i="35"/>
  <c r="AZ19" i="35"/>
  <c r="AU19" i="35"/>
  <c r="AT19" i="35"/>
  <c r="AS19" i="35"/>
  <c r="AR19" i="35"/>
  <c r="AQ19" i="35"/>
  <c r="AP19" i="35"/>
  <c r="AO19" i="35"/>
  <c r="AN19" i="35"/>
  <c r="AM19" i="35"/>
  <c r="AL19" i="35"/>
  <c r="AK19" i="35"/>
  <c r="AJ19" i="35"/>
  <c r="M19" i="35"/>
  <c r="L19" i="35"/>
  <c r="K19" i="35"/>
  <c r="J19" i="35"/>
  <c r="I19" i="35"/>
  <c r="H19" i="35"/>
  <c r="G19" i="35"/>
  <c r="F19" i="35"/>
  <c r="E19" i="35"/>
  <c r="D19" i="35"/>
  <c r="C19" i="35"/>
  <c r="B19" i="35"/>
  <c r="O19" i="35" s="1"/>
  <c r="BM17" i="35"/>
  <c r="AW17" i="35"/>
  <c r="AZ40" i="34"/>
  <c r="BD40" i="34" s="1"/>
  <c r="BK19" i="34"/>
  <c r="BJ19" i="34"/>
  <c r="BI19" i="34"/>
  <c r="BH19" i="34"/>
  <c r="BG19" i="34"/>
  <c r="BF19" i="34"/>
  <c r="BE19" i="34"/>
  <c r="BD19" i="34"/>
  <c r="BC19" i="34"/>
  <c r="BB19" i="34"/>
  <c r="BA19" i="34"/>
  <c r="AZ19" i="34"/>
  <c r="BM19" i="34" s="1"/>
  <c r="AU19" i="34"/>
  <c r="AT19" i="34"/>
  <c r="AS19" i="34"/>
  <c r="AR19" i="34"/>
  <c r="AQ19" i="34"/>
  <c r="AP19" i="34"/>
  <c r="AO19" i="34"/>
  <c r="AN19" i="34"/>
  <c r="AM19" i="34"/>
  <c r="AL19" i="34"/>
  <c r="AK19" i="34"/>
  <c r="AJ19" i="34"/>
  <c r="AW19" i="34" s="1"/>
  <c r="M19" i="34"/>
  <c r="L19" i="34"/>
  <c r="K19" i="34"/>
  <c r="J19" i="34"/>
  <c r="I19" i="34"/>
  <c r="H19" i="34"/>
  <c r="G19" i="34"/>
  <c r="F19" i="34"/>
  <c r="E19" i="34"/>
  <c r="D19" i="34"/>
  <c r="C19" i="34"/>
  <c r="B19" i="34"/>
  <c r="O19" i="34" s="1"/>
  <c r="BM17" i="34"/>
  <c r="AW17" i="34"/>
  <c r="AZ40" i="33"/>
  <c r="BE40" i="33" s="1"/>
  <c r="BK19" i="33"/>
  <c r="BJ19" i="33"/>
  <c r="BI19" i="33"/>
  <c r="BH19" i="33"/>
  <c r="BG19" i="33"/>
  <c r="BF19" i="33"/>
  <c r="BE19" i="33"/>
  <c r="BD19" i="33"/>
  <c r="BC19" i="33"/>
  <c r="BB19" i="33"/>
  <c r="BA19" i="33"/>
  <c r="AZ19" i="33"/>
  <c r="BM19" i="33" s="1"/>
  <c r="AU19" i="33"/>
  <c r="AT19" i="33"/>
  <c r="AS19" i="33"/>
  <c r="AR19" i="33"/>
  <c r="AQ19" i="33"/>
  <c r="AP19" i="33"/>
  <c r="AO19" i="33"/>
  <c r="AN19" i="33"/>
  <c r="AM19" i="33"/>
  <c r="AL19" i="33"/>
  <c r="AK19" i="33"/>
  <c r="AJ19" i="33"/>
  <c r="AW19" i="33" s="1"/>
  <c r="M19" i="33"/>
  <c r="L19" i="33"/>
  <c r="K19" i="33"/>
  <c r="J19" i="33"/>
  <c r="I19" i="33"/>
  <c r="H19" i="33"/>
  <c r="G19" i="33"/>
  <c r="F19" i="33"/>
  <c r="E19" i="33"/>
  <c r="D19" i="33"/>
  <c r="C19" i="33"/>
  <c r="B19" i="33"/>
  <c r="O19" i="33" s="1"/>
  <c r="BM17" i="33"/>
  <c r="AW17" i="33"/>
  <c r="BA40" i="32"/>
  <c r="BO40" i="32" s="1"/>
  <c r="BL19" i="32"/>
  <c r="BK19" i="32"/>
  <c r="BJ19" i="32"/>
  <c r="BI19" i="32"/>
  <c r="BH19" i="32"/>
  <c r="BG19" i="32"/>
  <c r="BF19" i="32"/>
  <c r="BE19" i="32"/>
  <c r="BD19" i="32"/>
  <c r="BC19" i="32"/>
  <c r="BB19" i="32"/>
  <c r="BA19" i="32"/>
  <c r="BM19" i="32" s="1"/>
  <c r="AU19" i="32"/>
  <c r="AT19" i="32"/>
  <c r="AS19" i="32"/>
  <c r="AR19" i="32"/>
  <c r="AQ19" i="32"/>
  <c r="AP19" i="32"/>
  <c r="AO19" i="32"/>
  <c r="AN19" i="32"/>
  <c r="AM19" i="32"/>
  <c r="AL19" i="32"/>
  <c r="AK19" i="32"/>
  <c r="AJ19" i="32"/>
  <c r="AW19" i="32" s="1"/>
  <c r="M19" i="32"/>
  <c r="L19" i="32"/>
  <c r="K19" i="32"/>
  <c r="J19" i="32"/>
  <c r="I19" i="32"/>
  <c r="H19" i="32"/>
  <c r="G19" i="32"/>
  <c r="F19" i="32"/>
  <c r="E19" i="32"/>
  <c r="D19" i="32"/>
  <c r="C19" i="32"/>
  <c r="B19" i="32"/>
  <c r="O19" i="32" s="1"/>
  <c r="BN17" i="32"/>
  <c r="AW17" i="32"/>
  <c r="BK40" i="52"/>
  <c r="BL19" i="54"/>
  <c r="BK40" i="58"/>
  <c r="BL40" i="58"/>
  <c r="BI40" i="58"/>
  <c r="BJ40" i="58"/>
  <c r="BC40" i="56"/>
  <c r="BG40" i="56"/>
  <c r="BK40" i="56"/>
  <c r="BO40" i="56"/>
  <c r="BD40" i="56"/>
  <c r="BH40" i="56"/>
  <c r="BL40" i="56"/>
  <c r="BA40" i="56"/>
  <c r="BE40" i="56"/>
  <c r="BI40" i="56"/>
  <c r="BM40" i="56"/>
  <c r="AZ44" i="56"/>
  <c r="BB40" i="56"/>
  <c r="BF40" i="56"/>
  <c r="BJ40" i="56"/>
  <c r="BI40" i="55"/>
  <c r="BJ40" i="55"/>
  <c r="BM40" i="53"/>
  <c r="BI40" i="53"/>
  <c r="BL40" i="53"/>
  <c r="BA40" i="52"/>
  <c r="BO40" i="52"/>
  <c r="BH40" i="52"/>
  <c r="BJ40" i="52"/>
  <c r="BO40" i="51"/>
  <c r="C40" i="51"/>
  <c r="D40" i="51" s="1"/>
  <c r="BI40" i="50"/>
  <c r="C40" i="50"/>
  <c r="D40" i="50" s="1"/>
  <c r="E40" i="50" s="1"/>
  <c r="F40" i="50" s="1"/>
  <c r="G40" i="50" s="1"/>
  <c r="H40" i="50" s="1"/>
  <c r="I40" i="50" s="1"/>
  <c r="J40" i="50" s="1"/>
  <c r="K40" i="50" s="1"/>
  <c r="L40" i="50" s="1"/>
  <c r="M40" i="50" s="1"/>
  <c r="N40" i="50" s="1"/>
  <c r="BL40" i="50"/>
  <c r="BG40" i="46"/>
  <c r="C40" i="46"/>
  <c r="D40" i="46" s="1"/>
  <c r="E40" i="46" s="1"/>
  <c r="F40" i="46" s="1"/>
  <c r="G40" i="46" s="1"/>
  <c r="H40" i="46" s="1"/>
  <c r="I40" i="46" s="1"/>
  <c r="J40" i="46" s="1"/>
  <c r="K40" i="46" s="1"/>
  <c r="L40" i="46" s="1"/>
  <c r="M40" i="46" s="1"/>
  <c r="N40" i="46" s="1"/>
  <c r="BD40" i="46"/>
  <c r="BB40" i="46"/>
  <c r="BC40" i="44"/>
  <c r="BK40" i="42"/>
  <c r="BO40" i="40"/>
  <c r="BM40" i="40"/>
  <c r="BJ40" i="40"/>
  <c r="BD40" i="38"/>
  <c r="BG40" i="38"/>
  <c r="BB40" i="37"/>
  <c r="AK40" i="37"/>
  <c r="AL40" i="37" s="1"/>
  <c r="AM40" i="37" s="1"/>
  <c r="AN40" i="37" s="1"/>
  <c r="AO40" i="37" s="1"/>
  <c r="AP40" i="37" s="1"/>
  <c r="AQ40" i="37" s="1"/>
  <c r="AR40" i="37" s="1"/>
  <c r="AS40" i="37" s="1"/>
  <c r="AT40" i="37" s="1"/>
  <c r="AU40" i="37" s="1"/>
  <c r="AV40" i="37" s="1"/>
  <c r="BD40" i="37"/>
  <c r="BN40" i="34"/>
  <c r="BK40" i="34"/>
  <c r="BD40" i="33"/>
  <c r="AT227" i="3"/>
  <c r="AE64" i="38" s="1"/>
  <c r="AT226" i="3"/>
  <c r="AE64" i="58" s="1"/>
  <c r="AT225" i="3"/>
  <c r="AE64" i="57" s="1"/>
  <c r="AT224" i="3"/>
  <c r="AE65" i="56" s="1"/>
  <c r="AT223" i="3"/>
  <c r="AE64" i="55" s="1"/>
  <c r="AT222" i="3"/>
  <c r="AE64" i="54" s="1"/>
  <c r="AT221" i="3"/>
  <c r="AE64" i="53" s="1"/>
  <c r="AT220" i="3"/>
  <c r="AE64" i="52" s="1"/>
  <c r="AT219" i="3"/>
  <c r="AE64" i="51" s="1"/>
  <c r="AT218" i="3"/>
  <c r="AE64" i="50" s="1"/>
  <c r="AT217" i="3"/>
  <c r="AE64" i="49" s="1"/>
  <c r="AT216" i="3"/>
  <c r="AE64" i="48" s="1"/>
  <c r="AT215" i="3"/>
  <c r="AE64" i="47" s="1"/>
  <c r="AT214" i="3"/>
  <c r="AE64" i="46" s="1"/>
  <c r="AT213" i="3"/>
  <c r="AE64" i="45" s="1"/>
  <c r="AT212" i="3"/>
  <c r="AE64" i="44" s="1"/>
  <c r="AT211" i="3"/>
  <c r="AE64" i="43" s="1"/>
  <c r="AT210" i="3"/>
  <c r="AE64" i="42"/>
  <c r="AT209" i="3"/>
  <c r="AE64" i="41" s="1"/>
  <c r="AT208" i="3"/>
  <c r="AE64" i="40" s="1"/>
  <c r="AT207" i="3"/>
  <c r="AE64" i="39" s="1"/>
  <c r="AT206" i="3"/>
  <c r="AE64" i="37" s="1"/>
  <c r="AT205" i="3"/>
  <c r="AE64" i="36" s="1"/>
  <c r="AT204" i="3"/>
  <c r="AE64" i="35" s="1"/>
  <c r="AT203" i="3"/>
  <c r="AE64" i="34" s="1"/>
  <c r="AT202" i="3"/>
  <c r="AE64" i="33" s="1"/>
  <c r="AT201" i="3"/>
  <c r="AE63" i="32" s="1"/>
  <c r="AT200" i="3"/>
  <c r="AE64" i="31" s="1"/>
  <c r="AS227" i="3"/>
  <c r="AD64" i="38" s="1"/>
  <c r="AS226" i="3"/>
  <c r="AD64" i="58" s="1"/>
  <c r="AS225" i="3"/>
  <c r="AD64" i="57" s="1"/>
  <c r="AS224" i="3"/>
  <c r="AD65" i="56" s="1"/>
  <c r="AS223" i="3"/>
  <c r="AD64" i="55" s="1"/>
  <c r="AS222" i="3"/>
  <c r="AD64" i="54" s="1"/>
  <c r="AS221" i="3"/>
  <c r="AD64" i="53" s="1"/>
  <c r="AS220" i="3"/>
  <c r="AD64" i="52" s="1"/>
  <c r="AS219" i="3"/>
  <c r="AD64" i="51" s="1"/>
  <c r="AS218" i="3"/>
  <c r="AD64" i="50" s="1"/>
  <c r="AS217" i="3"/>
  <c r="AD64" i="49" s="1"/>
  <c r="AS216" i="3"/>
  <c r="AD64" i="48" s="1"/>
  <c r="AS215" i="3"/>
  <c r="AD64" i="47" s="1"/>
  <c r="AS214" i="3"/>
  <c r="AD64" i="46" s="1"/>
  <c r="AS213" i="3"/>
  <c r="AD64" i="45" s="1"/>
  <c r="AS212" i="3"/>
  <c r="AD64" i="44" s="1"/>
  <c r="AS211" i="3"/>
  <c r="AD64" i="43" s="1"/>
  <c r="AS210" i="3"/>
  <c r="AD64" i="42" s="1"/>
  <c r="AS209" i="3"/>
  <c r="AD64" i="41" s="1"/>
  <c r="AS208" i="3"/>
  <c r="AD64" i="40" s="1"/>
  <c r="AS207" i="3"/>
  <c r="AD64" i="39" s="1"/>
  <c r="AS206" i="3"/>
  <c r="AD64" i="37" s="1"/>
  <c r="AS205" i="3"/>
  <c r="AD64" i="36" s="1"/>
  <c r="AS204" i="3"/>
  <c r="AD64" i="35" s="1"/>
  <c r="AS203" i="3"/>
  <c r="AD64" i="34" s="1"/>
  <c r="AS202" i="3"/>
  <c r="AD64" i="33" s="1"/>
  <c r="AS201" i="3"/>
  <c r="AD63" i="32" s="1"/>
  <c r="AS200" i="3"/>
  <c r="AD64" i="31" s="1"/>
  <c r="AR227" i="3"/>
  <c r="AC64" i="38" s="1"/>
  <c r="AR226" i="3"/>
  <c r="AC64" i="58"/>
  <c r="AR225" i="3"/>
  <c r="AC64" i="57" s="1"/>
  <c r="AR224" i="3"/>
  <c r="AC65" i="56" s="1"/>
  <c r="AR223" i="3"/>
  <c r="AC64" i="55" s="1"/>
  <c r="AR222" i="3"/>
  <c r="AC64" i="54" s="1"/>
  <c r="AR221" i="3"/>
  <c r="AC64" i="53" s="1"/>
  <c r="AR220" i="3"/>
  <c r="AC64" i="52" s="1"/>
  <c r="AR219" i="3"/>
  <c r="AC64" i="51" s="1"/>
  <c r="AR218" i="3"/>
  <c r="AC64" i="50" s="1"/>
  <c r="AR217" i="3"/>
  <c r="AC64" i="49" s="1"/>
  <c r="AR216" i="3"/>
  <c r="AC64" i="48" s="1"/>
  <c r="AR215" i="3"/>
  <c r="AC64" i="47" s="1"/>
  <c r="AR214" i="3"/>
  <c r="AC64" i="46" s="1"/>
  <c r="AR213" i="3"/>
  <c r="AC64" i="45" s="1"/>
  <c r="AR212" i="3"/>
  <c r="AC64" i="44" s="1"/>
  <c r="AR211" i="3"/>
  <c r="AC64" i="43" s="1"/>
  <c r="AR210" i="3"/>
  <c r="AC64" i="42" s="1"/>
  <c r="AR209" i="3"/>
  <c r="AC64" i="41" s="1"/>
  <c r="AR208" i="3"/>
  <c r="AC64" i="40" s="1"/>
  <c r="AR207" i="3"/>
  <c r="AC64" i="39" s="1"/>
  <c r="AR206" i="3"/>
  <c r="AC64" i="37" s="1"/>
  <c r="AR205" i="3"/>
  <c r="AC64" i="36" s="1"/>
  <c r="AR204" i="3"/>
  <c r="AC64" i="35" s="1"/>
  <c r="AR203" i="3"/>
  <c r="AC64" i="34" s="1"/>
  <c r="AR202" i="3"/>
  <c r="AC64" i="33"/>
  <c r="AR201" i="3"/>
  <c r="AC63" i="32" s="1"/>
  <c r="AR200" i="3"/>
  <c r="AC64" i="31" s="1"/>
  <c r="AQ227" i="3"/>
  <c r="AB64" i="38" s="1"/>
  <c r="AQ226" i="3"/>
  <c r="AB64" i="58"/>
  <c r="AQ225" i="3"/>
  <c r="AB64" i="57" s="1"/>
  <c r="AQ224" i="3"/>
  <c r="AB65" i="56" s="1"/>
  <c r="AQ223" i="3"/>
  <c r="AB64" i="55" s="1"/>
  <c r="AQ222" i="3"/>
  <c r="AB64" i="54" s="1"/>
  <c r="AQ221" i="3"/>
  <c r="AB64" i="53" s="1"/>
  <c r="AQ220" i="3"/>
  <c r="AB64" i="52" s="1"/>
  <c r="AQ219" i="3"/>
  <c r="AB64" i="51" s="1"/>
  <c r="AQ218" i="3"/>
  <c r="AB64" i="50"/>
  <c r="AQ217" i="3"/>
  <c r="AB64" i="49" s="1"/>
  <c r="AQ216" i="3"/>
  <c r="AB64" i="48" s="1"/>
  <c r="AQ215" i="3"/>
  <c r="AB64" i="47" s="1"/>
  <c r="AQ214" i="3"/>
  <c r="AB64" i="46" s="1"/>
  <c r="AQ213" i="3"/>
  <c r="AB64" i="45" s="1"/>
  <c r="AQ212" i="3"/>
  <c r="AB64" i="44" s="1"/>
  <c r="AQ211" i="3"/>
  <c r="AB64" i="43" s="1"/>
  <c r="AQ210" i="3"/>
  <c r="AB64" i="42" s="1"/>
  <c r="AQ209" i="3"/>
  <c r="AB64" i="41" s="1"/>
  <c r="AQ208" i="3"/>
  <c r="AB64" i="40" s="1"/>
  <c r="AQ207" i="3"/>
  <c r="AB64" i="39" s="1"/>
  <c r="AQ206" i="3"/>
  <c r="AB64" i="37" s="1"/>
  <c r="AQ205" i="3"/>
  <c r="AB64" i="36" s="1"/>
  <c r="AQ204" i="3"/>
  <c r="AB64" i="35" s="1"/>
  <c r="AQ203" i="3"/>
  <c r="AB64" i="34" s="1"/>
  <c r="AQ202" i="3"/>
  <c r="AB64" i="33" s="1"/>
  <c r="AQ201" i="3"/>
  <c r="AB63" i="32" s="1"/>
  <c r="AQ200" i="3"/>
  <c r="AB64" i="31" s="1"/>
  <c r="AP227" i="3"/>
  <c r="AA64" i="38" s="1"/>
  <c r="AP226" i="3"/>
  <c r="AA64" i="58" s="1"/>
  <c r="AP225" i="3"/>
  <c r="AA64" i="57" s="1"/>
  <c r="AP224" i="3"/>
  <c r="AA65" i="56" s="1"/>
  <c r="AP223" i="3"/>
  <c r="AA64" i="55" s="1"/>
  <c r="AP222" i="3"/>
  <c r="AA64" i="54"/>
  <c r="AP221" i="3"/>
  <c r="AA64" i="53" s="1"/>
  <c r="AP220" i="3"/>
  <c r="AA64" i="52" s="1"/>
  <c r="AP219" i="3"/>
  <c r="AA64" i="51" s="1"/>
  <c r="AP218" i="3"/>
  <c r="AA64" i="50"/>
  <c r="AP217" i="3"/>
  <c r="AA64" i="49" s="1"/>
  <c r="AP216" i="3"/>
  <c r="AA64" i="48" s="1"/>
  <c r="AP215" i="3"/>
  <c r="AA64" i="47" s="1"/>
  <c r="AP214" i="3"/>
  <c r="AA64" i="46" s="1"/>
  <c r="AP213" i="3"/>
  <c r="AA64" i="45" s="1"/>
  <c r="AP212" i="3"/>
  <c r="AA64" i="44" s="1"/>
  <c r="AP211" i="3"/>
  <c r="AA64" i="43" s="1"/>
  <c r="AP210" i="3"/>
  <c r="AA64" i="42" s="1"/>
  <c r="AP209" i="3"/>
  <c r="AA64" i="41" s="1"/>
  <c r="AP208" i="3"/>
  <c r="AA64" i="40" s="1"/>
  <c r="AP207" i="3"/>
  <c r="AA64" i="39" s="1"/>
  <c r="AP206" i="3"/>
  <c r="AA64" i="37"/>
  <c r="AP205" i="3"/>
  <c r="AA64" i="36" s="1"/>
  <c r="AP204" i="3"/>
  <c r="AA64" i="35" s="1"/>
  <c r="AP203" i="3"/>
  <c r="AA64" i="34" s="1"/>
  <c r="AP202" i="3"/>
  <c r="AA64" i="33"/>
  <c r="AP201" i="3"/>
  <c r="AA63" i="32" s="1"/>
  <c r="AP200" i="3"/>
  <c r="AA64" i="31" s="1"/>
  <c r="AO227" i="3"/>
  <c r="Z64" i="38" s="1"/>
  <c r="AO226" i="3"/>
  <c r="Z64" i="58" s="1"/>
  <c r="AO225" i="3"/>
  <c r="Z64" i="57" s="1"/>
  <c r="AO224" i="3"/>
  <c r="Z65" i="56" s="1"/>
  <c r="AO223" i="3"/>
  <c r="Z64" i="55" s="1"/>
  <c r="AO222" i="3"/>
  <c r="Z64" i="54" s="1"/>
  <c r="AO221" i="3"/>
  <c r="AO220" i="3"/>
  <c r="Z64" i="52" s="1"/>
  <c r="AO219" i="3"/>
  <c r="AO218" i="3"/>
  <c r="Z64" i="50" s="1"/>
  <c r="AO217" i="3"/>
  <c r="Z64" i="49" s="1"/>
  <c r="AO216" i="3"/>
  <c r="Z64" i="48" s="1"/>
  <c r="AO215" i="3"/>
  <c r="AO214" i="3"/>
  <c r="Z64" i="46" s="1"/>
  <c r="AO213" i="3"/>
  <c r="AO212" i="3"/>
  <c r="Z64" i="44" s="1"/>
  <c r="AO211" i="3"/>
  <c r="Z64" i="43" s="1"/>
  <c r="AO210" i="3"/>
  <c r="Z64" i="42" s="1"/>
  <c r="AO209" i="3"/>
  <c r="Z64" i="41" s="1"/>
  <c r="AO208" i="3"/>
  <c r="Z64" i="40" s="1"/>
  <c r="AO207" i="3"/>
  <c r="Z64" i="39" s="1"/>
  <c r="AO206" i="3"/>
  <c r="Z64" i="37" s="1"/>
  <c r="AO205" i="3"/>
  <c r="Z64" i="36" s="1"/>
  <c r="AO204" i="3"/>
  <c r="Z64" i="35" s="1"/>
  <c r="AO203" i="3"/>
  <c r="Z64" i="34" s="1"/>
  <c r="AO202" i="3"/>
  <c r="Z64" i="33"/>
  <c r="AO201" i="3"/>
  <c r="Z63" i="32" s="1"/>
  <c r="AO200" i="3"/>
  <c r="Z64" i="31" s="1"/>
  <c r="AN227" i="3"/>
  <c r="Y64" i="38" s="1"/>
  <c r="AN226" i="3"/>
  <c r="Y64" i="58" s="1"/>
  <c r="AN225" i="3"/>
  <c r="Y64" i="57" s="1"/>
  <c r="AN224" i="3"/>
  <c r="Y65" i="56" s="1"/>
  <c r="AN223" i="3"/>
  <c r="Y64" i="55" s="1"/>
  <c r="AN222" i="3"/>
  <c r="Y64" i="54" s="1"/>
  <c r="AN221" i="3"/>
  <c r="Y64" i="53" s="1"/>
  <c r="AN220" i="3"/>
  <c r="Y64" i="52" s="1"/>
  <c r="AN219" i="3"/>
  <c r="Y64" i="51" s="1"/>
  <c r="AN218" i="3"/>
  <c r="Y64" i="50" s="1"/>
  <c r="AN217" i="3"/>
  <c r="Y64" i="49" s="1"/>
  <c r="AN216" i="3"/>
  <c r="Y64" i="48" s="1"/>
  <c r="AN215" i="3"/>
  <c r="Y64" i="47" s="1"/>
  <c r="AN214" i="3"/>
  <c r="Y64" i="46"/>
  <c r="AN213" i="3"/>
  <c r="Y64" i="45" s="1"/>
  <c r="AN212" i="3"/>
  <c r="Y64" i="44" s="1"/>
  <c r="AN211" i="3"/>
  <c r="Y64" i="43" s="1"/>
  <c r="AN210" i="3"/>
  <c r="Y64" i="42"/>
  <c r="AN209" i="3"/>
  <c r="Y64" i="41" s="1"/>
  <c r="AN208" i="3"/>
  <c r="Y64" i="40" s="1"/>
  <c r="AN207" i="3"/>
  <c r="Y64" i="39" s="1"/>
  <c r="AN206" i="3"/>
  <c r="Y64" i="37"/>
  <c r="AN205" i="3"/>
  <c r="Y64" i="36" s="1"/>
  <c r="AN204" i="3"/>
  <c r="Y64" i="35" s="1"/>
  <c r="AN203" i="3"/>
  <c r="Y64" i="34" s="1"/>
  <c r="AN202" i="3"/>
  <c r="Y64" i="33" s="1"/>
  <c r="AN201" i="3"/>
  <c r="Y63" i="32" s="1"/>
  <c r="AN200" i="3"/>
  <c r="Y64" i="31" s="1"/>
  <c r="AM227" i="3"/>
  <c r="X64" i="38" s="1"/>
  <c r="AM226" i="3"/>
  <c r="X64" i="58" s="1"/>
  <c r="AM225" i="3"/>
  <c r="X64" i="57" s="1"/>
  <c r="AM224" i="3"/>
  <c r="X65" i="56" s="1"/>
  <c r="AM223" i="3"/>
  <c r="X64" i="55" s="1"/>
  <c r="AM222" i="3"/>
  <c r="X64" i="54" s="1"/>
  <c r="AM221" i="3"/>
  <c r="X64" i="53" s="1"/>
  <c r="AM220" i="3"/>
  <c r="X64" i="52" s="1"/>
  <c r="AM219" i="3"/>
  <c r="X64" i="51" s="1"/>
  <c r="AM218" i="3"/>
  <c r="X64" i="50"/>
  <c r="AM217" i="3"/>
  <c r="X64" i="49" s="1"/>
  <c r="AM216" i="3"/>
  <c r="X64" i="48" s="1"/>
  <c r="AM215" i="3"/>
  <c r="X64" i="47" s="1"/>
  <c r="AM214" i="3"/>
  <c r="X64" i="46" s="1"/>
  <c r="AM213" i="3"/>
  <c r="X64" i="45" s="1"/>
  <c r="AM212" i="3"/>
  <c r="X64" i="44" s="1"/>
  <c r="AM211" i="3"/>
  <c r="X64" i="43" s="1"/>
  <c r="AM210" i="3"/>
  <c r="X64" i="42"/>
  <c r="AM209" i="3"/>
  <c r="X64" i="41" s="1"/>
  <c r="AM208" i="3"/>
  <c r="X64" i="40" s="1"/>
  <c r="AM207" i="3"/>
  <c r="X64" i="39" s="1"/>
  <c r="AM206" i="3"/>
  <c r="AM205" i="3"/>
  <c r="X64" i="36" s="1"/>
  <c r="AM204" i="3"/>
  <c r="AM203" i="3"/>
  <c r="X64" i="34"/>
  <c r="AM202" i="3"/>
  <c r="AM201" i="3"/>
  <c r="X63" i="32" s="1"/>
  <c r="AM200" i="3"/>
  <c r="X64" i="31"/>
  <c r="AL227" i="3"/>
  <c r="W64" i="38" s="1"/>
  <c r="AL226" i="3"/>
  <c r="W64" i="58" s="1"/>
  <c r="AL225" i="3"/>
  <c r="W64" i="57" s="1"/>
  <c r="AL224" i="3"/>
  <c r="W65" i="56" s="1"/>
  <c r="AL223" i="3"/>
  <c r="W64" i="55" s="1"/>
  <c r="AL222" i="3"/>
  <c r="W64" i="54" s="1"/>
  <c r="AL221" i="3"/>
  <c r="W64" i="53" s="1"/>
  <c r="AL220" i="3"/>
  <c r="W64" i="52" s="1"/>
  <c r="AL219" i="3"/>
  <c r="W64" i="51" s="1"/>
  <c r="AL218" i="3"/>
  <c r="W64" i="50" s="1"/>
  <c r="AL217" i="3"/>
  <c r="W64" i="49" s="1"/>
  <c r="AL216" i="3"/>
  <c r="W64" i="48" s="1"/>
  <c r="AL215" i="3"/>
  <c r="W64" i="47" s="1"/>
  <c r="AL214" i="3"/>
  <c r="AL213" i="3"/>
  <c r="W64" i="45" s="1"/>
  <c r="AL212" i="3"/>
  <c r="AL211" i="3"/>
  <c r="W64" i="43" s="1"/>
  <c r="AL210" i="3"/>
  <c r="W64" i="42" s="1"/>
  <c r="AL209" i="3"/>
  <c r="W64" i="41" s="1"/>
  <c r="AL208" i="3"/>
  <c r="W64" i="40" s="1"/>
  <c r="AL207" i="3"/>
  <c r="W64" i="39" s="1"/>
  <c r="AL206" i="3"/>
  <c r="W64" i="37" s="1"/>
  <c r="AL205" i="3"/>
  <c r="W64" i="36"/>
  <c r="AL204" i="3"/>
  <c r="W64" i="35" s="1"/>
  <c r="AL203" i="3"/>
  <c r="W64" i="34" s="1"/>
  <c r="AL202" i="3"/>
  <c r="W64" i="33" s="1"/>
  <c r="AL201" i="3"/>
  <c r="W63" i="32"/>
  <c r="AL200" i="3"/>
  <c r="W64" i="31" s="1"/>
  <c r="AK227" i="3"/>
  <c r="V64" i="38" s="1"/>
  <c r="AK226" i="3"/>
  <c r="V64" i="58" s="1"/>
  <c r="AK225" i="3"/>
  <c r="V64" i="57" s="1"/>
  <c r="AK224" i="3"/>
  <c r="V65" i="56" s="1"/>
  <c r="AK223" i="3"/>
  <c r="V64" i="55" s="1"/>
  <c r="AK222" i="3"/>
  <c r="V64" i="54" s="1"/>
  <c r="AK221" i="3"/>
  <c r="V64" i="53" s="1"/>
  <c r="AK220" i="3"/>
  <c r="V64" i="52" s="1"/>
  <c r="AK219" i="3"/>
  <c r="V64" i="51" s="1"/>
  <c r="AK218" i="3"/>
  <c r="V64" i="50" s="1"/>
  <c r="AK217" i="3"/>
  <c r="V64" i="49" s="1"/>
  <c r="AK216" i="3"/>
  <c r="V64" i="48" s="1"/>
  <c r="AK215" i="3"/>
  <c r="V64" i="47" s="1"/>
  <c r="AK214" i="3"/>
  <c r="V64" i="46" s="1"/>
  <c r="AK213" i="3"/>
  <c r="V64" i="45" s="1"/>
  <c r="AK212" i="3"/>
  <c r="V64" i="44" s="1"/>
  <c r="AK211" i="3"/>
  <c r="V64" i="43" s="1"/>
  <c r="AK210" i="3"/>
  <c r="V64" i="42" s="1"/>
  <c r="AK209" i="3"/>
  <c r="V64" i="41" s="1"/>
  <c r="AK208" i="3"/>
  <c r="V64" i="40" s="1"/>
  <c r="AK207" i="3"/>
  <c r="V64" i="39" s="1"/>
  <c r="AK206" i="3"/>
  <c r="V64" i="37" s="1"/>
  <c r="AK205" i="3"/>
  <c r="V64" i="36" s="1"/>
  <c r="AK204" i="3"/>
  <c r="V64" i="35" s="1"/>
  <c r="AK203" i="3"/>
  <c r="V64" i="34" s="1"/>
  <c r="AK202" i="3"/>
  <c r="V64" i="33" s="1"/>
  <c r="AK201" i="3"/>
  <c r="V63" i="32"/>
  <c r="AK200" i="3"/>
  <c r="V64" i="31" s="1"/>
  <c r="AJ227" i="3"/>
  <c r="U64" i="38" s="1"/>
  <c r="AJ226" i="3"/>
  <c r="U64" i="58" s="1"/>
  <c r="AJ225" i="3"/>
  <c r="U64" i="57" s="1"/>
  <c r="AJ224" i="3"/>
  <c r="U65" i="56" s="1"/>
  <c r="AJ223" i="3"/>
  <c r="U64" i="55" s="1"/>
  <c r="AJ222" i="3"/>
  <c r="U64" i="54" s="1"/>
  <c r="AJ221" i="3"/>
  <c r="U64" i="53" s="1"/>
  <c r="AJ220" i="3"/>
  <c r="U64" i="52" s="1"/>
  <c r="AJ219" i="3"/>
  <c r="U64" i="51" s="1"/>
  <c r="AJ218" i="3"/>
  <c r="U64" i="50" s="1"/>
  <c r="AJ217" i="3"/>
  <c r="U64" i="49"/>
  <c r="AJ216" i="3"/>
  <c r="U64" i="48" s="1"/>
  <c r="AJ215" i="3"/>
  <c r="U64" i="47" s="1"/>
  <c r="AJ214" i="3"/>
  <c r="U64" i="46" s="1"/>
  <c r="AJ213" i="3"/>
  <c r="U64" i="45" s="1"/>
  <c r="AJ212" i="3"/>
  <c r="U64" i="44" s="1"/>
  <c r="AJ211" i="3"/>
  <c r="U64" i="43" s="1"/>
  <c r="AJ210" i="3"/>
  <c r="U64" i="42" s="1"/>
  <c r="AJ209" i="3"/>
  <c r="U64" i="41" s="1"/>
  <c r="AJ208" i="3"/>
  <c r="U64" i="40" s="1"/>
  <c r="AJ207" i="3"/>
  <c r="U64" i="39" s="1"/>
  <c r="AJ206" i="3"/>
  <c r="U64" i="37" s="1"/>
  <c r="AJ205" i="3"/>
  <c r="U64" i="36" s="1"/>
  <c r="AJ204" i="3"/>
  <c r="U64" i="35" s="1"/>
  <c r="AJ203" i="3"/>
  <c r="U64" i="34" s="1"/>
  <c r="AJ202" i="3"/>
  <c r="U64" i="33" s="1"/>
  <c r="AJ201" i="3"/>
  <c r="U63" i="32" s="1"/>
  <c r="AJ200" i="3"/>
  <c r="U64" i="31" s="1"/>
  <c r="AI227" i="3"/>
  <c r="T64" i="38" s="1"/>
  <c r="AG64" i="38" s="1"/>
  <c r="AI226" i="3"/>
  <c r="AI225" i="3"/>
  <c r="AI224" i="3"/>
  <c r="AI223" i="3"/>
  <c r="AI222" i="3"/>
  <c r="AI221" i="3"/>
  <c r="T64" i="53" s="1"/>
  <c r="AI220" i="3"/>
  <c r="AI219" i="3"/>
  <c r="T64" i="51" s="1"/>
  <c r="AI218" i="3"/>
  <c r="AI217" i="3"/>
  <c r="AI216" i="3"/>
  <c r="T64" i="48" s="1"/>
  <c r="AG64" i="48" s="1"/>
  <c r="AI215" i="3"/>
  <c r="T64" i="47" s="1"/>
  <c r="AI214" i="3"/>
  <c r="T64" i="46" s="1"/>
  <c r="AI213" i="3"/>
  <c r="T64" i="45"/>
  <c r="AI212" i="3"/>
  <c r="T64" i="44" s="1"/>
  <c r="AI211" i="3"/>
  <c r="AI210" i="3"/>
  <c r="AI209" i="3"/>
  <c r="AI208" i="3"/>
  <c r="AI207" i="3"/>
  <c r="AI206" i="3"/>
  <c r="T64" i="37"/>
  <c r="AI205" i="3"/>
  <c r="AI204" i="3"/>
  <c r="T64" i="35"/>
  <c r="AI203" i="3"/>
  <c r="AI202" i="3"/>
  <c r="T64" i="33" s="1"/>
  <c r="AI200" i="3"/>
  <c r="T64" i="31"/>
  <c r="AG64" i="31" s="1"/>
  <c r="AI201" i="3"/>
  <c r="AF227" i="3"/>
  <c r="AF226" i="3"/>
  <c r="AF225" i="3"/>
  <c r="AF224" i="3"/>
  <c r="AF223" i="3"/>
  <c r="AF222" i="3"/>
  <c r="AF221" i="3"/>
  <c r="AF220" i="3"/>
  <c r="AF219" i="3"/>
  <c r="AF218" i="3"/>
  <c r="AF217" i="3"/>
  <c r="AF216" i="3"/>
  <c r="AF215" i="3"/>
  <c r="AF214" i="3"/>
  <c r="AF213" i="3"/>
  <c r="AF212" i="3"/>
  <c r="AF211" i="3"/>
  <c r="AF210" i="3"/>
  <c r="AF209" i="3"/>
  <c r="AF208" i="3"/>
  <c r="AF207" i="3"/>
  <c r="AF206" i="3"/>
  <c r="AF205" i="3"/>
  <c r="AF204" i="3"/>
  <c r="AF203" i="3"/>
  <c r="AF202" i="3"/>
  <c r="AF201" i="3"/>
  <c r="AD66" i="38"/>
  <c r="AB66" i="38"/>
  <c r="AA66" i="38"/>
  <c r="Z66" i="38"/>
  <c r="X66" i="38"/>
  <c r="W66" i="38"/>
  <c r="V66" i="38"/>
  <c r="AD66" i="58"/>
  <c r="AC66" i="58"/>
  <c r="AB66" i="58"/>
  <c r="AA66" i="58"/>
  <c r="Z66" i="58"/>
  <c r="Y66" i="58"/>
  <c r="X66" i="58"/>
  <c r="W66" i="58"/>
  <c r="V66" i="58"/>
  <c r="AD66" i="57"/>
  <c r="AC66" i="57"/>
  <c r="AB66" i="57"/>
  <c r="AA66" i="57"/>
  <c r="Z66" i="57"/>
  <c r="Y66" i="57"/>
  <c r="X66" i="57"/>
  <c r="W66" i="57"/>
  <c r="V66" i="57"/>
  <c r="T66" i="57"/>
  <c r="AD66" i="56"/>
  <c r="AB67" i="56"/>
  <c r="AA67" i="56"/>
  <c r="Z67" i="56"/>
  <c r="X67" i="56"/>
  <c r="W67" i="56"/>
  <c r="V67" i="56"/>
  <c r="AD66" i="55"/>
  <c r="AC66" i="55"/>
  <c r="AB66" i="55"/>
  <c r="AA66" i="55"/>
  <c r="Z66" i="55"/>
  <c r="Y66" i="55"/>
  <c r="X66" i="55"/>
  <c r="W66" i="55"/>
  <c r="V66" i="55"/>
  <c r="U66" i="55"/>
  <c r="AD66" i="54"/>
  <c r="AB66" i="54"/>
  <c r="AA66" i="54"/>
  <c r="Z66" i="54"/>
  <c r="X66" i="54"/>
  <c r="W66" i="54"/>
  <c r="V66" i="54"/>
  <c r="T66" i="54"/>
  <c r="AD66" i="53"/>
  <c r="AB66" i="53"/>
  <c r="AA66" i="53"/>
  <c r="Z66" i="53"/>
  <c r="X66" i="53"/>
  <c r="W66" i="53"/>
  <c r="V66" i="53"/>
  <c r="T66" i="53"/>
  <c r="AD66" i="52"/>
  <c r="AB66" i="52"/>
  <c r="AA66" i="52"/>
  <c r="Z66" i="52"/>
  <c r="X66" i="52"/>
  <c r="W66" i="52"/>
  <c r="T66" i="52"/>
  <c r="AD66" i="51"/>
  <c r="AC66" i="51"/>
  <c r="AB66" i="51"/>
  <c r="AA66" i="51"/>
  <c r="Z66" i="51"/>
  <c r="Y66" i="51"/>
  <c r="X66" i="51"/>
  <c r="W66" i="51"/>
  <c r="V66" i="51"/>
  <c r="U66" i="51"/>
  <c r="T66" i="51"/>
  <c r="AD66" i="50"/>
  <c r="AB66" i="50"/>
  <c r="AA66" i="50"/>
  <c r="Z66" i="50"/>
  <c r="X66" i="50"/>
  <c r="W66" i="50"/>
  <c r="T66" i="50"/>
  <c r="AD66" i="49"/>
  <c r="AC66" i="49"/>
  <c r="AB66" i="49"/>
  <c r="AA66" i="49"/>
  <c r="Z66" i="49"/>
  <c r="Y66" i="49"/>
  <c r="X66" i="49"/>
  <c r="W66" i="49"/>
  <c r="V66" i="49"/>
  <c r="U66" i="49"/>
  <c r="AD66" i="48"/>
  <c r="AB66" i="48"/>
  <c r="AA66" i="48"/>
  <c r="Z66" i="48"/>
  <c r="W66" i="48"/>
  <c r="V66" i="48"/>
  <c r="T66" i="48"/>
  <c r="AD66" i="47"/>
  <c r="AB66" i="47"/>
  <c r="AA66" i="47"/>
  <c r="Z66" i="47"/>
  <c r="X66" i="47"/>
  <c r="W66" i="47"/>
  <c r="V66" i="47"/>
  <c r="U66" i="47"/>
  <c r="AD66" i="46"/>
  <c r="AC66" i="46"/>
  <c r="AB66" i="46"/>
  <c r="AA66" i="46"/>
  <c r="Z66" i="46"/>
  <c r="Y66" i="46"/>
  <c r="X66" i="46"/>
  <c r="W66" i="46"/>
  <c r="V66" i="46"/>
  <c r="AD66" i="45"/>
  <c r="AB66" i="45"/>
  <c r="AA66" i="45"/>
  <c r="Z66" i="45"/>
  <c r="X66" i="45"/>
  <c r="W66" i="45"/>
  <c r="V66" i="45"/>
  <c r="AD66" i="44"/>
  <c r="AC66" i="44"/>
  <c r="AB66" i="44"/>
  <c r="AA66" i="44"/>
  <c r="Z66" i="44"/>
  <c r="Y66" i="44"/>
  <c r="X66" i="44"/>
  <c r="W66" i="44"/>
  <c r="U66" i="44"/>
  <c r="T66" i="44"/>
  <c r="AD66" i="43"/>
  <c r="AB66" i="43"/>
  <c r="AA66" i="43"/>
  <c r="Z66" i="43"/>
  <c r="X66" i="43"/>
  <c r="W66" i="43"/>
  <c r="V66" i="43"/>
  <c r="O211" i="3"/>
  <c r="AD66" i="42"/>
  <c r="AC66" i="42"/>
  <c r="AB66" i="42"/>
  <c r="AA66" i="42"/>
  <c r="Z66" i="42"/>
  <c r="Y66" i="42"/>
  <c r="X66" i="42"/>
  <c r="W66" i="42"/>
  <c r="V66" i="42"/>
  <c r="U66" i="42"/>
  <c r="AD66" i="41"/>
  <c r="AC66" i="41"/>
  <c r="AB66" i="41"/>
  <c r="AA66" i="41"/>
  <c r="Z66" i="41"/>
  <c r="Y66" i="41"/>
  <c r="X66" i="41"/>
  <c r="W66" i="41"/>
  <c r="V66" i="41"/>
  <c r="U66" i="41"/>
  <c r="T66" i="41"/>
  <c r="AG66" i="41" s="1"/>
  <c r="AD66" i="40"/>
  <c r="AB66" i="40"/>
  <c r="AA66" i="40"/>
  <c r="Z66" i="40"/>
  <c r="X66" i="40"/>
  <c r="W66" i="40"/>
  <c r="V66" i="40"/>
  <c r="AD66" i="39"/>
  <c r="AC66" i="39"/>
  <c r="AB66" i="39"/>
  <c r="AA66" i="39"/>
  <c r="Z66" i="39"/>
  <c r="Y66" i="39"/>
  <c r="X66" i="39"/>
  <c r="W66" i="39"/>
  <c r="V66" i="39"/>
  <c r="U66" i="39"/>
  <c r="T66" i="39"/>
  <c r="AG66" i="39" s="1"/>
  <c r="AD66" i="37"/>
  <c r="AC66" i="37"/>
  <c r="AB66" i="37"/>
  <c r="AA66" i="37"/>
  <c r="Z66" i="37"/>
  <c r="Y66" i="37"/>
  <c r="X66" i="37"/>
  <c r="W66" i="37"/>
  <c r="V66" i="37"/>
  <c r="U66" i="37"/>
  <c r="T66" i="37"/>
  <c r="AD66" i="36"/>
  <c r="AC66" i="36"/>
  <c r="AB66" i="36"/>
  <c r="AA66" i="36"/>
  <c r="Z66" i="36"/>
  <c r="Y66" i="36"/>
  <c r="X66" i="36"/>
  <c r="W66" i="36"/>
  <c r="V66" i="36"/>
  <c r="U66" i="36"/>
  <c r="T66" i="36"/>
  <c r="AG66" i="36" s="1"/>
  <c r="AD66" i="35"/>
  <c r="AC66" i="35"/>
  <c r="AB66" i="35"/>
  <c r="AA66" i="35"/>
  <c r="Z66" i="35"/>
  <c r="Y66" i="35"/>
  <c r="X66" i="35"/>
  <c r="W66" i="35"/>
  <c r="U66" i="35"/>
  <c r="T66" i="35"/>
  <c r="AD66" i="34"/>
  <c r="AC66" i="34"/>
  <c r="AB66" i="34"/>
  <c r="AA66" i="34"/>
  <c r="Z66" i="34"/>
  <c r="Y66" i="34"/>
  <c r="X66" i="34"/>
  <c r="W66" i="34"/>
  <c r="V66" i="34"/>
  <c r="U66" i="34"/>
  <c r="AD66" i="33"/>
  <c r="AC66" i="33"/>
  <c r="AB66" i="33"/>
  <c r="AA66" i="33"/>
  <c r="Z66" i="33"/>
  <c r="Y66" i="33"/>
  <c r="X66" i="33"/>
  <c r="W66" i="33"/>
  <c r="U66" i="33"/>
  <c r="T66" i="33"/>
  <c r="AD66" i="32"/>
  <c r="AC66" i="32"/>
  <c r="AG66" i="32" s="1"/>
  <c r="AB65" i="32"/>
  <c r="AA65" i="32"/>
  <c r="Z65" i="32"/>
  <c r="Y65" i="32"/>
  <c r="X65" i="32"/>
  <c r="W65" i="32"/>
  <c r="V65" i="32"/>
  <c r="U65" i="32"/>
  <c r="T65" i="32"/>
  <c r="AG65" i="32" s="1"/>
  <c r="AU227" i="3"/>
  <c r="U66" i="46"/>
  <c r="U66" i="48"/>
  <c r="U66" i="50"/>
  <c r="U66" i="52"/>
  <c r="U66" i="58"/>
  <c r="AT168" i="3"/>
  <c r="M64" i="31" s="1"/>
  <c r="AS168" i="3"/>
  <c r="L64" i="31" s="1"/>
  <c r="AR168" i="3"/>
  <c r="K64" i="31" s="1"/>
  <c r="AQ168" i="3"/>
  <c r="J64" i="31" s="1"/>
  <c r="AP168" i="3"/>
  <c r="I64" i="31" s="1"/>
  <c r="AO168" i="3"/>
  <c r="H64" i="31" s="1"/>
  <c r="AN168" i="3"/>
  <c r="G64" i="31" s="1"/>
  <c r="AM168" i="3"/>
  <c r="F64" i="31" s="1"/>
  <c r="AL168" i="3"/>
  <c r="E64" i="31" s="1"/>
  <c r="AK168" i="3"/>
  <c r="D64" i="31" s="1"/>
  <c r="AJ168" i="3"/>
  <c r="C64" i="31" s="1"/>
  <c r="AI168" i="3"/>
  <c r="AT195" i="3"/>
  <c r="M64" i="38" s="1"/>
  <c r="AS195" i="3"/>
  <c r="L64" i="38"/>
  <c r="AR195" i="3"/>
  <c r="K64" i="38" s="1"/>
  <c r="AQ195" i="3"/>
  <c r="J64" i="38" s="1"/>
  <c r="AP195" i="3"/>
  <c r="I64" i="38" s="1"/>
  <c r="AO195" i="3"/>
  <c r="H64" i="38" s="1"/>
  <c r="AN195" i="3"/>
  <c r="G64" i="38" s="1"/>
  <c r="AO64" i="38" s="1"/>
  <c r="AM195" i="3"/>
  <c r="F64" i="38" s="1"/>
  <c r="AL195" i="3"/>
  <c r="E64" i="38"/>
  <c r="AK195" i="3"/>
  <c r="AJ195" i="3"/>
  <c r="C64" i="38" s="1"/>
  <c r="AI195" i="3"/>
  <c r="B64" i="38" s="1"/>
  <c r="AT194" i="3"/>
  <c r="M64" i="58" s="1"/>
  <c r="AS194" i="3"/>
  <c r="L64" i="58" s="1"/>
  <c r="AR194" i="3"/>
  <c r="K64" i="58" s="1"/>
  <c r="AQ194" i="3"/>
  <c r="J64" i="58"/>
  <c r="AR64" i="58" s="1"/>
  <c r="AP194" i="3"/>
  <c r="I64" i="58" s="1"/>
  <c r="AO194" i="3"/>
  <c r="H64" i="58" s="1"/>
  <c r="AN194" i="3"/>
  <c r="G64" i="58" s="1"/>
  <c r="AM194" i="3"/>
  <c r="F64" i="58" s="1"/>
  <c r="AL194" i="3"/>
  <c r="E64" i="58" s="1"/>
  <c r="AK194" i="3"/>
  <c r="D64" i="58" s="1"/>
  <c r="AJ194" i="3"/>
  <c r="C64" i="58" s="1"/>
  <c r="AI194" i="3"/>
  <c r="AT193" i="3"/>
  <c r="M64" i="57" s="1"/>
  <c r="AU64" i="57" s="1"/>
  <c r="AS193" i="3"/>
  <c r="L64" i="57" s="1"/>
  <c r="AR193" i="3"/>
  <c r="K64" i="57" s="1"/>
  <c r="AQ193" i="3"/>
  <c r="J64" i="57" s="1"/>
  <c r="AP193" i="3"/>
  <c r="I64" i="57" s="1"/>
  <c r="AO193" i="3"/>
  <c r="H64" i="57" s="1"/>
  <c r="AN193" i="3"/>
  <c r="G64" i="57"/>
  <c r="AM193" i="3"/>
  <c r="F64" i="57" s="1"/>
  <c r="AL193" i="3"/>
  <c r="E64" i="57" s="1"/>
  <c r="AK193" i="3"/>
  <c r="D64" i="57" s="1"/>
  <c r="AJ193" i="3"/>
  <c r="C64" i="57" s="1"/>
  <c r="AI193" i="3"/>
  <c r="B64" i="57" s="1"/>
  <c r="O64" i="57" s="1"/>
  <c r="AT192" i="3"/>
  <c r="M65" i="56" s="1"/>
  <c r="AS192" i="3"/>
  <c r="L65" i="56" s="1"/>
  <c r="AR192" i="3"/>
  <c r="K65" i="56" s="1"/>
  <c r="AQ192" i="3"/>
  <c r="J65" i="56" s="1"/>
  <c r="AP192" i="3"/>
  <c r="I65" i="56" s="1"/>
  <c r="AO192" i="3"/>
  <c r="H65" i="56" s="1"/>
  <c r="AN192" i="3"/>
  <c r="AM192" i="3"/>
  <c r="F65" i="56" s="1"/>
  <c r="AL192" i="3"/>
  <c r="E65" i="56" s="1"/>
  <c r="AK192" i="3"/>
  <c r="D65" i="56"/>
  <c r="AJ192" i="3"/>
  <c r="C65" i="56" s="1"/>
  <c r="AI192" i="3"/>
  <c r="B65" i="56"/>
  <c r="AT191" i="3"/>
  <c r="M64" i="55" s="1"/>
  <c r="AS191" i="3"/>
  <c r="L64" i="55"/>
  <c r="AR191" i="3"/>
  <c r="K64" i="55" s="1"/>
  <c r="AQ191" i="3"/>
  <c r="J64" i="55"/>
  <c r="AP191" i="3"/>
  <c r="I64" i="55"/>
  <c r="AO191" i="3"/>
  <c r="H64" i="55"/>
  <c r="AN191" i="3"/>
  <c r="G64" i="55"/>
  <c r="AO64" i="55" s="1"/>
  <c r="AM191" i="3"/>
  <c r="F64" i="55"/>
  <c r="AL191" i="3"/>
  <c r="E64" i="55" s="1"/>
  <c r="AM64" i="55" s="1"/>
  <c r="AK191" i="3"/>
  <c r="AJ191" i="3"/>
  <c r="C64" i="55"/>
  <c r="AI191" i="3"/>
  <c r="B64" i="55" s="1"/>
  <c r="AT190" i="3"/>
  <c r="M64" i="54" s="1"/>
  <c r="AS190" i="3"/>
  <c r="L64" i="54"/>
  <c r="AR190" i="3"/>
  <c r="K64" i="54" s="1"/>
  <c r="AQ190" i="3"/>
  <c r="J64" i="54" s="1"/>
  <c r="AP190" i="3"/>
  <c r="I64" i="54" s="1"/>
  <c r="AO190" i="3"/>
  <c r="H64" i="54" s="1"/>
  <c r="AN190" i="3"/>
  <c r="G64" i="54" s="1"/>
  <c r="AM190" i="3"/>
  <c r="F64" i="54" s="1"/>
  <c r="AL190" i="3"/>
  <c r="E64" i="54" s="1"/>
  <c r="AK190" i="3"/>
  <c r="D64" i="54" s="1"/>
  <c r="AJ190" i="3"/>
  <c r="C64" i="54" s="1"/>
  <c r="AK64" i="54" s="1"/>
  <c r="AI190" i="3"/>
  <c r="B64" i="54" s="1"/>
  <c r="O64" i="54" s="1"/>
  <c r="AT189" i="3"/>
  <c r="M64" i="53"/>
  <c r="AS189" i="3"/>
  <c r="L64" i="53" s="1"/>
  <c r="AR189" i="3"/>
  <c r="K64" i="53" s="1"/>
  <c r="AQ189" i="3"/>
  <c r="J64" i="53" s="1"/>
  <c r="AP189" i="3"/>
  <c r="I64" i="53"/>
  <c r="AO189" i="3"/>
  <c r="H64" i="53" s="1"/>
  <c r="AN189" i="3"/>
  <c r="G64" i="53"/>
  <c r="AM189" i="3"/>
  <c r="F64" i="53" s="1"/>
  <c r="AN64" i="53" s="1"/>
  <c r="AL189" i="3"/>
  <c r="E64" i="53" s="1"/>
  <c r="AK189" i="3"/>
  <c r="D64" i="53" s="1"/>
  <c r="AJ189" i="3"/>
  <c r="C64" i="53" s="1"/>
  <c r="AI189" i="3"/>
  <c r="B64" i="53" s="1"/>
  <c r="AT188" i="3"/>
  <c r="M64" i="52"/>
  <c r="AS188" i="3"/>
  <c r="L64" i="52" s="1"/>
  <c r="AR188" i="3"/>
  <c r="K64" i="52" s="1"/>
  <c r="AQ188" i="3"/>
  <c r="J64" i="52" s="1"/>
  <c r="AP188" i="3"/>
  <c r="I64" i="52" s="1"/>
  <c r="AO188" i="3"/>
  <c r="H64" i="52" s="1"/>
  <c r="AN188" i="3"/>
  <c r="G64" i="52" s="1"/>
  <c r="AM188" i="3"/>
  <c r="F64" i="52" s="1"/>
  <c r="AL188" i="3"/>
  <c r="E64" i="52" s="1"/>
  <c r="AK188" i="3"/>
  <c r="D64" i="52" s="1"/>
  <c r="AJ188" i="3"/>
  <c r="C64" i="52" s="1"/>
  <c r="AI188" i="3"/>
  <c r="B64" i="52" s="1"/>
  <c r="AT187" i="3"/>
  <c r="M64" i="51" s="1"/>
  <c r="AS187" i="3"/>
  <c r="L64" i="51" s="1"/>
  <c r="AR187" i="3"/>
  <c r="K64" i="51" s="1"/>
  <c r="AQ187" i="3"/>
  <c r="J64" i="51"/>
  <c r="AP187" i="3"/>
  <c r="I64" i="51" s="1"/>
  <c r="AO187" i="3"/>
  <c r="H64" i="51" s="1"/>
  <c r="AN187" i="3"/>
  <c r="G64" i="51" s="1"/>
  <c r="AO64" i="51" s="1"/>
  <c r="AM187" i="3"/>
  <c r="F64" i="51" s="1"/>
  <c r="AN64" i="51" s="1"/>
  <c r="AL187" i="3"/>
  <c r="E64" i="51" s="1"/>
  <c r="AK187" i="3"/>
  <c r="AJ187" i="3"/>
  <c r="C64" i="51" s="1"/>
  <c r="AI187" i="3"/>
  <c r="B64" i="51" s="1"/>
  <c r="AT186" i="3"/>
  <c r="M64" i="50" s="1"/>
  <c r="AS186" i="3"/>
  <c r="L64" i="50" s="1"/>
  <c r="AT64" i="50" s="1"/>
  <c r="AR186" i="3"/>
  <c r="K64" i="50" s="1"/>
  <c r="AQ186" i="3"/>
  <c r="J64" i="50" s="1"/>
  <c r="AP186" i="3"/>
  <c r="I64" i="50" s="1"/>
  <c r="AO186" i="3"/>
  <c r="H64" i="50" s="1"/>
  <c r="AP64" i="50" s="1"/>
  <c r="AN186" i="3"/>
  <c r="G64" i="50" s="1"/>
  <c r="AM186" i="3"/>
  <c r="F64" i="50" s="1"/>
  <c r="AN64" i="50" s="1"/>
  <c r="AL186" i="3"/>
  <c r="E64" i="50" s="1"/>
  <c r="AK186" i="3"/>
  <c r="D64" i="50" s="1"/>
  <c r="AJ186" i="3"/>
  <c r="C64" i="50" s="1"/>
  <c r="AK64" i="50" s="1"/>
  <c r="AI186" i="3"/>
  <c r="B64" i="50" s="1"/>
  <c r="O64" i="50" s="1"/>
  <c r="AT185" i="3"/>
  <c r="M64" i="49" s="1"/>
  <c r="AS185" i="3"/>
  <c r="L64" i="49"/>
  <c r="AT64" i="49" s="1"/>
  <c r="AR185" i="3"/>
  <c r="K64" i="49" s="1"/>
  <c r="AQ185" i="3"/>
  <c r="J64" i="49" s="1"/>
  <c r="AR64" i="49" s="1"/>
  <c r="AP185" i="3"/>
  <c r="I64" i="49" s="1"/>
  <c r="AO185" i="3"/>
  <c r="H64" i="49" s="1"/>
  <c r="AN185" i="3"/>
  <c r="AM185" i="3"/>
  <c r="F64" i="49" s="1"/>
  <c r="AL185" i="3"/>
  <c r="E64" i="49" s="1"/>
  <c r="AK185" i="3"/>
  <c r="D64" i="49" s="1"/>
  <c r="AJ185" i="3"/>
  <c r="C64" i="49" s="1"/>
  <c r="AI185" i="3"/>
  <c r="B64" i="49" s="1"/>
  <c r="AT184" i="3"/>
  <c r="M64" i="48" s="1"/>
  <c r="AS184" i="3"/>
  <c r="L64" i="48" s="1"/>
  <c r="AR184" i="3"/>
  <c r="K64" i="48" s="1"/>
  <c r="AQ184" i="3"/>
  <c r="J64" i="48" s="1"/>
  <c r="AP184" i="3"/>
  <c r="I64" i="48" s="1"/>
  <c r="AO184" i="3"/>
  <c r="H64" i="48" s="1"/>
  <c r="AP64" i="48" s="1"/>
  <c r="AN184" i="3"/>
  <c r="G64" i="48" s="1"/>
  <c r="AM184" i="3"/>
  <c r="F64" i="48" s="1"/>
  <c r="AL184" i="3"/>
  <c r="E64" i="48" s="1"/>
  <c r="AK184" i="3"/>
  <c r="D64" i="48" s="1"/>
  <c r="AJ184" i="3"/>
  <c r="C64" i="48" s="1"/>
  <c r="AI184" i="3"/>
  <c r="AT183" i="3"/>
  <c r="M64" i="47" s="1"/>
  <c r="AS183" i="3"/>
  <c r="L64" i="47" s="1"/>
  <c r="AR183" i="3"/>
  <c r="K64" i="47" s="1"/>
  <c r="AQ183" i="3"/>
  <c r="J64" i="47" s="1"/>
  <c r="AP183" i="3"/>
  <c r="I64" i="47" s="1"/>
  <c r="AO183" i="3"/>
  <c r="H64" i="47" s="1"/>
  <c r="AN183" i="3"/>
  <c r="G64" i="47" s="1"/>
  <c r="AO64" i="47" s="1"/>
  <c r="AM183" i="3"/>
  <c r="F64" i="47" s="1"/>
  <c r="AL183" i="3"/>
  <c r="E64" i="47"/>
  <c r="AK183" i="3"/>
  <c r="D64" i="47" s="1"/>
  <c r="AJ183" i="3"/>
  <c r="C64" i="47" s="1"/>
  <c r="AI183" i="3"/>
  <c r="B64" i="47" s="1"/>
  <c r="AT182" i="3"/>
  <c r="M64" i="46" s="1"/>
  <c r="AS182" i="3"/>
  <c r="L64" i="46" s="1"/>
  <c r="AR182" i="3"/>
  <c r="K64" i="46" s="1"/>
  <c r="AQ182" i="3"/>
  <c r="J64" i="46" s="1"/>
  <c r="AP182" i="3"/>
  <c r="I64" i="46" s="1"/>
  <c r="AO182" i="3"/>
  <c r="H64" i="46" s="1"/>
  <c r="AP64" i="46" s="1"/>
  <c r="AN182" i="3"/>
  <c r="G64" i="46" s="1"/>
  <c r="AM182" i="3"/>
  <c r="F64" i="46" s="1"/>
  <c r="AL182" i="3"/>
  <c r="E64" i="46" s="1"/>
  <c r="AK182" i="3"/>
  <c r="AJ182" i="3"/>
  <c r="C64" i="46" s="1"/>
  <c r="AI182" i="3"/>
  <c r="B64" i="46" s="1"/>
  <c r="AT181" i="3"/>
  <c r="M64" i="45" s="1"/>
  <c r="AS181" i="3"/>
  <c r="L64" i="45" s="1"/>
  <c r="AR181" i="3"/>
  <c r="K64" i="45" s="1"/>
  <c r="AQ181" i="3"/>
  <c r="J64" i="45" s="1"/>
  <c r="AR64" i="45" s="1"/>
  <c r="AP181" i="3"/>
  <c r="I64" i="45" s="1"/>
  <c r="AO181" i="3"/>
  <c r="H64" i="45" s="1"/>
  <c r="AN181" i="3"/>
  <c r="G64" i="45" s="1"/>
  <c r="AO64" i="45" s="1"/>
  <c r="AM181" i="3"/>
  <c r="F64" i="45" s="1"/>
  <c r="AN64" i="45" s="1"/>
  <c r="AL181" i="3"/>
  <c r="E64" i="45"/>
  <c r="AK181" i="3"/>
  <c r="D64" i="45" s="1"/>
  <c r="AJ181" i="3"/>
  <c r="C64" i="45" s="1"/>
  <c r="AI181" i="3"/>
  <c r="B64" i="45" s="1"/>
  <c r="AT180" i="3"/>
  <c r="M64" i="44" s="1"/>
  <c r="AS180" i="3"/>
  <c r="L64" i="44" s="1"/>
  <c r="AR180" i="3"/>
  <c r="K64" i="44" s="1"/>
  <c r="AQ180" i="3"/>
  <c r="J64" i="44" s="1"/>
  <c r="AP180" i="3"/>
  <c r="I64" i="44" s="1"/>
  <c r="AO180" i="3"/>
  <c r="H64" i="44" s="1"/>
  <c r="AN180" i="3"/>
  <c r="G64" i="44" s="1"/>
  <c r="AM180" i="3"/>
  <c r="F64" i="44" s="1"/>
  <c r="AL180" i="3"/>
  <c r="E64" i="44" s="1"/>
  <c r="AK180" i="3"/>
  <c r="D64" i="44" s="1"/>
  <c r="AJ180" i="3"/>
  <c r="C64" i="44" s="1"/>
  <c r="AI180" i="3"/>
  <c r="B64" i="44" s="1"/>
  <c r="AT179" i="3"/>
  <c r="M64" i="43" s="1"/>
  <c r="AS179" i="3"/>
  <c r="L64" i="43"/>
  <c r="AR179" i="3"/>
  <c r="K64" i="43"/>
  <c r="AQ179" i="3"/>
  <c r="J64" i="43"/>
  <c r="AP179" i="3"/>
  <c r="I64" i="43"/>
  <c r="AO179" i="3"/>
  <c r="H64" i="43"/>
  <c r="AN179" i="3"/>
  <c r="G64" i="43"/>
  <c r="AO64" i="43" s="1"/>
  <c r="AM179" i="3"/>
  <c r="F64" i="43"/>
  <c r="AN64" i="43" s="1"/>
  <c r="AL179" i="3"/>
  <c r="E64" i="43" s="1"/>
  <c r="AK179" i="3"/>
  <c r="D64" i="43" s="1"/>
  <c r="AJ179" i="3"/>
  <c r="C64" i="43" s="1"/>
  <c r="AI179" i="3"/>
  <c r="B64" i="43" s="1"/>
  <c r="AT178" i="3"/>
  <c r="M64" i="42" s="1"/>
  <c r="AS178" i="3"/>
  <c r="L64" i="42" s="1"/>
  <c r="AR178" i="3"/>
  <c r="K64" i="42" s="1"/>
  <c r="AQ178" i="3"/>
  <c r="J64" i="42" s="1"/>
  <c r="AP178" i="3"/>
  <c r="I64" i="42" s="1"/>
  <c r="AO178" i="3"/>
  <c r="H64" i="42" s="1"/>
  <c r="AN178" i="3"/>
  <c r="G64" i="42" s="1"/>
  <c r="AO64" i="42" s="1"/>
  <c r="AM178" i="3"/>
  <c r="F64" i="42" s="1"/>
  <c r="AL178" i="3"/>
  <c r="AK178" i="3"/>
  <c r="D64" i="42" s="1"/>
  <c r="AJ178" i="3"/>
  <c r="C64" i="42" s="1"/>
  <c r="AI178" i="3"/>
  <c r="B64" i="42" s="1"/>
  <c r="AT177" i="3"/>
  <c r="M64" i="41" s="1"/>
  <c r="AS177" i="3"/>
  <c r="L64" i="41" s="1"/>
  <c r="AT64" i="41" s="1"/>
  <c r="AR177" i="3"/>
  <c r="K64" i="41" s="1"/>
  <c r="AQ177" i="3"/>
  <c r="J64" i="41" s="1"/>
  <c r="AP177" i="3"/>
  <c r="I64" i="41" s="1"/>
  <c r="AO177" i="3"/>
  <c r="H64" i="41" s="1"/>
  <c r="AP64" i="41" s="1"/>
  <c r="AN177" i="3"/>
  <c r="G64" i="41" s="1"/>
  <c r="AM177" i="3"/>
  <c r="F64" i="41" s="1"/>
  <c r="AL177" i="3"/>
  <c r="E64" i="41"/>
  <c r="AK177" i="3"/>
  <c r="D64" i="41" s="1"/>
  <c r="AJ177" i="3"/>
  <c r="C64" i="41" s="1"/>
  <c r="AI177" i="3"/>
  <c r="B64" i="41" s="1"/>
  <c r="AT176" i="3"/>
  <c r="M64" i="40" s="1"/>
  <c r="AS176" i="3"/>
  <c r="L64" i="40" s="1"/>
  <c r="AR176" i="3"/>
  <c r="K64" i="40" s="1"/>
  <c r="AQ176" i="3"/>
  <c r="J64" i="40" s="1"/>
  <c r="AP176" i="3"/>
  <c r="I64" i="40" s="1"/>
  <c r="AO176" i="3"/>
  <c r="H64" i="40" s="1"/>
  <c r="AN176" i="3"/>
  <c r="G64" i="40" s="1"/>
  <c r="AM176" i="3"/>
  <c r="F64" i="40" s="1"/>
  <c r="AL176" i="3"/>
  <c r="E64" i="40" s="1"/>
  <c r="AK176" i="3"/>
  <c r="AJ176" i="3"/>
  <c r="C64" i="40" s="1"/>
  <c r="AI176" i="3"/>
  <c r="B64" i="40" s="1"/>
  <c r="AT175" i="3"/>
  <c r="M64" i="39"/>
  <c r="AS175" i="3"/>
  <c r="L64" i="39" s="1"/>
  <c r="AR175" i="3"/>
  <c r="K64" i="39" s="1"/>
  <c r="AQ175" i="3"/>
  <c r="J64" i="39" s="1"/>
  <c r="AP175" i="3"/>
  <c r="I64" i="39" s="1"/>
  <c r="AQ64" i="39" s="1"/>
  <c r="AO175" i="3"/>
  <c r="H64" i="39"/>
  <c r="AP64" i="39" s="1"/>
  <c r="AN175" i="3"/>
  <c r="G64" i="39" s="1"/>
  <c r="AM175" i="3"/>
  <c r="AL175" i="3"/>
  <c r="E64" i="39" s="1"/>
  <c r="AK175" i="3"/>
  <c r="D64" i="39" s="1"/>
  <c r="AJ175" i="3"/>
  <c r="C64" i="39"/>
  <c r="AI175" i="3"/>
  <c r="B64" i="39" s="1"/>
  <c r="AT174" i="3"/>
  <c r="M64" i="37" s="1"/>
  <c r="AS174" i="3"/>
  <c r="L64" i="37" s="1"/>
  <c r="AR174" i="3"/>
  <c r="K64" i="37" s="1"/>
  <c r="AQ174" i="3"/>
  <c r="J64" i="37" s="1"/>
  <c r="AP174" i="3"/>
  <c r="I64" i="37" s="1"/>
  <c r="AQ64" i="37" s="1"/>
  <c r="AO174" i="3"/>
  <c r="H64" i="37" s="1"/>
  <c r="AN174" i="3"/>
  <c r="G64" i="37" s="1"/>
  <c r="AM174" i="3"/>
  <c r="F64" i="37" s="1"/>
  <c r="AL174" i="3"/>
  <c r="E64" i="37" s="1"/>
  <c r="AK174" i="3"/>
  <c r="D64" i="37" s="1"/>
  <c r="AJ174" i="3"/>
  <c r="C64" i="37" s="1"/>
  <c r="AI174" i="3"/>
  <c r="B64" i="37" s="1"/>
  <c r="AT173" i="3"/>
  <c r="M64" i="36" s="1"/>
  <c r="AS173" i="3"/>
  <c r="L64" i="36" s="1"/>
  <c r="AR173" i="3"/>
  <c r="K64" i="36" s="1"/>
  <c r="AQ173" i="3"/>
  <c r="J64" i="36" s="1"/>
  <c r="AR64" i="36" s="1"/>
  <c r="AP173" i="3"/>
  <c r="I64" i="36" s="1"/>
  <c r="AO173" i="3"/>
  <c r="H64" i="36" s="1"/>
  <c r="AP64" i="36" s="1"/>
  <c r="AN173" i="3"/>
  <c r="G64" i="36" s="1"/>
  <c r="AM173" i="3"/>
  <c r="F64" i="36" s="1"/>
  <c r="AL173" i="3"/>
  <c r="E64" i="36" s="1"/>
  <c r="AK173" i="3"/>
  <c r="D64" i="36" s="1"/>
  <c r="AJ173" i="3"/>
  <c r="C64" i="36" s="1"/>
  <c r="AI173" i="3"/>
  <c r="B64" i="36" s="1"/>
  <c r="O64" i="36" s="1"/>
  <c r="AT172" i="3"/>
  <c r="M64" i="35" s="1"/>
  <c r="AS172" i="3"/>
  <c r="L64" i="35" s="1"/>
  <c r="AR172" i="3"/>
  <c r="K64" i="35" s="1"/>
  <c r="AQ172" i="3"/>
  <c r="J64" i="35" s="1"/>
  <c r="AP172" i="3"/>
  <c r="AO172" i="3"/>
  <c r="H64" i="35" s="1"/>
  <c r="AN172" i="3"/>
  <c r="G64" i="35" s="1"/>
  <c r="AM172" i="3"/>
  <c r="F64" i="35" s="1"/>
  <c r="AL172" i="3"/>
  <c r="E64" i="35"/>
  <c r="AK172" i="3"/>
  <c r="D64" i="35" s="1"/>
  <c r="AJ172" i="3"/>
  <c r="C64" i="35" s="1"/>
  <c r="AK64" i="35" s="1"/>
  <c r="AI172" i="3"/>
  <c r="B64" i="35" s="1"/>
  <c r="AT171" i="3"/>
  <c r="M64" i="34" s="1"/>
  <c r="AU64" i="34" s="1"/>
  <c r="AS171" i="3"/>
  <c r="L64" i="34" s="1"/>
  <c r="AR171" i="3"/>
  <c r="K64" i="34" s="1"/>
  <c r="AQ171" i="3"/>
  <c r="J64" i="34"/>
  <c r="AP171" i="3"/>
  <c r="I64" i="34" s="1"/>
  <c r="AO171" i="3"/>
  <c r="H64" i="34" s="1"/>
  <c r="AP64" i="34" s="1"/>
  <c r="AN171" i="3"/>
  <c r="G64" i="34" s="1"/>
  <c r="AO64" i="34" s="1"/>
  <c r="AM171" i="3"/>
  <c r="F64" i="34" s="1"/>
  <c r="AN64" i="34" s="1"/>
  <c r="AL171" i="3"/>
  <c r="E64" i="34" s="1"/>
  <c r="AK171" i="3"/>
  <c r="D64" i="34" s="1"/>
  <c r="AJ171" i="3"/>
  <c r="AI171" i="3"/>
  <c r="B64" i="34"/>
  <c r="AT170" i="3"/>
  <c r="M64" i="33" s="1"/>
  <c r="AU64" i="33" s="1"/>
  <c r="AS170" i="3"/>
  <c r="L64" i="33" s="1"/>
  <c r="AT64" i="33" s="1"/>
  <c r="AR170" i="3"/>
  <c r="K64" i="33" s="1"/>
  <c r="AS64" i="33" s="1"/>
  <c r="AQ170" i="3"/>
  <c r="J64" i="33" s="1"/>
  <c r="AP170" i="3"/>
  <c r="I64" i="33" s="1"/>
  <c r="AQ64" i="33" s="1"/>
  <c r="AO170" i="3"/>
  <c r="H64" i="33" s="1"/>
  <c r="AN170" i="3"/>
  <c r="G64" i="33" s="1"/>
  <c r="AM170" i="3"/>
  <c r="F64" i="33" s="1"/>
  <c r="AL170" i="3"/>
  <c r="E64" i="33" s="1"/>
  <c r="AK170" i="3"/>
  <c r="AJ170" i="3"/>
  <c r="C64" i="33" s="1"/>
  <c r="AI170" i="3"/>
  <c r="B64" i="33" s="1"/>
  <c r="AT169" i="3"/>
  <c r="M63" i="32" s="1"/>
  <c r="AU63" i="32" s="1"/>
  <c r="AS169" i="3"/>
  <c r="L63" i="32" s="1"/>
  <c r="AR169" i="3"/>
  <c r="K63" i="32" s="1"/>
  <c r="AS63" i="32" s="1"/>
  <c r="AQ169" i="3"/>
  <c r="J63" i="32" s="1"/>
  <c r="AP169" i="3"/>
  <c r="I63" i="32" s="1"/>
  <c r="AO169" i="3"/>
  <c r="H63" i="32" s="1"/>
  <c r="AN169" i="3"/>
  <c r="G63" i="32" s="1"/>
  <c r="AM169" i="3"/>
  <c r="F63" i="32" s="1"/>
  <c r="AN63" i="32" s="1"/>
  <c r="AL169" i="3"/>
  <c r="E63" i="32" s="1"/>
  <c r="AK169" i="3"/>
  <c r="D63" i="32" s="1"/>
  <c r="AJ169" i="3"/>
  <c r="C63" i="32" s="1"/>
  <c r="AI169" i="3"/>
  <c r="B63" i="32" s="1"/>
  <c r="AF195" i="3"/>
  <c r="AF194" i="3"/>
  <c r="AF193" i="3"/>
  <c r="AF192" i="3"/>
  <c r="AF191" i="3"/>
  <c r="AF190" i="3"/>
  <c r="AF189" i="3"/>
  <c r="AF188" i="3"/>
  <c r="AF187" i="3"/>
  <c r="AF186" i="3"/>
  <c r="AF185" i="3"/>
  <c r="AF184" i="3"/>
  <c r="AF183" i="3"/>
  <c r="AF182" i="3"/>
  <c r="AF181" i="3"/>
  <c r="AF180" i="3"/>
  <c r="AF179" i="3"/>
  <c r="AF178" i="3"/>
  <c r="AF177" i="3"/>
  <c r="AF176" i="3"/>
  <c r="AF175" i="3"/>
  <c r="AF174" i="3"/>
  <c r="AF173" i="3"/>
  <c r="AF172" i="3"/>
  <c r="AF171" i="3"/>
  <c r="AF170" i="3"/>
  <c r="AF169" i="3"/>
  <c r="C85" i="53"/>
  <c r="X174" i="3"/>
  <c r="G65" i="37" s="1"/>
  <c r="AA185" i="3"/>
  <c r="J65" i="49" s="1"/>
  <c r="AA177" i="3"/>
  <c r="J65" i="41" s="1"/>
  <c r="AD188" i="3"/>
  <c r="M65" i="52" s="1"/>
  <c r="X193" i="3"/>
  <c r="G65" i="57" s="1"/>
  <c r="X172" i="3"/>
  <c r="G65" i="35" s="1"/>
  <c r="X190" i="3"/>
  <c r="G65" i="54"/>
  <c r="AA171" i="3"/>
  <c r="J65" i="34" s="1"/>
  <c r="Y224" i="3"/>
  <c r="Z66" i="56" s="1"/>
  <c r="Z224" i="3"/>
  <c r="AA66" i="56" s="1"/>
  <c r="U224" i="3"/>
  <c r="V66" i="56" s="1"/>
  <c r="W224" i="3"/>
  <c r="X66" i="56" s="1"/>
  <c r="X224" i="3"/>
  <c r="Y66" i="56" s="1"/>
  <c r="Z218" i="3"/>
  <c r="AA65" i="50" s="1"/>
  <c r="AA218" i="3"/>
  <c r="AB65" i="50"/>
  <c r="U218" i="3"/>
  <c r="V65" i="50" s="1"/>
  <c r="W218" i="3"/>
  <c r="X65" i="50" s="1"/>
  <c r="V192" i="3"/>
  <c r="E66" i="56" s="1"/>
  <c r="X192" i="3"/>
  <c r="G66" i="56" s="1"/>
  <c r="AO66" i="56" s="1"/>
  <c r="AA192" i="3"/>
  <c r="J66" i="56" s="1"/>
  <c r="AC192" i="3"/>
  <c r="AC172" i="3"/>
  <c r="L65" i="35" s="1"/>
  <c r="AB172" i="3"/>
  <c r="K65" i="35" s="1"/>
  <c r="V172" i="3"/>
  <c r="E65" i="35" s="1"/>
  <c r="W172" i="3"/>
  <c r="F65" i="35" s="1"/>
  <c r="AA172" i="3"/>
  <c r="J65" i="35" s="1"/>
  <c r="Z172" i="3"/>
  <c r="I65" i="35" s="1"/>
  <c r="U172" i="3"/>
  <c r="D65" i="35" s="1"/>
  <c r="AD172" i="3"/>
  <c r="M65" i="35" s="1"/>
  <c r="Y172" i="3"/>
  <c r="H65" i="35" s="1"/>
  <c r="V174" i="3"/>
  <c r="E65" i="37" s="1"/>
  <c r="U174" i="3"/>
  <c r="D65" i="37" s="1"/>
  <c r="Z174" i="3"/>
  <c r="I65" i="37" s="1"/>
  <c r="AB174" i="3"/>
  <c r="K65" i="37" s="1"/>
  <c r="T174" i="3"/>
  <c r="C65" i="37" s="1"/>
  <c r="Y174" i="3"/>
  <c r="H65" i="37" s="1"/>
  <c r="T193" i="3"/>
  <c r="C65" i="57" s="1"/>
  <c r="U193" i="3"/>
  <c r="D65" i="57"/>
  <c r="AD193" i="3"/>
  <c r="M65" i="57" s="1"/>
  <c r="Y193" i="3"/>
  <c r="H65" i="57" s="1"/>
  <c r="AA193" i="3"/>
  <c r="J65" i="57" s="1"/>
  <c r="V193" i="3"/>
  <c r="E65" i="57" s="1"/>
  <c r="AB193" i="3"/>
  <c r="K65" i="57" s="1"/>
  <c r="W193" i="3"/>
  <c r="F65" i="57" s="1"/>
  <c r="AC193" i="3"/>
  <c r="L65" i="57" s="1"/>
  <c r="AD174" i="3"/>
  <c r="M65" i="37" s="1"/>
  <c r="X218" i="3"/>
  <c r="Y65" i="50" s="1"/>
  <c r="AA224" i="3"/>
  <c r="AB66" i="56" s="1"/>
  <c r="AD218" i="3"/>
  <c r="AE65" i="50" s="1"/>
  <c r="Y218" i="3"/>
  <c r="Z65" i="50" s="1"/>
  <c r="AC224" i="3"/>
  <c r="AD227" i="3"/>
  <c r="AE65" i="38" s="1"/>
  <c r="X176" i="3"/>
  <c r="G65" i="40" s="1"/>
  <c r="AC205" i="3"/>
  <c r="AD65" i="36" s="1"/>
  <c r="X205" i="3"/>
  <c r="Y65" i="36"/>
  <c r="AD205" i="3"/>
  <c r="AE65" i="36" s="1"/>
  <c r="AB205" i="3"/>
  <c r="AC65" i="36" s="1"/>
  <c r="AA173" i="3"/>
  <c r="J65" i="36" s="1"/>
  <c r="AB218" i="3"/>
  <c r="AC65" i="50" s="1"/>
  <c r="AB224" i="3"/>
  <c r="AD224" i="3"/>
  <c r="V224" i="3"/>
  <c r="W66" i="56" s="1"/>
  <c r="AC183" i="3"/>
  <c r="L65" i="47" s="1"/>
  <c r="AC209" i="3"/>
  <c r="AD65" i="41" s="1"/>
  <c r="V218" i="3"/>
  <c r="W65" i="50" s="1"/>
  <c r="W181" i="3"/>
  <c r="F65" i="45" s="1"/>
  <c r="U181" i="3"/>
  <c r="D65" i="45" s="1"/>
  <c r="V181" i="3"/>
  <c r="E65" i="45" s="1"/>
  <c r="X181" i="3"/>
  <c r="G65" i="45" s="1"/>
  <c r="T181" i="3"/>
  <c r="C65" i="45" s="1"/>
  <c r="AD181" i="3"/>
  <c r="M65" i="45" s="1"/>
  <c r="T224" i="3"/>
  <c r="U66" i="56" s="1"/>
  <c r="AA174" i="3"/>
  <c r="J65" i="37"/>
  <c r="AB181" i="3"/>
  <c r="K65" i="45" s="1"/>
  <c r="W225" i="3"/>
  <c r="X65" i="57" s="1"/>
  <c r="X170" i="3"/>
  <c r="G65" i="33" s="1"/>
  <c r="U191" i="3"/>
  <c r="D65" i="55" s="1"/>
  <c r="Y191" i="3"/>
  <c r="H65" i="55" s="1"/>
  <c r="V191" i="3"/>
  <c r="E65" i="55" s="1"/>
  <c r="AC191" i="3"/>
  <c r="L65" i="55" s="1"/>
  <c r="W191" i="3"/>
  <c r="F65" i="55" s="1"/>
  <c r="Z191" i="3"/>
  <c r="I65" i="55" s="1"/>
  <c r="AB191" i="3"/>
  <c r="AD191" i="3"/>
  <c r="M65" i="55" s="1"/>
  <c r="AA191" i="3"/>
  <c r="J65" i="55" s="1"/>
  <c r="U192" i="3"/>
  <c r="D66" i="56" s="1"/>
  <c r="U188" i="3"/>
  <c r="D65" i="52" s="1"/>
  <c r="V188" i="3"/>
  <c r="Y188" i="3"/>
  <c r="H65" i="52" s="1"/>
  <c r="AC188" i="3"/>
  <c r="L65" i="52" s="1"/>
  <c r="W188" i="3"/>
  <c r="F65" i="52" s="1"/>
  <c r="X188" i="3"/>
  <c r="G65" i="52" s="1"/>
  <c r="AB188" i="3"/>
  <c r="K65" i="52"/>
  <c r="W220" i="3"/>
  <c r="X65" i="52" s="1"/>
  <c r="AA176" i="3"/>
  <c r="J65" i="40" s="1"/>
  <c r="AB223" i="3"/>
  <c r="AC65" i="55" s="1"/>
  <c r="AA223" i="3"/>
  <c r="AB65" i="55"/>
  <c r="Y223" i="3"/>
  <c r="Z65" i="55" s="1"/>
  <c r="V207" i="3"/>
  <c r="W65" i="39" s="1"/>
  <c r="AC204" i="3"/>
  <c r="AD65" i="35" s="1"/>
  <c r="V180" i="3"/>
  <c r="E65" i="44" s="1"/>
  <c r="AC186" i="3"/>
  <c r="L65" i="50" s="1"/>
  <c r="Z188" i="3"/>
  <c r="I65" i="52" s="1"/>
  <c r="AC174" i="3"/>
  <c r="L65" i="37" s="1"/>
  <c r="W206" i="3"/>
  <c r="X65" i="37" s="1"/>
  <c r="AD206" i="3"/>
  <c r="AE65" i="37" s="1"/>
  <c r="Y206" i="3"/>
  <c r="Z65" i="37" s="1"/>
  <c r="AB206" i="3"/>
  <c r="AC65" i="37" s="1"/>
  <c r="Z201" i="3"/>
  <c r="AA64" i="32" s="1"/>
  <c r="V205" i="3"/>
  <c r="W65" i="36" s="1"/>
  <c r="X184" i="3"/>
  <c r="G65" i="48" s="1"/>
  <c r="AC222" i="3"/>
  <c r="AD65" i="54" s="1"/>
  <c r="Z193" i="3"/>
  <c r="I65" i="57" s="1"/>
  <c r="U223" i="3"/>
  <c r="V65" i="55" s="1"/>
  <c r="AD226" i="3"/>
  <c r="AE65" i="58" s="1"/>
  <c r="AC218" i="3"/>
  <c r="AD65" i="50" s="1"/>
  <c r="Y185" i="3"/>
  <c r="H65" i="49"/>
  <c r="AD185" i="3"/>
  <c r="M65" i="49" s="1"/>
  <c r="AC185" i="3"/>
  <c r="L65" i="49" s="1"/>
  <c r="AB185" i="3"/>
  <c r="K65" i="49" s="1"/>
  <c r="U185" i="3"/>
  <c r="D65" i="49"/>
  <c r="W185" i="3"/>
  <c r="F65" i="49" s="1"/>
  <c r="V185" i="3"/>
  <c r="E65" i="49" s="1"/>
  <c r="X185" i="3"/>
  <c r="G65" i="49" s="1"/>
  <c r="Z185" i="3"/>
  <c r="I65" i="49" s="1"/>
  <c r="AD216" i="3"/>
  <c r="AE65" i="48" s="1"/>
  <c r="U216" i="3"/>
  <c r="V65" i="48" s="1"/>
  <c r="X216" i="3"/>
  <c r="AB216" i="3"/>
  <c r="AC65" i="48" s="1"/>
  <c r="V216" i="3"/>
  <c r="W65" i="48" s="1"/>
  <c r="Z216" i="3"/>
  <c r="AA65" i="48" s="1"/>
  <c r="W216" i="3"/>
  <c r="X65" i="48" s="1"/>
  <c r="W174" i="3"/>
  <c r="F65" i="37" s="1"/>
  <c r="X179" i="3"/>
  <c r="G65" i="43" s="1"/>
  <c r="U177" i="3"/>
  <c r="AB177" i="3"/>
  <c r="K65" i="41" s="1"/>
  <c r="AC177" i="3"/>
  <c r="L65" i="41" s="1"/>
  <c r="V208" i="3"/>
  <c r="W65" i="40" s="1"/>
  <c r="AD208" i="3"/>
  <c r="AE65" i="40" s="1"/>
  <c r="AA181" i="3"/>
  <c r="J65" i="45" s="1"/>
  <c r="AC214" i="3"/>
  <c r="AD65" i="46" s="1"/>
  <c r="X222" i="3"/>
  <c r="Y65" i="54" s="1"/>
  <c r="W205" i="3"/>
  <c r="X65" i="36" s="1"/>
  <c r="V176" i="3"/>
  <c r="E65" i="40" s="1"/>
  <c r="AD186" i="3"/>
  <c r="M65" i="50" s="1"/>
  <c r="Z181" i="3"/>
  <c r="I65" i="45" s="1"/>
  <c r="T208" i="3"/>
  <c r="U65" i="40" s="1"/>
  <c r="AA175" i="3"/>
  <c r="J65" i="39" s="1"/>
  <c r="AA188" i="3"/>
  <c r="J65" i="52" s="1"/>
  <c r="Y181" i="3"/>
  <c r="H65" i="45" s="1"/>
  <c r="AC181" i="3"/>
  <c r="L65" i="45" s="1"/>
  <c r="T176" i="3"/>
  <c r="C65" i="40" s="1"/>
  <c r="Z173" i="3"/>
  <c r="I65" i="36" s="1"/>
  <c r="X173" i="3"/>
  <c r="G65" i="36" s="1"/>
  <c r="AD176" i="3"/>
  <c r="M65" i="40" s="1"/>
  <c r="AU65" i="40" s="1"/>
  <c r="AC173" i="3"/>
  <c r="L65" i="36" s="1"/>
  <c r="U202" i="3"/>
  <c r="V65" i="33"/>
  <c r="T220" i="3"/>
  <c r="U65" i="52" s="1"/>
  <c r="AC201" i="3"/>
  <c r="AD64" i="32" s="1"/>
  <c r="V227" i="3"/>
  <c r="U176" i="3"/>
  <c r="D65" i="40"/>
  <c r="U209" i="3"/>
  <c r="V65" i="41" s="1"/>
  <c r="W176" i="3"/>
  <c r="F65" i="40" s="1"/>
  <c r="V226" i="3"/>
  <c r="W65" i="58" s="1"/>
  <c r="X212" i="3"/>
  <c r="Y65" i="44" s="1"/>
  <c r="U226" i="3"/>
  <c r="V65" i="58" s="1"/>
  <c r="S185" i="3"/>
  <c r="B65" i="49" s="1"/>
  <c r="Y205" i="3"/>
  <c r="Z65" i="36" s="1"/>
  <c r="AB176" i="3"/>
  <c r="K65" i="40"/>
  <c r="X227" i="3"/>
  <c r="Y65" i="38" s="1"/>
  <c r="AA227" i="3"/>
  <c r="AB65" i="38" s="1"/>
  <c r="W226" i="3"/>
  <c r="X65" i="58" s="1"/>
  <c r="X226" i="3"/>
  <c r="Y65" i="58" s="1"/>
  <c r="Z222" i="3"/>
  <c r="AA65" i="54" s="1"/>
  <c r="U207" i="3"/>
  <c r="V65" i="39" s="1"/>
  <c r="AB227" i="3"/>
  <c r="AC65" i="38" s="1"/>
  <c r="AD184" i="3"/>
  <c r="M65" i="48"/>
  <c r="Z183" i="3"/>
  <c r="I65" i="47" s="1"/>
  <c r="T205" i="3"/>
  <c r="U65" i="36" s="1"/>
  <c r="U201" i="3"/>
  <c r="V64" i="32" s="1"/>
  <c r="Y209" i="3"/>
  <c r="Z65" i="41"/>
  <c r="X209" i="3"/>
  <c r="Y65" i="41" s="1"/>
  <c r="AA216" i="3"/>
  <c r="AB65" i="48" s="1"/>
  <c r="T185" i="3"/>
  <c r="U222" i="3"/>
  <c r="V65" i="54"/>
  <c r="AC184" i="3"/>
  <c r="L65" i="48" s="1"/>
  <c r="Z186" i="3"/>
  <c r="I65" i="50" s="1"/>
  <c r="V223" i="3"/>
  <c r="W65" i="55" s="1"/>
  <c r="Y183" i="3"/>
  <c r="H65" i="47" s="1"/>
  <c r="X183" i="3"/>
  <c r="G65" i="47" s="1"/>
  <c r="AB183" i="3"/>
  <c r="K65" i="47"/>
  <c r="Z227" i="3"/>
  <c r="AA65" i="38" s="1"/>
  <c r="T218" i="3"/>
  <c r="U65" i="50" s="1"/>
  <c r="Y208" i="3"/>
  <c r="Z65" i="40" s="1"/>
  <c r="Y177" i="3"/>
  <c r="H65" i="41" s="1"/>
  <c r="W222" i="3"/>
  <c r="X65" i="54" s="1"/>
  <c r="AA184" i="3"/>
  <c r="J65" i="48" s="1"/>
  <c r="V206" i="3"/>
  <c r="W65" i="37" s="1"/>
  <c r="W183" i="3"/>
  <c r="F65" i="47" s="1"/>
  <c r="X201" i="3"/>
  <c r="Y64" i="32" s="1"/>
  <c r="AA183" i="3"/>
  <c r="J65" i="47" s="1"/>
  <c r="U183" i="3"/>
  <c r="D65" i="47" s="1"/>
  <c r="AD209" i="3"/>
  <c r="AE65" i="41" s="1"/>
  <c r="AC227" i="3"/>
  <c r="AD65" i="38" s="1"/>
  <c r="Z176" i="3"/>
  <c r="I65" i="40" s="1"/>
  <c r="V209" i="3"/>
  <c r="W65" i="41" s="1"/>
  <c r="U205" i="3"/>
  <c r="V65" i="36" s="1"/>
  <c r="W208" i="3"/>
  <c r="X65" i="40" s="1"/>
  <c r="T216" i="3"/>
  <c r="U65" i="48" s="1"/>
  <c r="Z212" i="3"/>
  <c r="AA65" i="44" s="1"/>
  <c r="W215" i="3"/>
  <c r="X65" i="47" s="1"/>
  <c r="AA215" i="3"/>
  <c r="AB65" i="47" s="1"/>
  <c r="Y222" i="3"/>
  <c r="Z65" i="54" s="1"/>
  <c r="AA222" i="3"/>
  <c r="AB65" i="54" s="1"/>
  <c r="V186" i="3"/>
  <c r="E65" i="50" s="1"/>
  <c r="V183" i="3"/>
  <c r="E65" i="47" s="1"/>
  <c r="AD183" i="3"/>
  <c r="M65" i="47" s="1"/>
  <c r="W209" i="3"/>
  <c r="X65" i="41" s="1"/>
  <c r="U173" i="3"/>
  <c r="D65" i="36" s="1"/>
  <c r="W227" i="3"/>
  <c r="X65" i="38" s="1"/>
  <c r="W177" i="3"/>
  <c r="F65" i="41"/>
  <c r="V177" i="3"/>
  <c r="E65" i="41" s="1"/>
  <c r="AB212" i="3"/>
  <c r="AC65" i="44" s="1"/>
  <c r="AD212" i="3"/>
  <c r="AE65" i="44" s="1"/>
  <c r="AD214" i="3"/>
  <c r="AE65" i="46" s="1"/>
  <c r="Z209" i="3"/>
  <c r="AA65" i="41" s="1"/>
  <c r="T209" i="3"/>
  <c r="U65" i="41" s="1"/>
  <c r="Y227" i="3"/>
  <c r="Z65" i="38" s="1"/>
  <c r="U212" i="3"/>
  <c r="V65" i="44" s="1"/>
  <c r="Z220" i="3"/>
  <c r="AA65" i="52" s="1"/>
  <c r="U227" i="3"/>
  <c r="V65" i="38"/>
  <c r="Y216" i="3"/>
  <c r="Z65" i="48" s="1"/>
  <c r="U214" i="3"/>
  <c r="V65" i="46" s="1"/>
  <c r="AC208" i="3"/>
  <c r="AD65" i="40" s="1"/>
  <c r="X223" i="3"/>
  <c r="Y65" i="55" s="1"/>
  <c r="T227" i="3"/>
  <c r="U65" i="38" s="1"/>
  <c r="X177" i="3"/>
  <c r="G65" i="41" s="1"/>
  <c r="Z177" i="3"/>
  <c r="I65" i="41" s="1"/>
  <c r="AD177" i="3"/>
  <c r="M65" i="41" s="1"/>
  <c r="T187" i="3"/>
  <c r="C65" i="51" s="1"/>
  <c r="AA202" i="3"/>
  <c r="AB65" i="33" s="1"/>
  <c r="S177" i="3"/>
  <c r="B65" i="41" s="1"/>
  <c r="V201" i="3"/>
  <c r="W64" i="32" s="1"/>
  <c r="W214" i="3"/>
  <c r="X65" i="46" s="1"/>
  <c r="AC212" i="3"/>
  <c r="AD65" i="44"/>
  <c r="AB215" i="3"/>
  <c r="AC65" i="47" s="1"/>
  <c r="AC226" i="3"/>
  <c r="AD65" i="58"/>
  <c r="AA214" i="3"/>
  <c r="AB65" i="46" s="1"/>
  <c r="Z214" i="3"/>
  <c r="AA65" i="46" s="1"/>
  <c r="X215" i="3"/>
  <c r="Z226" i="3"/>
  <c r="AA65" i="58" s="1"/>
  <c r="T222" i="3"/>
  <c r="U65" i="54" s="1"/>
  <c r="AB222" i="3"/>
  <c r="AC65" i="54" s="1"/>
  <c r="AB173" i="3"/>
  <c r="K65" i="36" s="1"/>
  <c r="Y215" i="3"/>
  <c r="Z65" i="47" s="1"/>
  <c r="V215" i="3"/>
  <c r="W65" i="47" s="1"/>
  <c r="X207" i="3"/>
  <c r="Y65" i="39" s="1"/>
  <c r="AB214" i="3"/>
  <c r="AC65" i="46" s="1"/>
  <c r="Z208" i="3"/>
  <c r="AA65" i="40" s="1"/>
  <c r="AB226" i="3"/>
  <c r="AC65" i="58" s="1"/>
  <c r="Y226" i="3"/>
  <c r="Z65" i="58" s="1"/>
  <c r="AC176" i="3"/>
  <c r="L65" i="40" s="1"/>
  <c r="T172" i="3"/>
  <c r="C65" i="35" s="1"/>
  <c r="T170" i="3"/>
  <c r="C65" i="33" s="1"/>
  <c r="X214" i="3"/>
  <c r="Y65" i="46" s="1"/>
  <c r="W212" i="3"/>
  <c r="X65" i="44" s="1"/>
  <c r="Y212" i="3"/>
  <c r="Z65" i="44" s="1"/>
  <c r="AA226" i="3"/>
  <c r="AB65" i="58" s="1"/>
  <c r="Y214" i="3"/>
  <c r="Z65" i="46" s="1"/>
  <c r="T177" i="3"/>
  <c r="C65" i="41" s="1"/>
  <c r="AA212" i="3"/>
  <c r="AB65" i="44" s="1"/>
  <c r="W217" i="3"/>
  <c r="X65" i="49" s="1"/>
  <c r="Z215" i="3"/>
  <c r="AA65" i="47" s="1"/>
  <c r="T215" i="3"/>
  <c r="U65" i="47" s="1"/>
  <c r="AD222" i="3"/>
  <c r="AE65" i="54" s="1"/>
  <c r="V222" i="3"/>
  <c r="W65" i="54" s="1"/>
  <c r="T188" i="3"/>
  <c r="C65" i="52" s="1"/>
  <c r="T214" i="3"/>
  <c r="U65" i="46" s="1"/>
  <c r="U215" i="3"/>
  <c r="V65" i="47" s="1"/>
  <c r="T221" i="3"/>
  <c r="T212" i="3"/>
  <c r="U65" i="44" s="1"/>
  <c r="T191" i="3"/>
  <c r="C65" i="55" s="1"/>
  <c r="AB169" i="3"/>
  <c r="K64" i="32"/>
  <c r="T223" i="3"/>
  <c r="U65" i="55" s="1"/>
  <c r="S212" i="3"/>
  <c r="T65" i="44" s="1"/>
  <c r="T217" i="3"/>
  <c r="U65" i="49" s="1"/>
  <c r="U187" i="3"/>
  <c r="D65" i="51" s="1"/>
  <c r="AD187" i="3"/>
  <c r="M65" i="51" s="1"/>
  <c r="W187" i="3"/>
  <c r="F65" i="51" s="1"/>
  <c r="AB187" i="3"/>
  <c r="K65" i="51" s="1"/>
  <c r="AA187" i="3"/>
  <c r="J65" i="51" s="1"/>
  <c r="X187" i="3"/>
  <c r="G65" i="51" s="1"/>
  <c r="Z187" i="3"/>
  <c r="I65" i="51" s="1"/>
  <c r="AC187" i="3"/>
  <c r="L65" i="51" s="1"/>
  <c r="V187" i="3"/>
  <c r="E65" i="51" s="1"/>
  <c r="Z203" i="3"/>
  <c r="AA65" i="34" s="1"/>
  <c r="AB203" i="3"/>
  <c r="AC65" i="34" s="1"/>
  <c r="U203" i="3"/>
  <c r="V65" i="34" s="1"/>
  <c r="V203" i="3"/>
  <c r="W65" i="34"/>
  <c r="T203" i="3"/>
  <c r="U65" i="34" s="1"/>
  <c r="W203" i="3"/>
  <c r="X65" i="34" s="1"/>
  <c r="W211" i="3"/>
  <c r="X65" i="43" s="1"/>
  <c r="AC211" i="3"/>
  <c r="AD65" i="43" s="1"/>
  <c r="T211" i="3"/>
  <c r="U65" i="43" s="1"/>
  <c r="AD211" i="3"/>
  <c r="AE65" i="43" s="1"/>
  <c r="S216" i="3"/>
  <c r="T65" i="48" s="1"/>
  <c r="W195" i="3"/>
  <c r="F65" i="38" s="1"/>
  <c r="AD195" i="3"/>
  <c r="M65" i="38" s="1"/>
  <c r="X195" i="3"/>
  <c r="G65" i="38" s="1"/>
  <c r="U195" i="3"/>
  <c r="D65" i="38" s="1"/>
  <c r="Y195" i="3"/>
  <c r="H65" i="38" s="1"/>
  <c r="AC195" i="3"/>
  <c r="L65" i="38" s="1"/>
  <c r="Z195" i="3"/>
  <c r="I65" i="38" s="1"/>
  <c r="AB195" i="3"/>
  <c r="K65" i="38" s="1"/>
  <c r="Y182" i="3"/>
  <c r="H65" i="46"/>
  <c r="AB182" i="3"/>
  <c r="K65" i="46" s="1"/>
  <c r="U182" i="3"/>
  <c r="D65" i="46" s="1"/>
  <c r="W182" i="3"/>
  <c r="F65" i="46" s="1"/>
  <c r="AA182" i="3"/>
  <c r="J65" i="46" s="1"/>
  <c r="AR65" i="46" s="1"/>
  <c r="T182" i="3"/>
  <c r="C65" i="46" s="1"/>
  <c r="V182" i="3"/>
  <c r="E65" i="46" s="1"/>
  <c r="AD182" i="3"/>
  <c r="M65" i="46" s="1"/>
  <c r="AC194" i="3"/>
  <c r="L65" i="58" s="1"/>
  <c r="U194" i="3"/>
  <c r="D65" i="58" s="1"/>
  <c r="Y194" i="3"/>
  <c r="H65" i="58" s="1"/>
  <c r="W194" i="3"/>
  <c r="F65" i="58" s="1"/>
  <c r="AN65" i="58" s="1"/>
  <c r="V194" i="3"/>
  <c r="E65" i="58" s="1"/>
  <c r="X194" i="3"/>
  <c r="G65" i="58" s="1"/>
  <c r="AA194" i="3"/>
  <c r="J65" i="58" s="1"/>
  <c r="AR65" i="58" s="1"/>
  <c r="T194" i="3"/>
  <c r="C65" i="58" s="1"/>
  <c r="Z194" i="3"/>
  <c r="I65" i="58" s="1"/>
  <c r="U171" i="3"/>
  <c r="D65" i="34" s="1"/>
  <c r="T171" i="3"/>
  <c r="C65" i="34" s="1"/>
  <c r="V171" i="3"/>
  <c r="E65" i="34" s="1"/>
  <c r="AD171" i="3"/>
  <c r="M65" i="34" s="1"/>
  <c r="X171" i="3"/>
  <c r="G65" i="34" s="1"/>
  <c r="AC171" i="3"/>
  <c r="L65" i="34" s="1"/>
  <c r="Z171" i="3"/>
  <c r="I65" i="34" s="1"/>
  <c r="Y171" i="3"/>
  <c r="H65" i="34" s="1"/>
  <c r="AB171" i="3"/>
  <c r="K65" i="34" s="1"/>
  <c r="Y189" i="3"/>
  <c r="H65" i="53" s="1"/>
  <c r="Z189" i="3"/>
  <c r="I65" i="53" s="1"/>
  <c r="AA189" i="3"/>
  <c r="J65" i="53" s="1"/>
  <c r="W189" i="3"/>
  <c r="F65" i="53" s="1"/>
  <c r="AB189" i="3"/>
  <c r="K65" i="53" s="1"/>
  <c r="V189" i="3"/>
  <c r="E65" i="53" s="1"/>
  <c r="AC189" i="3"/>
  <c r="L65" i="53" s="1"/>
  <c r="T189" i="3"/>
  <c r="C65" i="53" s="1"/>
  <c r="U189" i="3"/>
  <c r="D65" i="53" s="1"/>
  <c r="AD189" i="3"/>
  <c r="M65" i="53" s="1"/>
  <c r="T183" i="3"/>
  <c r="C65" i="47" s="1"/>
  <c r="AK65" i="47" s="1"/>
  <c r="AC178" i="3"/>
  <c r="L65" i="42" s="1"/>
  <c r="AB178" i="3"/>
  <c r="K65" i="42" s="1"/>
  <c r="V178" i="3"/>
  <c r="E65" i="42" s="1"/>
  <c r="U178" i="3"/>
  <c r="D65" i="42" s="1"/>
  <c r="AA178" i="3"/>
  <c r="J65" i="42" s="1"/>
  <c r="W178" i="3"/>
  <c r="F65" i="42" s="1"/>
  <c r="AD178" i="3"/>
  <c r="M65" i="42" s="1"/>
  <c r="T178" i="3"/>
  <c r="C65" i="42" s="1"/>
  <c r="Y178" i="3"/>
  <c r="H65" i="42" s="1"/>
  <c r="X178" i="3"/>
  <c r="G65" i="42" s="1"/>
  <c r="Z211" i="3"/>
  <c r="AA65" i="43" s="1"/>
  <c r="V195" i="3"/>
  <c r="E65" i="38" s="1"/>
  <c r="X182" i="3"/>
  <c r="G65" i="46" s="1"/>
  <c r="AB194" i="3"/>
  <c r="K65" i="58" s="1"/>
  <c r="X189" i="3"/>
  <c r="G65" i="53" s="1"/>
  <c r="Y190" i="3"/>
  <c r="H65" i="54" s="1"/>
  <c r="V190" i="3"/>
  <c r="E65" i="54" s="1"/>
  <c r="T190" i="3"/>
  <c r="C65" i="54" s="1"/>
  <c r="Z190" i="3"/>
  <c r="I65" i="54" s="1"/>
  <c r="AA190" i="3"/>
  <c r="J65" i="54" s="1"/>
  <c r="U190" i="3"/>
  <c r="D65" i="54" s="1"/>
  <c r="AD190" i="3"/>
  <c r="M65" i="54" s="1"/>
  <c r="S220" i="3"/>
  <c r="T65" i="52" s="1"/>
  <c r="V210" i="3"/>
  <c r="W65" i="42" s="1"/>
  <c r="AM65" i="42" s="1"/>
  <c r="Y210" i="3"/>
  <c r="Z65" i="42" s="1"/>
  <c r="X210" i="3"/>
  <c r="Y65" i="42" s="1"/>
  <c r="T210" i="3"/>
  <c r="Z210" i="3"/>
  <c r="AA65" i="42" s="1"/>
  <c r="AB210" i="3"/>
  <c r="AC65" i="42" s="1"/>
  <c r="W210" i="3"/>
  <c r="X65" i="42" s="1"/>
  <c r="AD210" i="3"/>
  <c r="AE65" i="42" s="1"/>
  <c r="AA210" i="3"/>
  <c r="AB65" i="42" s="1"/>
  <c r="AC210" i="3"/>
  <c r="AD65" i="42" s="1"/>
  <c r="Z221" i="3"/>
  <c r="AA65" i="53" s="1"/>
  <c r="W221" i="3"/>
  <c r="X65" i="53" s="1"/>
  <c r="AD221" i="3"/>
  <c r="AE65" i="53" s="1"/>
  <c r="AU65" i="53" s="1"/>
  <c r="AA221" i="3"/>
  <c r="AB65" i="53" s="1"/>
  <c r="AC221" i="3"/>
  <c r="AD65" i="53" s="1"/>
  <c r="U221" i="3"/>
  <c r="V65" i="53" s="1"/>
  <c r="AL65" i="53" s="1"/>
  <c r="Y221" i="3"/>
  <c r="Z65" i="53" s="1"/>
  <c r="AB221" i="3"/>
  <c r="AC65" i="53" s="1"/>
  <c r="V221" i="3"/>
  <c r="W65" i="53" s="1"/>
  <c r="AM65" i="53" s="1"/>
  <c r="Y184" i="3"/>
  <c r="H65" i="48" s="1"/>
  <c r="S215" i="3"/>
  <c r="T65" i="47" s="1"/>
  <c r="U175" i="3"/>
  <c r="D65" i="39" s="1"/>
  <c r="Z175" i="3"/>
  <c r="I65" i="39" s="1"/>
  <c r="Y175" i="3"/>
  <c r="H65" i="39" s="1"/>
  <c r="AB175" i="3"/>
  <c r="K65" i="39" s="1"/>
  <c r="T175" i="3"/>
  <c r="C65" i="39" s="1"/>
  <c r="W175" i="3"/>
  <c r="F65" i="39" s="1"/>
  <c r="X175" i="3"/>
  <c r="G65" i="39" s="1"/>
  <c r="AC175" i="3"/>
  <c r="L65" i="39" s="1"/>
  <c r="AD175" i="3"/>
  <c r="M65" i="39" s="1"/>
  <c r="Y187" i="3"/>
  <c r="H65" i="51" s="1"/>
  <c r="W171" i="3"/>
  <c r="F65" i="34" s="1"/>
  <c r="AB186" i="3"/>
  <c r="K65" i="50" s="1"/>
  <c r="AC170" i="3"/>
  <c r="L65" i="33" s="1"/>
  <c r="AB170" i="3"/>
  <c r="K65" i="33" s="1"/>
  <c r="AD170" i="3"/>
  <c r="M65" i="33"/>
  <c r="U170" i="3"/>
  <c r="D65" i="33" s="1"/>
  <c r="Y170" i="3"/>
  <c r="H65" i="33" s="1"/>
  <c r="V170" i="3"/>
  <c r="E65" i="33" s="1"/>
  <c r="Z170" i="3"/>
  <c r="I65" i="33" s="1"/>
  <c r="AA170" i="3"/>
  <c r="J65" i="33" s="1"/>
  <c r="AA195" i="3"/>
  <c r="J65" i="38" s="1"/>
  <c r="U179" i="3"/>
  <c r="D65" i="43" s="1"/>
  <c r="AD179" i="3"/>
  <c r="M65" i="43" s="1"/>
  <c r="AB179" i="3"/>
  <c r="K65" i="43" s="1"/>
  <c r="T179" i="3"/>
  <c r="C65" i="43" s="1"/>
  <c r="Z179" i="3"/>
  <c r="I65" i="43" s="1"/>
  <c r="AC179" i="3"/>
  <c r="L65" i="43" s="1"/>
  <c r="Y179" i="3"/>
  <c r="H65" i="43" s="1"/>
  <c r="W179" i="3"/>
  <c r="F65" i="43" s="1"/>
  <c r="V179" i="3"/>
  <c r="E65" i="43" s="1"/>
  <c r="W190" i="3"/>
  <c r="F65" i="54" s="1"/>
  <c r="Z178" i="3"/>
  <c r="I65" i="42" s="1"/>
  <c r="Z202" i="3"/>
  <c r="AA65" i="33" s="1"/>
  <c r="W207" i="3"/>
  <c r="X65" i="39" s="1"/>
  <c r="Y211" i="3"/>
  <c r="Z65" i="43" s="1"/>
  <c r="AP65" i="43" s="1"/>
  <c r="T201" i="3"/>
  <c r="U64" i="32" s="1"/>
  <c r="U211" i="3"/>
  <c r="V65" i="43" s="1"/>
  <c r="AD201" i="3"/>
  <c r="AE64" i="32" s="1"/>
  <c r="Y173" i="3"/>
  <c r="H65" i="36" s="1"/>
  <c r="T202" i="3"/>
  <c r="U65" i="33" s="1"/>
  <c r="T173" i="3"/>
  <c r="C65" i="36" s="1"/>
  <c r="Y202" i="3"/>
  <c r="Z65" i="33" s="1"/>
  <c r="AB211" i="3"/>
  <c r="AA211" i="3"/>
  <c r="AB65" i="43" s="1"/>
  <c r="W201" i="3"/>
  <c r="X64" i="32" s="1"/>
  <c r="AD215" i="3"/>
  <c r="AE65" i="47" s="1"/>
  <c r="V202" i="3"/>
  <c r="W65" i="33" s="1"/>
  <c r="AB202" i="3"/>
  <c r="AC65" i="33" s="1"/>
  <c r="AC207" i="3"/>
  <c r="AD65" i="39" s="1"/>
  <c r="AB207" i="3"/>
  <c r="AC65" i="39" s="1"/>
  <c r="AS65" i="39" s="1"/>
  <c r="V211" i="3"/>
  <c r="W65" i="43" s="1"/>
  <c r="AA201" i="3"/>
  <c r="AB64" i="32" s="1"/>
  <c r="Y201" i="3"/>
  <c r="Z64" i="32" s="1"/>
  <c r="T204" i="3"/>
  <c r="U65" i="35" s="1"/>
  <c r="AD202" i="3"/>
  <c r="AE65" i="33" s="1"/>
  <c r="W202" i="3"/>
  <c r="X65" i="33" s="1"/>
  <c r="Y207" i="3"/>
  <c r="Z65" i="39" s="1"/>
  <c r="AD207" i="3"/>
  <c r="AE65" i="39" s="1"/>
  <c r="AU65" i="39" s="1"/>
  <c r="AC202" i="3"/>
  <c r="AD65" i="33" s="1"/>
  <c r="Z207" i="3"/>
  <c r="AA65" i="39" s="1"/>
  <c r="Y219" i="3"/>
  <c r="Z65" i="51" s="1"/>
  <c r="AC219" i="3"/>
  <c r="AD65" i="51" s="1"/>
  <c r="AD219" i="3"/>
  <c r="AE65" i="51"/>
  <c r="Z180" i="3"/>
  <c r="I65" i="44" s="1"/>
  <c r="AD180" i="3"/>
  <c r="M65" i="44"/>
  <c r="Y180" i="3"/>
  <c r="H65" i="44" s="1"/>
  <c r="W180" i="3"/>
  <c r="F65" i="44" s="1"/>
  <c r="X180" i="3"/>
  <c r="G65" i="44" s="1"/>
  <c r="AC180" i="3"/>
  <c r="L65" i="44" s="1"/>
  <c r="AT65" i="44" s="1"/>
  <c r="AA180" i="3"/>
  <c r="J65" i="44" s="1"/>
  <c r="U180" i="3"/>
  <c r="D65" i="44" s="1"/>
  <c r="AB180" i="3"/>
  <c r="K65" i="44" s="1"/>
  <c r="X219" i="3"/>
  <c r="Y65" i="51" s="1"/>
  <c r="AB219" i="3"/>
  <c r="AC65" i="51"/>
  <c r="U219" i="3"/>
  <c r="V65" i="51" s="1"/>
  <c r="S188" i="3"/>
  <c r="B65" i="52" s="1"/>
  <c r="S219" i="3"/>
  <c r="T65" i="51" s="1"/>
  <c r="T219" i="3"/>
  <c r="AA219" i="3"/>
  <c r="AB65" i="51" s="1"/>
  <c r="V219" i="3"/>
  <c r="W65" i="51" s="1"/>
  <c r="S226" i="3"/>
  <c r="T65" i="58" s="1"/>
  <c r="AG65" i="58" s="1"/>
  <c r="W213" i="3"/>
  <c r="X65" i="45" s="1"/>
  <c r="U213" i="3"/>
  <c r="V65" i="45" s="1"/>
  <c r="AL65" i="45" s="1"/>
  <c r="V213" i="3"/>
  <c r="W65" i="45" s="1"/>
  <c r="AA217" i="3"/>
  <c r="AB65" i="49"/>
  <c r="T225" i="3"/>
  <c r="U65" i="57" s="1"/>
  <c r="AC220" i="3"/>
  <c r="AD65" i="52" s="1"/>
  <c r="X225" i="3"/>
  <c r="Y65" i="57"/>
  <c r="AA206" i="3"/>
  <c r="AB65" i="37" s="1"/>
  <c r="X206" i="3"/>
  <c r="Y65" i="37" s="1"/>
  <c r="X186" i="3"/>
  <c r="G65" i="50" s="1"/>
  <c r="U206" i="3"/>
  <c r="V65" i="37"/>
  <c r="AA205" i="3"/>
  <c r="AB65" i="36" s="1"/>
  <c r="AB225" i="3"/>
  <c r="AC65" i="57" s="1"/>
  <c r="W184" i="3"/>
  <c r="F65" i="48"/>
  <c r="AN65" i="48" s="1"/>
  <c r="X213" i="3"/>
  <c r="Y65" i="45" s="1"/>
  <c r="W219" i="3"/>
  <c r="X65" i="51"/>
  <c r="AB201" i="3"/>
  <c r="AC64" i="32" s="1"/>
  <c r="AB204" i="3"/>
  <c r="AC65" i="35" s="1"/>
  <c r="U204" i="3"/>
  <c r="V65" i="35" s="1"/>
  <c r="AA204" i="3"/>
  <c r="AB65" i="35" s="1"/>
  <c r="V214" i="3"/>
  <c r="W65" i="46" s="1"/>
  <c r="W204" i="3"/>
  <c r="X65" i="35" s="1"/>
  <c r="AA207" i="3"/>
  <c r="AB65" i="39" s="1"/>
  <c r="AC225" i="3"/>
  <c r="AD65" i="57" s="1"/>
  <c r="X203" i="3"/>
  <c r="Y65" i="34" s="1"/>
  <c r="AC182" i="3"/>
  <c r="L65" i="46" s="1"/>
  <c r="Y217" i="3"/>
  <c r="Z65" i="49" s="1"/>
  <c r="AP65" i="49" s="1"/>
  <c r="U217" i="3"/>
  <c r="X217" i="3"/>
  <c r="Y65" i="49" s="1"/>
  <c r="U220" i="3"/>
  <c r="V65" i="52" s="1"/>
  <c r="Y192" i="3"/>
  <c r="H66" i="56" s="1"/>
  <c r="T206" i="3"/>
  <c r="U65" i="37" s="1"/>
  <c r="AA208" i="3"/>
  <c r="AB65" i="40" s="1"/>
  <c r="AD223" i="3"/>
  <c r="AE65" i="55" s="1"/>
  <c r="Y176" i="3"/>
  <c r="H65" i="40" s="1"/>
  <c r="AD204" i="3"/>
  <c r="AC223" i="3"/>
  <c r="AD65" i="55" s="1"/>
  <c r="V225" i="3"/>
  <c r="Y204" i="3"/>
  <c r="Y213" i="3"/>
  <c r="Z65" i="45" s="1"/>
  <c r="X221" i="3"/>
  <c r="X204" i="3"/>
  <c r="Y65" i="35" s="1"/>
  <c r="AO65" i="35" s="1"/>
  <c r="Z225" i="3"/>
  <c r="AA65" i="57" s="1"/>
  <c r="X202" i="3"/>
  <c r="Y65" i="33"/>
  <c r="Z204" i="3"/>
  <c r="AA65" i="35" s="1"/>
  <c r="AB190" i="3"/>
  <c r="K65" i="54" s="1"/>
  <c r="AC190" i="3"/>
  <c r="L65" i="54"/>
  <c r="Z182" i="3"/>
  <c r="I65" i="46" s="1"/>
  <c r="X211" i="3"/>
  <c r="AA203" i="3"/>
  <c r="AB65" i="34"/>
  <c r="V217" i="3"/>
  <c r="W65" i="49" s="1"/>
  <c r="AM65" i="49" s="1"/>
  <c r="AB217" i="3"/>
  <c r="AC65" i="49" s="1"/>
  <c r="AS65" i="49" s="1"/>
  <c r="AB213" i="3"/>
  <c r="AC65" i="45" s="1"/>
  <c r="T213" i="3"/>
  <c r="U65" i="45" s="1"/>
  <c r="AC213" i="3"/>
  <c r="AD65" i="45" s="1"/>
  <c r="T192" i="3"/>
  <c r="C66" i="56" s="1"/>
  <c r="Z192" i="3"/>
  <c r="I66" i="56" s="1"/>
  <c r="Y220" i="3"/>
  <c r="Z65" i="52" s="1"/>
  <c r="AA220" i="3"/>
  <c r="AB65" i="52" s="1"/>
  <c r="AB208" i="3"/>
  <c r="AC65" i="40" s="1"/>
  <c r="W223" i="3"/>
  <c r="X65" i="55" s="1"/>
  <c r="AN65" i="55" s="1"/>
  <c r="Z206" i="3"/>
  <c r="AA65" i="37" s="1"/>
  <c r="Z223" i="3"/>
  <c r="AA65" i="55"/>
  <c r="AC206" i="3"/>
  <c r="AD65" i="37" s="1"/>
  <c r="AD225" i="3"/>
  <c r="AE65" i="57" s="1"/>
  <c r="W192" i="3"/>
  <c r="F66" i="56" s="1"/>
  <c r="AD173" i="3"/>
  <c r="M65" i="36" s="1"/>
  <c r="U225" i="3"/>
  <c r="V65" i="57" s="1"/>
  <c r="V204" i="3"/>
  <c r="W65" i="35" s="1"/>
  <c r="T195" i="3"/>
  <c r="C65" i="38"/>
  <c r="AC217" i="3"/>
  <c r="AD65" i="49" s="1"/>
  <c r="AT65" i="49" s="1"/>
  <c r="X220" i="3"/>
  <c r="Y65" i="52" s="1"/>
  <c r="AD220" i="3"/>
  <c r="AE65" i="52"/>
  <c r="AB192" i="3"/>
  <c r="V212" i="3"/>
  <c r="W65" i="44" s="1"/>
  <c r="Y225" i="3"/>
  <c r="Z65" i="57"/>
  <c r="AP65" i="57" s="1"/>
  <c r="V184" i="3"/>
  <c r="E65" i="48" s="1"/>
  <c r="W173" i="3"/>
  <c r="F65" i="36" s="1"/>
  <c r="AB220" i="3"/>
  <c r="AC65" i="52" s="1"/>
  <c r="AS65" i="52" s="1"/>
  <c r="V220" i="3"/>
  <c r="Z219" i="3"/>
  <c r="AA65" i="51" s="1"/>
  <c r="AD213" i="3"/>
  <c r="AE65" i="45" s="1"/>
  <c r="AU65" i="45" s="1"/>
  <c r="X191" i="3"/>
  <c r="G65" i="55"/>
  <c r="V173" i="3"/>
  <c r="E65" i="36" s="1"/>
  <c r="AC215" i="3"/>
  <c r="AD65" i="47" s="1"/>
  <c r="V175" i="3"/>
  <c r="E65" i="39" s="1"/>
  <c r="AM65" i="39" s="1"/>
  <c r="U210" i="3"/>
  <c r="V65" i="42" s="1"/>
  <c r="AD194" i="3"/>
  <c r="M65" i="58" s="1"/>
  <c r="U186" i="3"/>
  <c r="D65" i="50" s="1"/>
  <c r="Z217" i="3"/>
  <c r="AA65" i="49" s="1"/>
  <c r="AD217" i="3"/>
  <c r="AE65" i="49" s="1"/>
  <c r="Z213" i="3"/>
  <c r="AA65" i="45" s="1"/>
  <c r="AQ65" i="45" s="1"/>
  <c r="AA213" i="3"/>
  <c r="U208" i="3"/>
  <c r="V65" i="40" s="1"/>
  <c r="AA186" i="3"/>
  <c r="J65" i="50" s="1"/>
  <c r="Z184" i="3"/>
  <c r="I65" i="48" s="1"/>
  <c r="AQ65" i="48" s="1"/>
  <c r="AC216" i="3"/>
  <c r="AD65" i="48" s="1"/>
  <c r="X208" i="3"/>
  <c r="Y65" i="40" s="1"/>
  <c r="AD192" i="3"/>
  <c r="AA209" i="3"/>
  <c r="AB65" i="41" s="1"/>
  <c r="Y186" i="3"/>
  <c r="H65" i="50" s="1"/>
  <c r="U184" i="3"/>
  <c r="D65" i="48" s="1"/>
  <c r="AL65" i="48" s="1"/>
  <c r="AA225" i="3"/>
  <c r="AB65" i="57" s="1"/>
  <c r="W186" i="3"/>
  <c r="F65" i="50" s="1"/>
  <c r="AB184" i="3"/>
  <c r="K65" i="48" s="1"/>
  <c r="AB209" i="3"/>
  <c r="Z205" i="3"/>
  <c r="W200" i="3"/>
  <c r="X65" i="31" s="1"/>
  <c r="U200" i="3"/>
  <c r="V65" i="31" s="1"/>
  <c r="AB168" i="3"/>
  <c r="K65" i="31" s="1"/>
  <c r="AS65" i="31" s="1"/>
  <c r="S175" i="3"/>
  <c r="B65" i="39" s="1"/>
  <c r="O65" i="39" s="1"/>
  <c r="Z169" i="3"/>
  <c r="I64" i="32" s="1"/>
  <c r="S194" i="3"/>
  <c r="B65" i="58" s="1"/>
  <c r="Y203" i="3"/>
  <c r="Z65" i="34" s="1"/>
  <c r="AC203" i="3"/>
  <c r="AB200" i="3"/>
  <c r="AC65" i="31" s="1"/>
  <c r="W169" i="3"/>
  <c r="F64" i="32" s="1"/>
  <c r="S195" i="3"/>
  <c r="B65" i="38" s="1"/>
  <c r="X169" i="3"/>
  <c r="G64" i="32" s="1"/>
  <c r="V169" i="3"/>
  <c r="E64" i="32" s="1"/>
  <c r="S189" i="3"/>
  <c r="B65" i="53" s="1"/>
  <c r="O65" i="53" s="1"/>
  <c r="S207" i="3"/>
  <c r="U169" i="3"/>
  <c r="D64" i="32"/>
  <c r="S182" i="3"/>
  <c r="B65" i="46" s="1"/>
  <c r="AA200" i="3"/>
  <c r="AB65" i="31" s="1"/>
  <c r="S172" i="3"/>
  <c r="X200" i="3"/>
  <c r="Y65" i="31" s="1"/>
  <c r="V200" i="3"/>
  <c r="W65" i="31" s="1"/>
  <c r="S191" i="3"/>
  <c r="B65" i="55" s="1"/>
  <c r="S209" i="3"/>
  <c r="T65" i="41"/>
  <c r="Z200" i="3"/>
  <c r="AA65" i="31" s="1"/>
  <c r="S181" i="3"/>
  <c r="B65" i="45" s="1"/>
  <c r="O65" i="45" s="1"/>
  <c r="S225" i="3"/>
  <c r="S183" i="3"/>
  <c r="S174" i="3"/>
  <c r="B65" i="37" s="1"/>
  <c r="O65" i="37" s="1"/>
  <c r="S186" i="3"/>
  <c r="S201" i="3"/>
  <c r="T64" i="32"/>
  <c r="AG64" i="32" s="1"/>
  <c r="S222" i="3"/>
  <c r="S211" i="3"/>
  <c r="T65" i="43" s="1"/>
  <c r="S213" i="3"/>
  <c r="T65" i="45"/>
  <c r="S205" i="3"/>
  <c r="S227" i="3"/>
  <c r="AA168" i="3"/>
  <c r="J65" i="31"/>
  <c r="AA169" i="3"/>
  <c r="J64" i="32" s="1"/>
  <c r="S218" i="3"/>
  <c r="AC169" i="3"/>
  <c r="L64" i="32" s="1"/>
  <c r="T169" i="3"/>
  <c r="C64" i="32" s="1"/>
  <c r="S214" i="3"/>
  <c r="T65" i="46" s="1"/>
  <c r="AG65" i="46" s="1"/>
  <c r="S204" i="3"/>
  <c r="S223" i="3"/>
  <c r="S224" i="3"/>
  <c r="AD203" i="3"/>
  <c r="AE65" i="34" s="1"/>
  <c r="AA179" i="3"/>
  <c r="J65" i="43" s="1"/>
  <c r="S202" i="3"/>
  <c r="T65" i="33"/>
  <c r="AG65" i="33" s="1"/>
  <c r="W170" i="3"/>
  <c r="F65" i="33" s="1"/>
  <c r="AD168" i="3"/>
  <c r="M65" i="31" s="1"/>
  <c r="AD169" i="3"/>
  <c r="M64" i="32" s="1"/>
  <c r="T207" i="3"/>
  <c r="U65" i="39" s="1"/>
  <c r="T226" i="3"/>
  <c r="U65" i="58" s="1"/>
  <c r="Y168" i="3"/>
  <c r="H65" i="31" s="1"/>
  <c r="Y169" i="3"/>
  <c r="H64" i="32" s="1"/>
  <c r="S221" i="3"/>
  <c r="T65" i="53" s="1"/>
  <c r="T180" i="3"/>
  <c r="C65" i="44" s="1"/>
  <c r="S206" i="3"/>
  <c r="T65" i="37" s="1"/>
  <c r="AG65" i="37" s="1"/>
  <c r="S208" i="3"/>
  <c r="AD200" i="3"/>
  <c r="AE65" i="31" s="1"/>
  <c r="AC168" i="3"/>
  <c r="L65" i="31"/>
  <c r="T200" i="3"/>
  <c r="U65" i="31" s="1"/>
  <c r="S178" i="3"/>
  <c r="B65" i="42" s="1"/>
  <c r="O65" i="42" s="1"/>
  <c r="U168" i="3"/>
  <c r="D65" i="31" s="1"/>
  <c r="V168" i="3"/>
  <c r="E65" i="31" s="1"/>
  <c r="S169" i="3"/>
  <c r="B64" i="32" s="1"/>
  <c r="W168" i="3"/>
  <c r="F65" i="31" s="1"/>
  <c r="S192" i="3"/>
  <c r="B66" i="56" s="1"/>
  <c r="S187" i="3"/>
  <c r="B65" i="51" s="1"/>
  <c r="Z168" i="3"/>
  <c r="I65" i="31" s="1"/>
  <c r="AC200" i="3"/>
  <c r="AD65" i="31" s="1"/>
  <c r="Y200" i="3"/>
  <c r="Z65" i="31" s="1"/>
  <c r="S203" i="3"/>
  <c r="T65" i="34" s="1"/>
  <c r="X168" i="3"/>
  <c r="G65" i="31" s="1"/>
  <c r="AO65" i="31" s="1"/>
  <c r="S171" i="3"/>
  <c r="B65" i="34" s="1"/>
  <c r="O65" i="34" s="1"/>
  <c r="S184" i="3"/>
  <c r="B65" i="48" s="1"/>
  <c r="S217" i="3"/>
  <c r="T65" i="49" s="1"/>
  <c r="S180" i="3"/>
  <c r="B65" i="44" s="1"/>
  <c r="S170" i="3"/>
  <c r="B65" i="33" s="1"/>
  <c r="O65" i="33" s="1"/>
  <c r="S173" i="3"/>
  <c r="B65" i="36" s="1"/>
  <c r="O65" i="36" s="1"/>
  <c r="T65" i="38"/>
  <c r="T65" i="36"/>
  <c r="T184" i="3"/>
  <c r="C65" i="48" s="1"/>
  <c r="S193" i="3"/>
  <c r="S176" i="3"/>
  <c r="B65" i="40" s="1"/>
  <c r="O65" i="40" s="1"/>
  <c r="S210" i="3"/>
  <c r="T65" i="42" s="1"/>
  <c r="T186" i="3"/>
  <c r="C65" i="50" s="1"/>
  <c r="S190" i="3"/>
  <c r="B65" i="54" s="1"/>
  <c r="O65" i="54" s="1"/>
  <c r="S179" i="3"/>
  <c r="B65" i="43" s="1"/>
  <c r="S168" i="3"/>
  <c r="B65" i="31" s="1"/>
  <c r="O65" i="31" s="1"/>
  <c r="T168" i="3"/>
  <c r="C65" i="31" s="1"/>
  <c r="S200" i="3"/>
  <c r="T65" i="31" s="1"/>
  <c r="L66" i="31"/>
  <c r="K66" i="31"/>
  <c r="J66" i="31"/>
  <c r="I66" i="31"/>
  <c r="H66" i="31"/>
  <c r="G66" i="31"/>
  <c r="F66" i="31"/>
  <c r="E66" i="31"/>
  <c r="D66" i="31"/>
  <c r="C66" i="31"/>
  <c r="B66" i="31"/>
  <c r="L66" i="38"/>
  <c r="K66" i="38"/>
  <c r="J66" i="38"/>
  <c r="I66" i="38"/>
  <c r="AQ66" i="38" s="1"/>
  <c r="H66" i="38"/>
  <c r="G66" i="38"/>
  <c r="F66" i="38"/>
  <c r="E66" i="38"/>
  <c r="D66" i="38"/>
  <c r="C66" i="38"/>
  <c r="B66" i="38"/>
  <c r="O66" i="38" s="1"/>
  <c r="L66" i="58"/>
  <c r="K66" i="58"/>
  <c r="J66" i="58"/>
  <c r="I66" i="58"/>
  <c r="H66" i="58"/>
  <c r="AP66" i="58" s="1"/>
  <c r="G66" i="58"/>
  <c r="AO66" i="58" s="1"/>
  <c r="F66" i="58"/>
  <c r="E66" i="58"/>
  <c r="D66" i="58"/>
  <c r="AL66" i="58" s="1"/>
  <c r="C66" i="58"/>
  <c r="B66" i="58"/>
  <c r="L66" i="57"/>
  <c r="K66" i="57"/>
  <c r="J66" i="57"/>
  <c r="I66" i="57"/>
  <c r="H66" i="57"/>
  <c r="AP66" i="57" s="1"/>
  <c r="G66" i="57"/>
  <c r="F66" i="57"/>
  <c r="E66" i="57"/>
  <c r="D66" i="57"/>
  <c r="C66" i="57"/>
  <c r="B66" i="57"/>
  <c r="L66" i="56"/>
  <c r="K66" i="56"/>
  <c r="J67" i="56"/>
  <c r="I67" i="56"/>
  <c r="AQ67" i="56" s="1"/>
  <c r="H67" i="56"/>
  <c r="G67" i="56"/>
  <c r="AO67" i="56" s="1"/>
  <c r="F67" i="56"/>
  <c r="E67" i="56"/>
  <c r="AM67" i="56" s="1"/>
  <c r="D67" i="56"/>
  <c r="C67" i="56"/>
  <c r="B67" i="56"/>
  <c r="C88" i="56" s="1"/>
  <c r="L66" i="55"/>
  <c r="K66" i="55"/>
  <c r="J66" i="55"/>
  <c r="I66" i="55"/>
  <c r="AQ66" i="55" s="1"/>
  <c r="H66" i="55"/>
  <c r="AP66" i="55" s="1"/>
  <c r="G66" i="55"/>
  <c r="AO66" i="55" s="1"/>
  <c r="F66" i="55"/>
  <c r="E66" i="55"/>
  <c r="AM66" i="55" s="1"/>
  <c r="D66" i="55"/>
  <c r="C66" i="55"/>
  <c r="AK66" i="55" s="1"/>
  <c r="B66" i="55"/>
  <c r="O66" i="55" s="1"/>
  <c r="L66" i="54"/>
  <c r="K66" i="54"/>
  <c r="J66" i="54"/>
  <c r="AR66" i="54" s="1"/>
  <c r="I66" i="54"/>
  <c r="H66" i="54"/>
  <c r="G66" i="54"/>
  <c r="AO66" i="54" s="1"/>
  <c r="F66" i="54"/>
  <c r="AN66" i="54" s="1"/>
  <c r="E66" i="54"/>
  <c r="AM66" i="54" s="1"/>
  <c r="D66" i="54"/>
  <c r="C66" i="54"/>
  <c r="AK66" i="54" s="1"/>
  <c r="B66" i="54"/>
  <c r="L66" i="53"/>
  <c r="K66" i="53"/>
  <c r="J66" i="53"/>
  <c r="AR66" i="53" s="1"/>
  <c r="I66" i="53"/>
  <c r="H66" i="53"/>
  <c r="AP66" i="53" s="1"/>
  <c r="G66" i="53"/>
  <c r="F66" i="53"/>
  <c r="AN66" i="53" s="1"/>
  <c r="E66" i="53"/>
  <c r="D66" i="53"/>
  <c r="C66" i="53"/>
  <c r="B66" i="53"/>
  <c r="L66" i="52"/>
  <c r="K66" i="52"/>
  <c r="J66" i="52"/>
  <c r="I66" i="52"/>
  <c r="H66" i="52"/>
  <c r="G66" i="52"/>
  <c r="AO66" i="52" s="1"/>
  <c r="F66" i="52"/>
  <c r="E66" i="52"/>
  <c r="AM66" i="52" s="1"/>
  <c r="D66" i="52"/>
  <c r="C66" i="52"/>
  <c r="AK66" i="52" s="1"/>
  <c r="B66" i="52"/>
  <c r="L66" i="51"/>
  <c r="K66" i="51"/>
  <c r="J66" i="51"/>
  <c r="H66" i="51"/>
  <c r="G66" i="51"/>
  <c r="F66" i="51"/>
  <c r="E66" i="51"/>
  <c r="D66" i="51"/>
  <c r="L66" i="50"/>
  <c r="K66" i="50"/>
  <c r="J66" i="50"/>
  <c r="I66" i="50"/>
  <c r="AQ66" i="50" s="1"/>
  <c r="H66" i="50"/>
  <c r="AP66" i="50" s="1"/>
  <c r="G66" i="50"/>
  <c r="AO66" i="50" s="1"/>
  <c r="F66" i="50"/>
  <c r="E66" i="50"/>
  <c r="D66" i="50"/>
  <c r="C66" i="50"/>
  <c r="B66" i="50"/>
  <c r="L66" i="49"/>
  <c r="K66" i="49"/>
  <c r="J66" i="49"/>
  <c r="I66" i="49"/>
  <c r="AQ66" i="49" s="1"/>
  <c r="H66" i="49"/>
  <c r="AP66" i="49" s="1"/>
  <c r="G66" i="49"/>
  <c r="F66" i="49"/>
  <c r="E66" i="49"/>
  <c r="AM66" i="49" s="1"/>
  <c r="D66" i="49"/>
  <c r="C66" i="49"/>
  <c r="B66" i="49"/>
  <c r="O66" i="49" s="1"/>
  <c r="L66" i="48"/>
  <c r="K66" i="48"/>
  <c r="J66" i="48"/>
  <c r="AR66" i="48" s="1"/>
  <c r="I66" i="48"/>
  <c r="H66" i="48"/>
  <c r="AP66" i="48" s="1"/>
  <c r="G66" i="48"/>
  <c r="AO66" i="48" s="1"/>
  <c r="F66" i="48"/>
  <c r="E66" i="48"/>
  <c r="AM66" i="48" s="1"/>
  <c r="D66" i="48"/>
  <c r="C66" i="48"/>
  <c r="AK66" i="48" s="1"/>
  <c r="B66" i="48"/>
  <c r="L66" i="47"/>
  <c r="K66" i="47"/>
  <c r="J66" i="47"/>
  <c r="AR66" i="47" s="1"/>
  <c r="I66" i="47"/>
  <c r="AQ66" i="47" s="1"/>
  <c r="H66" i="47"/>
  <c r="G66" i="47"/>
  <c r="F66" i="47"/>
  <c r="E66" i="47"/>
  <c r="AM66" i="47" s="1"/>
  <c r="D66" i="47"/>
  <c r="C66" i="47"/>
  <c r="L66" i="46"/>
  <c r="K66" i="46"/>
  <c r="J66" i="46"/>
  <c r="AR66" i="46" s="1"/>
  <c r="I66" i="46"/>
  <c r="AQ66" i="46" s="1"/>
  <c r="H66" i="46"/>
  <c r="G66" i="46"/>
  <c r="AO66" i="46" s="1"/>
  <c r="F66" i="46"/>
  <c r="E66" i="46"/>
  <c r="AM66" i="46" s="1"/>
  <c r="D66" i="46"/>
  <c r="C66" i="46"/>
  <c r="L66" i="45"/>
  <c r="K66" i="45"/>
  <c r="J66" i="45"/>
  <c r="AR66" i="45" s="1"/>
  <c r="I66" i="45"/>
  <c r="H66" i="45"/>
  <c r="AP66" i="45" s="1"/>
  <c r="G66" i="45"/>
  <c r="F66" i="45"/>
  <c r="E66" i="45"/>
  <c r="D66" i="45"/>
  <c r="C66" i="45"/>
  <c r="B66" i="45"/>
  <c r="L66" i="44"/>
  <c r="K66" i="44"/>
  <c r="J66" i="44"/>
  <c r="I66" i="44"/>
  <c r="AQ66" i="44" s="1"/>
  <c r="H66" i="44"/>
  <c r="G66" i="44"/>
  <c r="F66" i="44"/>
  <c r="E66" i="44"/>
  <c r="AM66" i="44" s="1"/>
  <c r="D66" i="44"/>
  <c r="B66" i="44"/>
  <c r="L66" i="43"/>
  <c r="K66" i="43"/>
  <c r="J66" i="43"/>
  <c r="I66" i="43"/>
  <c r="H66" i="43"/>
  <c r="G66" i="43"/>
  <c r="AO66" i="43" s="1"/>
  <c r="F66" i="43"/>
  <c r="D66" i="43"/>
  <c r="C66" i="43"/>
  <c r="B66" i="43"/>
  <c r="L66" i="42"/>
  <c r="K66" i="42"/>
  <c r="J66" i="42"/>
  <c r="I66" i="42"/>
  <c r="H66" i="42"/>
  <c r="G66" i="42"/>
  <c r="AO66" i="42" s="1"/>
  <c r="F66" i="42"/>
  <c r="E66" i="42"/>
  <c r="D66" i="42"/>
  <c r="C66" i="42"/>
  <c r="AK66" i="42" s="1"/>
  <c r="L66" i="41"/>
  <c r="K66" i="41"/>
  <c r="J66" i="41"/>
  <c r="AR66" i="41" s="1"/>
  <c r="I66" i="41"/>
  <c r="H66" i="41"/>
  <c r="G66" i="41"/>
  <c r="F66" i="41"/>
  <c r="E66" i="41"/>
  <c r="D66" i="41"/>
  <c r="B66" i="41"/>
  <c r="L66" i="40"/>
  <c r="K66" i="40"/>
  <c r="J66" i="40"/>
  <c r="I66" i="40"/>
  <c r="H66" i="40"/>
  <c r="G66" i="40"/>
  <c r="F66" i="40"/>
  <c r="E66" i="40"/>
  <c r="D66" i="40"/>
  <c r="B66" i="40"/>
  <c r="L66" i="39"/>
  <c r="K66" i="39"/>
  <c r="J66" i="39"/>
  <c r="I66" i="39"/>
  <c r="H66" i="39"/>
  <c r="G66" i="39"/>
  <c r="AO66" i="39" s="1"/>
  <c r="F66" i="39"/>
  <c r="E66" i="39"/>
  <c r="C66" i="39"/>
  <c r="AK66" i="39" s="1"/>
  <c r="B66" i="39"/>
  <c r="L66" i="37"/>
  <c r="K66" i="37"/>
  <c r="J66" i="37"/>
  <c r="I66" i="37"/>
  <c r="AQ66" i="37" s="1"/>
  <c r="H66" i="37"/>
  <c r="AP66" i="37" s="1"/>
  <c r="G66" i="37"/>
  <c r="AO66" i="37" s="1"/>
  <c r="F66" i="37"/>
  <c r="E66" i="37"/>
  <c r="D66" i="37"/>
  <c r="AL66" i="37" s="1"/>
  <c r="C66" i="37"/>
  <c r="AK66" i="37" s="1"/>
  <c r="B66" i="37"/>
  <c r="L66" i="36"/>
  <c r="K66" i="36"/>
  <c r="J66" i="36"/>
  <c r="AR66" i="36" s="1"/>
  <c r="I66" i="36"/>
  <c r="AQ66" i="36" s="1"/>
  <c r="H66" i="36"/>
  <c r="G66" i="36"/>
  <c r="F66" i="36"/>
  <c r="E66" i="36"/>
  <c r="D66" i="36"/>
  <c r="C66" i="36"/>
  <c r="L66" i="35"/>
  <c r="K66" i="35"/>
  <c r="J66" i="35"/>
  <c r="AR66" i="35" s="1"/>
  <c r="I66" i="35"/>
  <c r="H66" i="35"/>
  <c r="G66" i="35"/>
  <c r="E66" i="35"/>
  <c r="C66" i="35"/>
  <c r="L66" i="34"/>
  <c r="K66" i="34"/>
  <c r="J66" i="34"/>
  <c r="I66" i="34"/>
  <c r="H66" i="34"/>
  <c r="AP66" i="34" s="1"/>
  <c r="G66" i="34"/>
  <c r="AO66" i="34" s="1"/>
  <c r="F66" i="34"/>
  <c r="E66" i="34"/>
  <c r="C66" i="34"/>
  <c r="B66" i="34"/>
  <c r="L66" i="33"/>
  <c r="K66" i="33"/>
  <c r="J66" i="33"/>
  <c r="AR66" i="33" s="1"/>
  <c r="I66" i="33"/>
  <c r="AQ66" i="33" s="1"/>
  <c r="H66" i="33"/>
  <c r="AP66" i="33" s="1"/>
  <c r="G66" i="33"/>
  <c r="F66" i="33"/>
  <c r="AN66" i="33" s="1"/>
  <c r="E66" i="33"/>
  <c r="D66" i="33"/>
  <c r="C66" i="33"/>
  <c r="B66" i="33"/>
  <c r="L66" i="32"/>
  <c r="K66" i="32"/>
  <c r="J65" i="32"/>
  <c r="I65" i="32"/>
  <c r="H65" i="32"/>
  <c r="AP65" i="32" s="1"/>
  <c r="G65" i="32"/>
  <c r="F65" i="32"/>
  <c r="E65" i="32"/>
  <c r="D65" i="32"/>
  <c r="AL65" i="32" s="1"/>
  <c r="C65" i="32"/>
  <c r="B65" i="32"/>
  <c r="O65" i="32" s="1"/>
  <c r="AU193" i="3"/>
  <c r="AU186" i="3"/>
  <c r="AU180" i="3"/>
  <c r="AU174" i="3"/>
  <c r="BB163" i="3"/>
  <c r="BB162" i="3"/>
  <c r="BB161" i="3"/>
  <c r="BB160" i="3"/>
  <c r="BB159" i="3"/>
  <c r="BB158" i="3"/>
  <c r="BB157" i="3"/>
  <c r="BB156" i="3"/>
  <c r="BB155" i="3"/>
  <c r="BB154" i="3"/>
  <c r="BB153" i="3"/>
  <c r="BB152" i="3"/>
  <c r="BB151" i="3"/>
  <c r="BB150" i="3"/>
  <c r="BB149" i="3"/>
  <c r="BB148" i="3"/>
  <c r="BB147" i="3"/>
  <c r="BB146" i="3"/>
  <c r="BB145" i="3"/>
  <c r="BB144" i="3"/>
  <c r="BB143" i="3"/>
  <c r="BB142" i="3"/>
  <c r="BB141" i="3"/>
  <c r="BB140" i="3"/>
  <c r="BB139" i="3"/>
  <c r="BB138" i="3"/>
  <c r="BB137" i="3"/>
  <c r="BB136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X163" i="3"/>
  <c r="AX162" i="3"/>
  <c r="AX161" i="3"/>
  <c r="AX160" i="3"/>
  <c r="AX159" i="3"/>
  <c r="AX158" i="3"/>
  <c r="AX157" i="3"/>
  <c r="AX156" i="3"/>
  <c r="AX155" i="3"/>
  <c r="AX154" i="3"/>
  <c r="AX153" i="3"/>
  <c r="AX152" i="3"/>
  <c r="AX151" i="3"/>
  <c r="AX150" i="3"/>
  <c r="AX149" i="3"/>
  <c r="AX148" i="3"/>
  <c r="AX147" i="3"/>
  <c r="AX146" i="3"/>
  <c r="AX145" i="3"/>
  <c r="AX144" i="3"/>
  <c r="AX143" i="3"/>
  <c r="AX142" i="3"/>
  <c r="AX141" i="3"/>
  <c r="AX140" i="3"/>
  <c r="AX139" i="3"/>
  <c r="AX138" i="3"/>
  <c r="AX137" i="3"/>
  <c r="AX136" i="3"/>
  <c r="AV163" i="3"/>
  <c r="AV162" i="3"/>
  <c r="AV161" i="3"/>
  <c r="AV160" i="3"/>
  <c r="AV159" i="3"/>
  <c r="AV158" i="3"/>
  <c r="AV157" i="3"/>
  <c r="AV156" i="3"/>
  <c r="AV155" i="3"/>
  <c r="AV154" i="3"/>
  <c r="AV153" i="3"/>
  <c r="AV152" i="3"/>
  <c r="AV151" i="3"/>
  <c r="AV150" i="3"/>
  <c r="AV149" i="3"/>
  <c r="AV148" i="3"/>
  <c r="AV147" i="3"/>
  <c r="AV146" i="3"/>
  <c r="AV145" i="3"/>
  <c r="AV144" i="3"/>
  <c r="AV143" i="3"/>
  <c r="AV142" i="3"/>
  <c r="AV141" i="3"/>
  <c r="AV140" i="3"/>
  <c r="AV139" i="3"/>
  <c r="AV138" i="3"/>
  <c r="AV137" i="3"/>
  <c r="AV136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BC163" i="3"/>
  <c r="AZ43" i="38" s="1"/>
  <c r="AZ163" i="3"/>
  <c r="AW163" i="3"/>
  <c r="AT163" i="3"/>
  <c r="AR163" i="3"/>
  <c r="BC162" i="3"/>
  <c r="AZ43" i="58" s="1"/>
  <c r="AZ162" i="3"/>
  <c r="AW162" i="3"/>
  <c r="AT162" i="3"/>
  <c r="AR162" i="3"/>
  <c r="BC161" i="3"/>
  <c r="AZ43" i="57" s="1"/>
  <c r="AZ161" i="3"/>
  <c r="AW161" i="3"/>
  <c r="AT161" i="3"/>
  <c r="AR161" i="3"/>
  <c r="BC160" i="3"/>
  <c r="AZ43" i="56" s="1"/>
  <c r="AZ160" i="3"/>
  <c r="AW160" i="3"/>
  <c r="AT160" i="3"/>
  <c r="AR160" i="3"/>
  <c r="BC159" i="3"/>
  <c r="AZ43" i="55" s="1"/>
  <c r="AZ159" i="3"/>
  <c r="AW159" i="3"/>
  <c r="AT159" i="3"/>
  <c r="AR159" i="3"/>
  <c r="BC158" i="3"/>
  <c r="AZ43" i="54" s="1"/>
  <c r="AZ158" i="3"/>
  <c r="AW158" i="3"/>
  <c r="AT158" i="3"/>
  <c r="AR158" i="3"/>
  <c r="BC157" i="3"/>
  <c r="AZ43" i="53" s="1"/>
  <c r="AZ157" i="3"/>
  <c r="AW157" i="3"/>
  <c r="AT157" i="3"/>
  <c r="AR157" i="3"/>
  <c r="BC156" i="3"/>
  <c r="AZ43" i="52" s="1"/>
  <c r="AZ156" i="3"/>
  <c r="AW156" i="3"/>
  <c r="AT156" i="3"/>
  <c r="AR156" i="3"/>
  <c r="BC155" i="3"/>
  <c r="AZ43" i="51" s="1"/>
  <c r="AZ155" i="3"/>
  <c r="AW155" i="3"/>
  <c r="AT155" i="3"/>
  <c r="AR155" i="3"/>
  <c r="BC154" i="3"/>
  <c r="AZ43" i="50" s="1"/>
  <c r="AZ154" i="3"/>
  <c r="AW154" i="3"/>
  <c r="AT154" i="3"/>
  <c r="AR154" i="3"/>
  <c r="BC153" i="3"/>
  <c r="AZ43" i="49" s="1"/>
  <c r="AZ153" i="3"/>
  <c r="AW153" i="3"/>
  <c r="AT153" i="3"/>
  <c r="AR153" i="3"/>
  <c r="BC152" i="3"/>
  <c r="AZ43" i="48" s="1"/>
  <c r="AZ152" i="3"/>
  <c r="AW152" i="3"/>
  <c r="AT152" i="3"/>
  <c r="AR152" i="3"/>
  <c r="BC151" i="3"/>
  <c r="AZ43" i="47" s="1"/>
  <c r="AZ151" i="3"/>
  <c r="AW151" i="3"/>
  <c r="AT151" i="3"/>
  <c r="AR151" i="3"/>
  <c r="BC150" i="3"/>
  <c r="AZ43" i="46" s="1"/>
  <c r="AZ150" i="3"/>
  <c r="AW150" i="3"/>
  <c r="AT150" i="3"/>
  <c r="AR150" i="3"/>
  <c r="BC149" i="3"/>
  <c r="AZ43" i="45" s="1"/>
  <c r="AZ149" i="3"/>
  <c r="AW149" i="3"/>
  <c r="AT149" i="3"/>
  <c r="AR149" i="3"/>
  <c r="BC148" i="3"/>
  <c r="AZ43" i="44" s="1"/>
  <c r="AZ148" i="3"/>
  <c r="AW148" i="3"/>
  <c r="AT148" i="3"/>
  <c r="AR148" i="3"/>
  <c r="BC147" i="3"/>
  <c r="AZ43" i="43" s="1"/>
  <c r="AZ147" i="3"/>
  <c r="AW147" i="3"/>
  <c r="AT147" i="3"/>
  <c r="AR147" i="3"/>
  <c r="BC146" i="3"/>
  <c r="AZ43" i="42" s="1"/>
  <c r="AZ146" i="3"/>
  <c r="AW146" i="3"/>
  <c r="AT146" i="3"/>
  <c r="AR146" i="3"/>
  <c r="BC145" i="3"/>
  <c r="AZ43" i="41" s="1"/>
  <c r="AZ145" i="3"/>
  <c r="AW145" i="3"/>
  <c r="AT145" i="3"/>
  <c r="AR145" i="3"/>
  <c r="BC144" i="3"/>
  <c r="AZ43" i="40" s="1"/>
  <c r="AZ144" i="3"/>
  <c r="AW144" i="3"/>
  <c r="AT144" i="3"/>
  <c r="AR144" i="3"/>
  <c r="BC143" i="3"/>
  <c r="AZ43" i="39" s="1"/>
  <c r="AZ143" i="3"/>
  <c r="AW143" i="3"/>
  <c r="AT143" i="3"/>
  <c r="AR143" i="3"/>
  <c r="BC142" i="3"/>
  <c r="AZ43" i="37" s="1"/>
  <c r="AZ142" i="3"/>
  <c r="AW142" i="3"/>
  <c r="AT142" i="3"/>
  <c r="AR142" i="3"/>
  <c r="BC141" i="3"/>
  <c r="AZ43" i="36" s="1"/>
  <c r="AZ141" i="3"/>
  <c r="AW141" i="3"/>
  <c r="AT141" i="3"/>
  <c r="AR141" i="3"/>
  <c r="BC140" i="3"/>
  <c r="AZ43" i="35" s="1"/>
  <c r="AZ140" i="3"/>
  <c r="AW140" i="3"/>
  <c r="AT140" i="3"/>
  <c r="AR140" i="3"/>
  <c r="BC139" i="3"/>
  <c r="AZ43" i="34" s="1"/>
  <c r="AZ139" i="3"/>
  <c r="AW139" i="3"/>
  <c r="AT139" i="3"/>
  <c r="AR139" i="3"/>
  <c r="BC138" i="3"/>
  <c r="AZ43" i="33" s="1"/>
  <c r="AZ138" i="3"/>
  <c r="AW138" i="3"/>
  <c r="AT138" i="3"/>
  <c r="AR138" i="3"/>
  <c r="BC137" i="3"/>
  <c r="AZ43" i="32" s="1"/>
  <c r="AZ137" i="3"/>
  <c r="BA43" i="32" s="1"/>
  <c r="AW137" i="3"/>
  <c r="AT137" i="3"/>
  <c r="AR137" i="3"/>
  <c r="BC136" i="3"/>
  <c r="AZ43" i="31" s="1"/>
  <c r="AZ136" i="3"/>
  <c r="AW136" i="3"/>
  <c r="AT136" i="3"/>
  <c r="AR136" i="3"/>
  <c r="O191" i="3"/>
  <c r="B66" i="36"/>
  <c r="B66" i="46"/>
  <c r="O66" i="46" s="1"/>
  <c r="B66" i="47"/>
  <c r="B66" i="51"/>
  <c r="O185" i="3"/>
  <c r="O186" i="3"/>
  <c r="O184" i="3"/>
  <c r="AK146" i="3"/>
  <c r="BK39" i="42" s="1"/>
  <c r="AO158" i="3"/>
  <c r="BO39" i="54" s="1"/>
  <c r="AO143" i="3"/>
  <c r="BO39" i="39" s="1"/>
  <c r="AO142" i="3"/>
  <c r="BO39" i="37" s="1"/>
  <c r="AO137" i="3"/>
  <c r="BP39" i="32"/>
  <c r="AK163" i="3"/>
  <c r="BK39" i="38" s="1"/>
  <c r="AK162" i="3"/>
  <c r="BK39" i="58" s="1"/>
  <c r="AK158" i="3"/>
  <c r="BK39" i="54" s="1"/>
  <c r="AK156" i="3"/>
  <c r="BK39" i="52"/>
  <c r="AK155" i="3"/>
  <c r="BK39" i="51" s="1"/>
  <c r="AK154" i="3"/>
  <c r="BK39" i="50" s="1"/>
  <c r="AK153" i="3"/>
  <c r="BK39" i="49" s="1"/>
  <c r="AK151" i="3"/>
  <c r="BK39" i="47" s="1"/>
  <c r="AK150" i="3"/>
  <c r="BK39" i="46" s="1"/>
  <c r="AK149" i="3"/>
  <c r="BK39" i="45" s="1"/>
  <c r="AK148" i="3"/>
  <c r="BK39" i="44" s="1"/>
  <c r="AK144" i="3"/>
  <c r="BK39" i="40" s="1"/>
  <c r="AK143" i="3"/>
  <c r="BK39" i="39" s="1"/>
  <c r="AK142" i="3"/>
  <c r="BK39" i="37" s="1"/>
  <c r="AK137" i="3"/>
  <c r="BL39" i="32" s="1"/>
  <c r="AG163" i="3"/>
  <c r="BG39" i="38" s="1"/>
  <c r="AG162" i="3"/>
  <c r="BG39" i="58" s="1"/>
  <c r="AG161" i="3"/>
  <c r="BG39" i="57" s="1"/>
  <c r="AG160" i="3"/>
  <c r="BG39" i="56" s="1"/>
  <c r="AG159" i="3"/>
  <c r="BG39" i="55" s="1"/>
  <c r="AG158" i="3"/>
  <c r="BG39" i="54" s="1"/>
  <c r="AG157" i="3"/>
  <c r="BG39" i="53" s="1"/>
  <c r="AG156" i="3"/>
  <c r="BG39" i="52" s="1"/>
  <c r="AG155" i="3"/>
  <c r="BG39" i="51"/>
  <c r="AG154" i="3"/>
  <c r="BG39" i="50" s="1"/>
  <c r="AG153" i="3"/>
  <c r="BG39" i="49" s="1"/>
  <c r="AG152" i="3"/>
  <c r="BG39" i="48" s="1"/>
  <c r="AG151" i="3"/>
  <c r="BG39" i="47" s="1"/>
  <c r="AG150" i="3"/>
  <c r="BG39" i="46" s="1"/>
  <c r="AG149" i="3"/>
  <c r="BG39" i="45" s="1"/>
  <c r="AG148" i="3"/>
  <c r="BG39" i="44" s="1"/>
  <c r="AG146" i="3"/>
  <c r="BG39" i="42" s="1"/>
  <c r="AG145" i="3"/>
  <c r="BG39" i="41" s="1"/>
  <c r="AG144" i="3"/>
  <c r="BG39" i="40" s="1"/>
  <c r="AG143" i="3"/>
  <c r="BG39" i="39" s="1"/>
  <c r="AG142" i="3"/>
  <c r="BG39" i="37" s="1"/>
  <c r="AG141" i="3"/>
  <c r="BG39" i="36" s="1"/>
  <c r="AG139" i="3"/>
  <c r="BG39" i="34" s="1"/>
  <c r="AG138" i="3"/>
  <c r="BG39" i="33" s="1"/>
  <c r="AG137" i="3"/>
  <c r="BH39" i="32" s="1"/>
  <c r="AC163" i="3"/>
  <c r="BC39" i="38" s="1"/>
  <c r="AC162" i="3"/>
  <c r="BC39" i="58" s="1"/>
  <c r="AC161" i="3"/>
  <c r="BC39" i="57" s="1"/>
  <c r="AC160" i="3"/>
  <c r="BC39" i="56" s="1"/>
  <c r="AC159" i="3"/>
  <c r="BC39" i="55" s="1"/>
  <c r="AC158" i="3"/>
  <c r="BC39" i="54" s="1"/>
  <c r="AC157" i="3"/>
  <c r="BC39" i="53" s="1"/>
  <c r="AC156" i="3"/>
  <c r="BC39" i="52" s="1"/>
  <c r="AC155" i="3"/>
  <c r="BC39" i="51" s="1"/>
  <c r="AC154" i="3"/>
  <c r="BC39" i="50" s="1"/>
  <c r="AC153" i="3"/>
  <c r="BC39" i="49" s="1"/>
  <c r="AC152" i="3"/>
  <c r="BC39" i="48" s="1"/>
  <c r="AC151" i="3"/>
  <c r="BC39" i="47" s="1"/>
  <c r="AC150" i="3"/>
  <c r="BC39" i="46" s="1"/>
  <c r="AC149" i="3"/>
  <c r="BC39" i="45" s="1"/>
  <c r="AC148" i="3"/>
  <c r="BC39" i="44" s="1"/>
  <c r="AC147" i="3"/>
  <c r="BC39" i="43" s="1"/>
  <c r="AC146" i="3"/>
  <c r="BC39" i="42" s="1"/>
  <c r="AC145" i="3"/>
  <c r="BC39" i="41" s="1"/>
  <c r="AC144" i="3"/>
  <c r="BC39" i="40" s="1"/>
  <c r="AC143" i="3"/>
  <c r="BC39" i="39" s="1"/>
  <c r="AC142" i="3"/>
  <c r="BC39" i="37" s="1"/>
  <c r="AC141" i="3"/>
  <c r="BC39" i="36" s="1"/>
  <c r="AC140" i="3"/>
  <c r="BC39" i="35"/>
  <c r="AC139" i="3"/>
  <c r="BC39" i="34" s="1"/>
  <c r="AC138" i="3"/>
  <c r="BC39" i="33" s="1"/>
  <c r="AC137" i="3"/>
  <c r="BD39" i="32" s="1"/>
  <c r="AC136" i="3"/>
  <c r="BC39" i="31" s="1"/>
  <c r="AN163" i="3"/>
  <c r="BN39" i="38" s="1"/>
  <c r="AM163" i="3"/>
  <c r="BM39" i="38" s="1"/>
  <c r="AL163" i="3"/>
  <c r="BL39" i="38" s="1"/>
  <c r="AJ163" i="3"/>
  <c r="BJ39" i="38" s="1"/>
  <c r="AI163" i="3"/>
  <c r="BI39" i="38" s="1"/>
  <c r="AH163" i="3"/>
  <c r="BH39" i="38" s="1"/>
  <c r="AF163" i="3"/>
  <c r="BF39" i="38" s="1"/>
  <c r="AE163" i="3"/>
  <c r="BE39" i="38" s="1"/>
  <c r="AD163" i="3"/>
  <c r="BD39" i="38" s="1"/>
  <c r="AB163" i="3"/>
  <c r="BB39" i="38" s="1"/>
  <c r="AA163" i="3"/>
  <c r="BA39" i="38" s="1"/>
  <c r="Z163" i="3"/>
  <c r="AN162" i="3"/>
  <c r="BN39" i="58" s="1"/>
  <c r="AM162" i="3"/>
  <c r="BM39" i="58" s="1"/>
  <c r="AL162" i="3"/>
  <c r="BL39" i="58" s="1"/>
  <c r="AJ162" i="3"/>
  <c r="BJ39" i="58" s="1"/>
  <c r="AI162" i="3"/>
  <c r="BI39" i="58"/>
  <c r="AH162" i="3"/>
  <c r="BH39" i="58" s="1"/>
  <c r="AF162" i="3"/>
  <c r="BF39" i="58" s="1"/>
  <c r="AE162" i="3"/>
  <c r="BE39" i="58" s="1"/>
  <c r="AD162" i="3"/>
  <c r="BD39" i="58" s="1"/>
  <c r="AB162" i="3"/>
  <c r="BB39" i="58" s="1"/>
  <c r="AA162" i="3"/>
  <c r="BA39" i="58" s="1"/>
  <c r="Z162" i="3"/>
  <c r="BA43" i="58" s="1"/>
  <c r="AN161" i="3"/>
  <c r="BN39" i="57" s="1"/>
  <c r="AM161" i="3"/>
  <c r="BM39" i="57" s="1"/>
  <c r="AL161" i="3"/>
  <c r="BL39" i="57" s="1"/>
  <c r="AJ161" i="3"/>
  <c r="BJ39" i="57" s="1"/>
  <c r="AI161" i="3"/>
  <c r="BI39" i="57" s="1"/>
  <c r="AH161" i="3"/>
  <c r="BH39" i="57" s="1"/>
  <c r="AF161" i="3"/>
  <c r="BF39" i="57" s="1"/>
  <c r="AE161" i="3"/>
  <c r="BE39" i="57" s="1"/>
  <c r="AD161" i="3"/>
  <c r="BD39" i="57" s="1"/>
  <c r="AB161" i="3"/>
  <c r="BB39" i="57" s="1"/>
  <c r="AA161" i="3"/>
  <c r="BA39" i="57" s="1"/>
  <c r="Z161" i="3"/>
  <c r="AZ39" i="57" s="1"/>
  <c r="AN160" i="3"/>
  <c r="BN39" i="56" s="1"/>
  <c r="AM160" i="3"/>
  <c r="BM39" i="56" s="1"/>
  <c r="AL160" i="3"/>
  <c r="BL39" i="56" s="1"/>
  <c r="AJ160" i="3"/>
  <c r="BJ39" i="56" s="1"/>
  <c r="AI160" i="3"/>
  <c r="BI39" i="56" s="1"/>
  <c r="AH160" i="3"/>
  <c r="BH39" i="56" s="1"/>
  <c r="AF160" i="3"/>
  <c r="BF39" i="56" s="1"/>
  <c r="AE160" i="3"/>
  <c r="BE39" i="56" s="1"/>
  <c r="AD160" i="3"/>
  <c r="BD39" i="56" s="1"/>
  <c r="AB160" i="3"/>
  <c r="BB39" i="56" s="1"/>
  <c r="AA160" i="3"/>
  <c r="BA39" i="56" s="1"/>
  <c r="Z160" i="3"/>
  <c r="AN159" i="3"/>
  <c r="BN39" i="55" s="1"/>
  <c r="AM159" i="3"/>
  <c r="BM39" i="55" s="1"/>
  <c r="AL159" i="3"/>
  <c r="BL39" i="55"/>
  <c r="AJ159" i="3"/>
  <c r="BJ39" i="55" s="1"/>
  <c r="AI159" i="3"/>
  <c r="BI39" i="55" s="1"/>
  <c r="AH159" i="3"/>
  <c r="BH39" i="55" s="1"/>
  <c r="AF159" i="3"/>
  <c r="BF39" i="55" s="1"/>
  <c r="AE159" i="3"/>
  <c r="BE39" i="55" s="1"/>
  <c r="AD159" i="3"/>
  <c r="BD39" i="55" s="1"/>
  <c r="AB159" i="3"/>
  <c r="BB39" i="55" s="1"/>
  <c r="AA159" i="3"/>
  <c r="BA39" i="55" s="1"/>
  <c r="Z159" i="3"/>
  <c r="BA43" i="55" s="1"/>
  <c r="AN158" i="3"/>
  <c r="BN39" i="54" s="1"/>
  <c r="AM158" i="3"/>
  <c r="BM39" i="54" s="1"/>
  <c r="AL158" i="3"/>
  <c r="BL39" i="54" s="1"/>
  <c r="AJ158" i="3"/>
  <c r="BJ39" i="54" s="1"/>
  <c r="AI158" i="3"/>
  <c r="BI39" i="54" s="1"/>
  <c r="AH158" i="3"/>
  <c r="BH39" i="54" s="1"/>
  <c r="AF158" i="3"/>
  <c r="BF39" i="54" s="1"/>
  <c r="AE158" i="3"/>
  <c r="BE39" i="54" s="1"/>
  <c r="AD158" i="3"/>
  <c r="BD39" i="54" s="1"/>
  <c r="AB158" i="3"/>
  <c r="BB39" i="54" s="1"/>
  <c r="AA158" i="3"/>
  <c r="BA39" i="54" s="1"/>
  <c r="Z158" i="3"/>
  <c r="AN157" i="3"/>
  <c r="BN39" i="53" s="1"/>
  <c r="AM157" i="3"/>
  <c r="BM39" i="53" s="1"/>
  <c r="AL157" i="3"/>
  <c r="BL39" i="53" s="1"/>
  <c r="AJ157" i="3"/>
  <c r="BJ39" i="53" s="1"/>
  <c r="AI157" i="3"/>
  <c r="BI39" i="53" s="1"/>
  <c r="AH157" i="3"/>
  <c r="BH39" i="53" s="1"/>
  <c r="AF157" i="3"/>
  <c r="BF39" i="53" s="1"/>
  <c r="AE157" i="3"/>
  <c r="BE39" i="53" s="1"/>
  <c r="AD157" i="3"/>
  <c r="BD39" i="53" s="1"/>
  <c r="AB157" i="3"/>
  <c r="BB39" i="53" s="1"/>
  <c r="AA157" i="3"/>
  <c r="BA39" i="53" s="1"/>
  <c r="Z157" i="3"/>
  <c r="AN156" i="3"/>
  <c r="BN39" i="52" s="1"/>
  <c r="AM156" i="3"/>
  <c r="BM39" i="52" s="1"/>
  <c r="AL156" i="3"/>
  <c r="BL39" i="52" s="1"/>
  <c r="AJ156" i="3"/>
  <c r="BJ39" i="52" s="1"/>
  <c r="AI156" i="3"/>
  <c r="BI39" i="52" s="1"/>
  <c r="AH156" i="3"/>
  <c r="BH39" i="52" s="1"/>
  <c r="AF156" i="3"/>
  <c r="BF39" i="52" s="1"/>
  <c r="AE156" i="3"/>
  <c r="BE39" i="52" s="1"/>
  <c r="AD156" i="3"/>
  <c r="BD39" i="52" s="1"/>
  <c r="AB156" i="3"/>
  <c r="BB39" i="52" s="1"/>
  <c r="AA156" i="3"/>
  <c r="BA39" i="52" s="1"/>
  <c r="Z156" i="3"/>
  <c r="AN155" i="3"/>
  <c r="BN39" i="51" s="1"/>
  <c r="AM155" i="3"/>
  <c r="BM39" i="51" s="1"/>
  <c r="AL155" i="3"/>
  <c r="BL39" i="51" s="1"/>
  <c r="AJ155" i="3"/>
  <c r="BJ39" i="51" s="1"/>
  <c r="AI155" i="3"/>
  <c r="BI39" i="51" s="1"/>
  <c r="AH155" i="3"/>
  <c r="BH39" i="51" s="1"/>
  <c r="AF155" i="3"/>
  <c r="BF39" i="51" s="1"/>
  <c r="AE155" i="3"/>
  <c r="BE39" i="51" s="1"/>
  <c r="AD155" i="3"/>
  <c r="BD39" i="51" s="1"/>
  <c r="AB155" i="3"/>
  <c r="BB39" i="51"/>
  <c r="AA155" i="3"/>
  <c r="BA39" i="51" s="1"/>
  <c r="Z155" i="3"/>
  <c r="AN154" i="3"/>
  <c r="BN39" i="50" s="1"/>
  <c r="AM154" i="3"/>
  <c r="BM39" i="50" s="1"/>
  <c r="AL154" i="3"/>
  <c r="BL39" i="50" s="1"/>
  <c r="AJ154" i="3"/>
  <c r="BJ39" i="50" s="1"/>
  <c r="AI154" i="3"/>
  <c r="BI39" i="50" s="1"/>
  <c r="AH154" i="3"/>
  <c r="BH39" i="50" s="1"/>
  <c r="AF154" i="3"/>
  <c r="BF39" i="50" s="1"/>
  <c r="AE154" i="3"/>
  <c r="BE39" i="50" s="1"/>
  <c r="AD154" i="3"/>
  <c r="BD39" i="50" s="1"/>
  <c r="AB154" i="3"/>
  <c r="BB39" i="50" s="1"/>
  <c r="AA154" i="3"/>
  <c r="BA39" i="50" s="1"/>
  <c r="Z154" i="3"/>
  <c r="AN153" i="3"/>
  <c r="BN39" i="49" s="1"/>
  <c r="AM153" i="3"/>
  <c r="BM39" i="49" s="1"/>
  <c r="AL153" i="3"/>
  <c r="BL39" i="49" s="1"/>
  <c r="AJ153" i="3"/>
  <c r="BJ39" i="49" s="1"/>
  <c r="AI153" i="3"/>
  <c r="BI39" i="49" s="1"/>
  <c r="AH153" i="3"/>
  <c r="BH39" i="49" s="1"/>
  <c r="AF153" i="3"/>
  <c r="BF39" i="49" s="1"/>
  <c r="AE153" i="3"/>
  <c r="BE39" i="49" s="1"/>
  <c r="AD153" i="3"/>
  <c r="BD39" i="49" s="1"/>
  <c r="AB153" i="3"/>
  <c r="BB39" i="49" s="1"/>
  <c r="AA153" i="3"/>
  <c r="BA39" i="49" s="1"/>
  <c r="Z153" i="3"/>
  <c r="AZ39" i="49" s="1"/>
  <c r="AN152" i="3"/>
  <c r="BN39" i="48" s="1"/>
  <c r="AM152" i="3"/>
  <c r="BM39" i="48" s="1"/>
  <c r="AL152" i="3"/>
  <c r="BL39" i="48" s="1"/>
  <c r="AJ152" i="3"/>
  <c r="BJ39" i="48" s="1"/>
  <c r="AI152" i="3"/>
  <c r="BI39" i="48" s="1"/>
  <c r="AH152" i="3"/>
  <c r="BH39" i="48" s="1"/>
  <c r="AF152" i="3"/>
  <c r="BF39" i="48" s="1"/>
  <c r="AE152" i="3"/>
  <c r="BE39" i="48" s="1"/>
  <c r="AD152" i="3"/>
  <c r="BD39" i="48" s="1"/>
  <c r="AB152" i="3"/>
  <c r="BB39" i="48" s="1"/>
  <c r="AA152" i="3"/>
  <c r="BA39" i="48" s="1"/>
  <c r="Z152" i="3"/>
  <c r="BA43" i="48" s="1"/>
  <c r="AN151" i="3"/>
  <c r="BN39" i="47" s="1"/>
  <c r="AM151" i="3"/>
  <c r="BM39" i="47" s="1"/>
  <c r="AL151" i="3"/>
  <c r="BL39" i="47" s="1"/>
  <c r="AJ151" i="3"/>
  <c r="BJ39" i="47" s="1"/>
  <c r="AI151" i="3"/>
  <c r="BI39" i="47" s="1"/>
  <c r="AH151" i="3"/>
  <c r="BH39" i="47" s="1"/>
  <c r="AF151" i="3"/>
  <c r="BF39" i="47" s="1"/>
  <c r="AE151" i="3"/>
  <c r="BE39" i="47" s="1"/>
  <c r="AD151" i="3"/>
  <c r="BD39" i="47" s="1"/>
  <c r="AB151" i="3"/>
  <c r="BB39" i="47" s="1"/>
  <c r="AA151" i="3"/>
  <c r="BA39" i="47" s="1"/>
  <c r="Z151" i="3"/>
  <c r="AN150" i="3"/>
  <c r="BN39" i="46" s="1"/>
  <c r="AM150" i="3"/>
  <c r="BM39" i="46" s="1"/>
  <c r="AL150" i="3"/>
  <c r="BL39" i="46" s="1"/>
  <c r="AJ150" i="3"/>
  <c r="BJ39" i="46" s="1"/>
  <c r="AI150" i="3"/>
  <c r="BI39" i="46"/>
  <c r="AH150" i="3"/>
  <c r="BH39" i="46" s="1"/>
  <c r="AF150" i="3"/>
  <c r="BF39" i="46" s="1"/>
  <c r="AE150" i="3"/>
  <c r="BE39" i="46" s="1"/>
  <c r="AD150" i="3"/>
  <c r="BD39" i="46" s="1"/>
  <c r="AB150" i="3"/>
  <c r="BB39" i="46" s="1"/>
  <c r="AA150" i="3"/>
  <c r="BA39" i="46"/>
  <c r="Z150" i="3"/>
  <c r="BA43" i="46" s="1"/>
  <c r="AN149" i="3"/>
  <c r="BN39" i="45"/>
  <c r="AM149" i="3"/>
  <c r="BM39" i="45" s="1"/>
  <c r="AL149" i="3"/>
  <c r="BL39" i="45" s="1"/>
  <c r="AJ149" i="3"/>
  <c r="BJ39" i="45" s="1"/>
  <c r="AI149" i="3"/>
  <c r="BI39" i="45"/>
  <c r="AH149" i="3"/>
  <c r="BH39" i="45" s="1"/>
  <c r="AF149" i="3"/>
  <c r="BF39" i="45"/>
  <c r="AE149" i="3"/>
  <c r="BE39" i="45" s="1"/>
  <c r="AD149" i="3"/>
  <c r="BD39" i="45" s="1"/>
  <c r="AB149" i="3"/>
  <c r="BB39" i="45" s="1"/>
  <c r="AA149" i="3"/>
  <c r="BA39" i="45" s="1"/>
  <c r="Z149" i="3"/>
  <c r="BA43" i="45" s="1"/>
  <c r="AN148" i="3"/>
  <c r="BN39" i="44"/>
  <c r="AM148" i="3"/>
  <c r="BM39" i="44" s="1"/>
  <c r="AL148" i="3"/>
  <c r="BL39" i="44"/>
  <c r="AJ148" i="3"/>
  <c r="BJ39" i="44" s="1"/>
  <c r="AI148" i="3"/>
  <c r="BI39" i="44" s="1"/>
  <c r="AH148" i="3"/>
  <c r="BH39" i="44" s="1"/>
  <c r="AF148" i="3"/>
  <c r="BF39" i="44" s="1"/>
  <c r="AE148" i="3"/>
  <c r="BE39" i="44" s="1"/>
  <c r="AD148" i="3"/>
  <c r="BD39" i="44"/>
  <c r="AB148" i="3"/>
  <c r="BB39" i="44" s="1"/>
  <c r="AA148" i="3"/>
  <c r="BA39" i="44" s="1"/>
  <c r="Z148" i="3"/>
  <c r="AN147" i="3"/>
  <c r="BN39" i="43" s="1"/>
  <c r="AM147" i="3"/>
  <c r="BM39" i="43" s="1"/>
  <c r="AL147" i="3"/>
  <c r="BL39" i="43" s="1"/>
  <c r="AJ147" i="3"/>
  <c r="BJ39" i="43" s="1"/>
  <c r="AI147" i="3"/>
  <c r="BI39" i="43" s="1"/>
  <c r="AH147" i="3"/>
  <c r="BH39" i="43" s="1"/>
  <c r="AF147" i="3"/>
  <c r="BF39" i="43" s="1"/>
  <c r="AE147" i="3"/>
  <c r="BE39" i="43" s="1"/>
  <c r="AD147" i="3"/>
  <c r="BD39" i="43" s="1"/>
  <c r="AB147" i="3"/>
  <c r="BB39" i="43" s="1"/>
  <c r="AA147" i="3"/>
  <c r="BA39" i="43" s="1"/>
  <c r="Z147" i="3"/>
  <c r="AN146" i="3"/>
  <c r="BN39" i="42" s="1"/>
  <c r="AM146" i="3"/>
  <c r="BM39" i="42" s="1"/>
  <c r="AL146" i="3"/>
  <c r="BL39" i="42" s="1"/>
  <c r="AJ146" i="3"/>
  <c r="BJ39" i="42" s="1"/>
  <c r="AI146" i="3"/>
  <c r="BI39" i="42" s="1"/>
  <c r="AH146" i="3"/>
  <c r="BH39" i="42" s="1"/>
  <c r="AF146" i="3"/>
  <c r="BF39" i="42" s="1"/>
  <c r="AE146" i="3"/>
  <c r="BE39" i="42" s="1"/>
  <c r="AD146" i="3"/>
  <c r="BD39" i="42" s="1"/>
  <c r="AB146" i="3"/>
  <c r="BB39" i="42" s="1"/>
  <c r="AA146" i="3"/>
  <c r="BA39" i="42" s="1"/>
  <c r="Z146" i="3"/>
  <c r="AN145" i="3"/>
  <c r="BN39" i="41" s="1"/>
  <c r="AM145" i="3"/>
  <c r="BM39" i="41" s="1"/>
  <c r="AL145" i="3"/>
  <c r="BL39" i="41" s="1"/>
  <c r="AJ145" i="3"/>
  <c r="BJ39" i="41" s="1"/>
  <c r="AI145" i="3"/>
  <c r="BI39" i="41" s="1"/>
  <c r="AH145" i="3"/>
  <c r="BH39" i="41" s="1"/>
  <c r="AF145" i="3"/>
  <c r="BF39" i="41" s="1"/>
  <c r="AE145" i="3"/>
  <c r="BE39" i="41" s="1"/>
  <c r="AD145" i="3"/>
  <c r="BD39" i="41" s="1"/>
  <c r="AB145" i="3"/>
  <c r="BB39" i="41"/>
  <c r="AA145" i="3"/>
  <c r="BA39" i="41" s="1"/>
  <c r="Z145" i="3"/>
  <c r="AZ39" i="41" s="1"/>
  <c r="AN144" i="3"/>
  <c r="BN39" i="40" s="1"/>
  <c r="AM144" i="3"/>
  <c r="BM39" i="40" s="1"/>
  <c r="AL144" i="3"/>
  <c r="BL39" i="40" s="1"/>
  <c r="AJ144" i="3"/>
  <c r="BJ39" i="40" s="1"/>
  <c r="AI144" i="3"/>
  <c r="BI39" i="40" s="1"/>
  <c r="AH144" i="3"/>
  <c r="BH39" i="40" s="1"/>
  <c r="AF144" i="3"/>
  <c r="BF39" i="40" s="1"/>
  <c r="AE144" i="3"/>
  <c r="BE39" i="40" s="1"/>
  <c r="AD144" i="3"/>
  <c r="BD39" i="40" s="1"/>
  <c r="AB144" i="3"/>
  <c r="BB39" i="40" s="1"/>
  <c r="AA144" i="3"/>
  <c r="BA39" i="40" s="1"/>
  <c r="Z144" i="3"/>
  <c r="AZ39" i="40" s="1"/>
  <c r="AN143" i="3"/>
  <c r="BN39" i="39" s="1"/>
  <c r="AM143" i="3"/>
  <c r="BM39" i="39" s="1"/>
  <c r="AL143" i="3"/>
  <c r="BL39" i="39" s="1"/>
  <c r="AJ143" i="3"/>
  <c r="BJ39" i="39" s="1"/>
  <c r="AI143" i="3"/>
  <c r="BI39" i="39" s="1"/>
  <c r="AH143" i="3"/>
  <c r="BH39" i="39" s="1"/>
  <c r="AF143" i="3"/>
  <c r="BF39" i="39" s="1"/>
  <c r="AE143" i="3"/>
  <c r="BE39" i="39" s="1"/>
  <c r="AD143" i="3"/>
  <c r="BD39" i="39" s="1"/>
  <c r="AB143" i="3"/>
  <c r="BB39" i="39" s="1"/>
  <c r="AA143" i="3"/>
  <c r="BA39" i="39" s="1"/>
  <c r="Z143" i="3"/>
  <c r="BA43" i="39"/>
  <c r="AN142" i="3"/>
  <c r="BN39" i="37" s="1"/>
  <c r="AM142" i="3"/>
  <c r="BM39" i="37" s="1"/>
  <c r="AL142" i="3"/>
  <c r="BL39" i="37" s="1"/>
  <c r="AJ142" i="3"/>
  <c r="BJ39" i="37" s="1"/>
  <c r="AI142" i="3"/>
  <c r="BI39" i="37" s="1"/>
  <c r="AH142" i="3"/>
  <c r="BH39" i="37" s="1"/>
  <c r="AF142" i="3"/>
  <c r="BF39" i="37" s="1"/>
  <c r="AE142" i="3"/>
  <c r="BE39" i="37" s="1"/>
  <c r="AD142" i="3"/>
  <c r="BD39" i="37" s="1"/>
  <c r="AB142" i="3"/>
  <c r="BB39" i="37" s="1"/>
  <c r="AA142" i="3"/>
  <c r="BA39" i="37" s="1"/>
  <c r="Z142" i="3"/>
  <c r="AZ39" i="37" s="1"/>
  <c r="AN141" i="3"/>
  <c r="BN39" i="36" s="1"/>
  <c r="AM141" i="3"/>
  <c r="BM39" i="36" s="1"/>
  <c r="AL141" i="3"/>
  <c r="BL39" i="36" s="1"/>
  <c r="AJ141" i="3"/>
  <c r="BJ39" i="36" s="1"/>
  <c r="AI141" i="3"/>
  <c r="BI39" i="36" s="1"/>
  <c r="AH141" i="3"/>
  <c r="BH39" i="36" s="1"/>
  <c r="AF141" i="3"/>
  <c r="BF39" i="36" s="1"/>
  <c r="AE141" i="3"/>
  <c r="BE39" i="36" s="1"/>
  <c r="AD141" i="3"/>
  <c r="BD39" i="36" s="1"/>
  <c r="AB141" i="3"/>
  <c r="BB39" i="36" s="1"/>
  <c r="AA141" i="3"/>
  <c r="BA39" i="36" s="1"/>
  <c r="Z141" i="3"/>
  <c r="AZ39" i="36" s="1"/>
  <c r="AN140" i="3"/>
  <c r="BN39" i="35" s="1"/>
  <c r="AM140" i="3"/>
  <c r="BM39" i="35" s="1"/>
  <c r="AL140" i="3"/>
  <c r="BL39" i="35" s="1"/>
  <c r="AJ140" i="3"/>
  <c r="BJ39" i="35" s="1"/>
  <c r="AI140" i="3"/>
  <c r="BI39" i="35" s="1"/>
  <c r="AH140" i="3"/>
  <c r="BH39" i="35" s="1"/>
  <c r="AF140" i="3"/>
  <c r="BF39" i="35" s="1"/>
  <c r="AE140" i="3"/>
  <c r="BE39" i="35" s="1"/>
  <c r="AD140" i="3"/>
  <c r="BD39" i="35" s="1"/>
  <c r="AB140" i="3"/>
  <c r="BB39" i="35" s="1"/>
  <c r="AA140" i="3"/>
  <c r="BA39" i="35" s="1"/>
  <c r="Z140" i="3"/>
  <c r="BA43" i="35" s="1"/>
  <c r="AN139" i="3"/>
  <c r="BN39" i="34" s="1"/>
  <c r="AM139" i="3"/>
  <c r="BM39" i="34" s="1"/>
  <c r="AL139" i="3"/>
  <c r="BL39" i="34" s="1"/>
  <c r="AJ139" i="3"/>
  <c r="BJ39" i="34" s="1"/>
  <c r="AI139" i="3"/>
  <c r="BI39" i="34" s="1"/>
  <c r="AH139" i="3"/>
  <c r="BH39" i="34" s="1"/>
  <c r="AF139" i="3"/>
  <c r="BF39" i="34" s="1"/>
  <c r="AE139" i="3"/>
  <c r="BE39" i="34" s="1"/>
  <c r="AD139" i="3"/>
  <c r="BD39" i="34" s="1"/>
  <c r="AB139" i="3"/>
  <c r="BB39" i="34" s="1"/>
  <c r="AA139" i="3"/>
  <c r="BA39" i="34" s="1"/>
  <c r="Z139" i="3"/>
  <c r="AN138" i="3"/>
  <c r="BN39" i="33" s="1"/>
  <c r="AM138" i="3"/>
  <c r="BM39" i="33" s="1"/>
  <c r="AL138" i="3"/>
  <c r="BL39" i="33" s="1"/>
  <c r="AJ138" i="3"/>
  <c r="BJ39" i="33" s="1"/>
  <c r="AI138" i="3"/>
  <c r="BI39" i="33" s="1"/>
  <c r="AH138" i="3"/>
  <c r="BH39" i="33" s="1"/>
  <c r="AF138" i="3"/>
  <c r="BF39" i="33" s="1"/>
  <c r="AE138" i="3"/>
  <c r="BE39" i="33" s="1"/>
  <c r="AD138" i="3"/>
  <c r="BD39" i="33" s="1"/>
  <c r="AB138" i="3"/>
  <c r="BB39" i="33" s="1"/>
  <c r="AA138" i="3"/>
  <c r="BA39" i="33" s="1"/>
  <c r="Z138" i="3"/>
  <c r="AN137" i="3"/>
  <c r="BO39" i="32" s="1"/>
  <c r="AM137" i="3"/>
  <c r="BN39" i="32" s="1"/>
  <c r="AL137" i="3"/>
  <c r="BM39" i="32" s="1"/>
  <c r="AJ137" i="3"/>
  <c r="BK39" i="32" s="1"/>
  <c r="AI137" i="3"/>
  <c r="BJ39" i="32" s="1"/>
  <c r="AH137" i="3"/>
  <c r="BI39" i="32" s="1"/>
  <c r="AF137" i="3"/>
  <c r="BG39" i="32" s="1"/>
  <c r="AE137" i="3"/>
  <c r="BF39" i="32" s="1"/>
  <c r="AD137" i="3"/>
  <c r="BE39" i="32" s="1"/>
  <c r="AB137" i="3"/>
  <c r="BC39" i="32" s="1"/>
  <c r="AA137" i="3"/>
  <c r="BB39" i="32" s="1"/>
  <c r="Z137" i="3"/>
  <c r="BB43" i="32" s="1"/>
  <c r="AN136" i="3"/>
  <c r="BN39" i="31" s="1"/>
  <c r="AM136" i="3"/>
  <c r="BM39" i="31" s="1"/>
  <c r="AL136" i="3"/>
  <c r="BL39" i="31" s="1"/>
  <c r="AJ136" i="3"/>
  <c r="BJ39" i="31" s="1"/>
  <c r="AI136" i="3"/>
  <c r="BI39" i="31" s="1"/>
  <c r="AH136" i="3"/>
  <c r="BH39" i="31" s="1"/>
  <c r="AF136" i="3"/>
  <c r="BF39" i="31" s="1"/>
  <c r="AE136" i="3"/>
  <c r="BE39" i="31" s="1"/>
  <c r="AD136" i="3"/>
  <c r="BD39" i="31" s="1"/>
  <c r="AB136" i="3"/>
  <c r="BB39" i="31" s="1"/>
  <c r="AA136" i="3"/>
  <c r="BA39" i="31" s="1"/>
  <c r="Z136" i="3"/>
  <c r="BA43" i="31" s="1"/>
  <c r="AZ40" i="31"/>
  <c r="BL40" i="31" s="1"/>
  <c r="T41" i="3"/>
  <c r="U41" i="3"/>
  <c r="V41" i="3"/>
  <c r="W41" i="3"/>
  <c r="X41" i="3"/>
  <c r="Y41" i="3"/>
  <c r="Z41" i="3"/>
  <c r="AA41" i="3"/>
  <c r="AB41" i="3"/>
  <c r="AC41" i="3"/>
  <c r="AD41" i="3"/>
  <c r="T42" i="3"/>
  <c r="U42" i="3"/>
  <c r="V42" i="3"/>
  <c r="W42" i="3"/>
  <c r="X42" i="3"/>
  <c r="Y42" i="3"/>
  <c r="Z42" i="3"/>
  <c r="AA42" i="3"/>
  <c r="AB42" i="3"/>
  <c r="AC42" i="3"/>
  <c r="AD42" i="3"/>
  <c r="T43" i="3"/>
  <c r="U43" i="3"/>
  <c r="V43" i="3"/>
  <c r="W43" i="3"/>
  <c r="X43" i="3"/>
  <c r="Y43" i="3"/>
  <c r="Z43" i="3"/>
  <c r="AA43" i="3"/>
  <c r="AB43" i="3"/>
  <c r="AC43" i="3"/>
  <c r="AD43" i="3"/>
  <c r="T44" i="3"/>
  <c r="U44" i="3"/>
  <c r="V44" i="3"/>
  <c r="W44" i="3"/>
  <c r="X44" i="3"/>
  <c r="Y44" i="3"/>
  <c r="Z44" i="3"/>
  <c r="AA44" i="3"/>
  <c r="AB44" i="3"/>
  <c r="AC44" i="3"/>
  <c r="AD44" i="3"/>
  <c r="T45" i="3"/>
  <c r="U45" i="3"/>
  <c r="V45" i="3"/>
  <c r="W45" i="3"/>
  <c r="X45" i="3"/>
  <c r="Y45" i="3"/>
  <c r="Z45" i="3"/>
  <c r="AA45" i="3"/>
  <c r="AB45" i="3"/>
  <c r="AC45" i="3"/>
  <c r="AD45" i="3"/>
  <c r="T46" i="3"/>
  <c r="U46" i="3"/>
  <c r="V46" i="3"/>
  <c r="W46" i="3"/>
  <c r="X46" i="3"/>
  <c r="Y46" i="3"/>
  <c r="Z46" i="3"/>
  <c r="AA46" i="3"/>
  <c r="AB46" i="3"/>
  <c r="AC46" i="3"/>
  <c r="AD46" i="3"/>
  <c r="T47" i="3"/>
  <c r="U47" i="3"/>
  <c r="V47" i="3"/>
  <c r="W47" i="3"/>
  <c r="X47" i="3"/>
  <c r="Y47" i="3"/>
  <c r="Z47" i="3"/>
  <c r="AA47" i="3"/>
  <c r="AB47" i="3"/>
  <c r="AC47" i="3"/>
  <c r="AD47" i="3"/>
  <c r="T48" i="3"/>
  <c r="U48" i="3"/>
  <c r="V48" i="3"/>
  <c r="W48" i="3"/>
  <c r="X48" i="3"/>
  <c r="Y48" i="3"/>
  <c r="Z48" i="3"/>
  <c r="AA48" i="3"/>
  <c r="AB48" i="3"/>
  <c r="AC48" i="3"/>
  <c r="AD48" i="3"/>
  <c r="T49" i="3"/>
  <c r="U49" i="3"/>
  <c r="V49" i="3"/>
  <c r="W49" i="3"/>
  <c r="X49" i="3"/>
  <c r="Y49" i="3"/>
  <c r="Z49" i="3"/>
  <c r="AA49" i="3"/>
  <c r="AB49" i="3"/>
  <c r="AC49" i="3"/>
  <c r="AD49" i="3"/>
  <c r="T50" i="3"/>
  <c r="U50" i="3"/>
  <c r="V50" i="3"/>
  <c r="W50" i="3"/>
  <c r="X50" i="3"/>
  <c r="Y50" i="3"/>
  <c r="Z50" i="3"/>
  <c r="AA50" i="3"/>
  <c r="AB50" i="3"/>
  <c r="AC50" i="3"/>
  <c r="AD50" i="3"/>
  <c r="T51" i="3"/>
  <c r="U51" i="3"/>
  <c r="V51" i="3"/>
  <c r="W51" i="3"/>
  <c r="X51" i="3"/>
  <c r="Y51" i="3"/>
  <c r="Z51" i="3"/>
  <c r="AA51" i="3"/>
  <c r="AB51" i="3"/>
  <c r="AC51" i="3"/>
  <c r="AD51" i="3"/>
  <c r="T52" i="3"/>
  <c r="U52" i="3"/>
  <c r="V52" i="3"/>
  <c r="W52" i="3"/>
  <c r="X52" i="3"/>
  <c r="Y52" i="3"/>
  <c r="Z52" i="3"/>
  <c r="AA52" i="3"/>
  <c r="AB52" i="3"/>
  <c r="AC52" i="3"/>
  <c r="AD52" i="3"/>
  <c r="T53" i="3"/>
  <c r="U53" i="3"/>
  <c r="V53" i="3"/>
  <c r="W53" i="3"/>
  <c r="X53" i="3"/>
  <c r="Y53" i="3"/>
  <c r="Z53" i="3"/>
  <c r="AA53" i="3"/>
  <c r="AB53" i="3"/>
  <c r="AC53" i="3"/>
  <c r="AD53" i="3"/>
  <c r="T54" i="3"/>
  <c r="U54" i="3"/>
  <c r="V54" i="3"/>
  <c r="W54" i="3"/>
  <c r="X54" i="3"/>
  <c r="Y54" i="3"/>
  <c r="Z54" i="3"/>
  <c r="AA54" i="3"/>
  <c r="AB54" i="3"/>
  <c r="AC54" i="3"/>
  <c r="AD54" i="3"/>
  <c r="T55" i="3"/>
  <c r="U55" i="3"/>
  <c r="V55" i="3"/>
  <c r="W55" i="3"/>
  <c r="X55" i="3"/>
  <c r="Y55" i="3"/>
  <c r="Z55" i="3"/>
  <c r="AA55" i="3"/>
  <c r="AB55" i="3"/>
  <c r="AC55" i="3"/>
  <c r="AD55" i="3"/>
  <c r="T56" i="3"/>
  <c r="U56" i="3"/>
  <c r="V56" i="3"/>
  <c r="W56" i="3"/>
  <c r="X56" i="3"/>
  <c r="Y56" i="3"/>
  <c r="Z56" i="3"/>
  <c r="AA56" i="3"/>
  <c r="AB56" i="3"/>
  <c r="AC56" i="3"/>
  <c r="AD56" i="3"/>
  <c r="T57" i="3"/>
  <c r="U57" i="3"/>
  <c r="V57" i="3"/>
  <c r="W57" i="3"/>
  <c r="X57" i="3"/>
  <c r="Y57" i="3"/>
  <c r="Z57" i="3"/>
  <c r="AA57" i="3"/>
  <c r="AB57" i="3"/>
  <c r="AC57" i="3"/>
  <c r="AD57" i="3"/>
  <c r="T58" i="3"/>
  <c r="U58" i="3"/>
  <c r="V58" i="3"/>
  <c r="W58" i="3"/>
  <c r="X58" i="3"/>
  <c r="Y58" i="3"/>
  <c r="Z58" i="3"/>
  <c r="AA58" i="3"/>
  <c r="AB58" i="3"/>
  <c r="AC58" i="3"/>
  <c r="AD58" i="3"/>
  <c r="T59" i="3"/>
  <c r="U59" i="3"/>
  <c r="V59" i="3"/>
  <c r="W59" i="3"/>
  <c r="X59" i="3"/>
  <c r="Y59" i="3"/>
  <c r="Z59" i="3"/>
  <c r="AA59" i="3"/>
  <c r="AB59" i="3"/>
  <c r="AC59" i="3"/>
  <c r="AD59" i="3"/>
  <c r="T60" i="3"/>
  <c r="U60" i="3"/>
  <c r="V60" i="3"/>
  <c r="W60" i="3"/>
  <c r="X60" i="3"/>
  <c r="Y60" i="3"/>
  <c r="Z60" i="3"/>
  <c r="AA60" i="3"/>
  <c r="AB60" i="3"/>
  <c r="AC60" i="3"/>
  <c r="AD60" i="3"/>
  <c r="T61" i="3"/>
  <c r="U61" i="3"/>
  <c r="V61" i="3"/>
  <c r="W61" i="3"/>
  <c r="X61" i="3"/>
  <c r="Y61" i="3"/>
  <c r="Z61" i="3"/>
  <c r="AA61" i="3"/>
  <c r="AB61" i="3"/>
  <c r="AC61" i="3"/>
  <c r="AD61" i="3"/>
  <c r="T62" i="3"/>
  <c r="U62" i="3"/>
  <c r="V62" i="3"/>
  <c r="W62" i="3"/>
  <c r="X62" i="3"/>
  <c r="Y62" i="3"/>
  <c r="Z62" i="3"/>
  <c r="AA62" i="3"/>
  <c r="AB62" i="3"/>
  <c r="AC62" i="3"/>
  <c r="AD62" i="3"/>
  <c r="T63" i="3"/>
  <c r="U63" i="3"/>
  <c r="V63" i="3"/>
  <c r="W63" i="3"/>
  <c r="X63" i="3"/>
  <c r="Y63" i="3"/>
  <c r="Z63" i="3"/>
  <c r="AA63" i="3"/>
  <c r="AB63" i="3"/>
  <c r="AC63" i="3"/>
  <c r="AD63" i="3"/>
  <c r="T64" i="3"/>
  <c r="U64" i="3"/>
  <c r="V64" i="3"/>
  <c r="W64" i="3"/>
  <c r="X64" i="3"/>
  <c r="Y64" i="3"/>
  <c r="Z64" i="3"/>
  <c r="AA64" i="3"/>
  <c r="AB64" i="3"/>
  <c r="AC64" i="3"/>
  <c r="AD64" i="3"/>
  <c r="T65" i="3"/>
  <c r="U65" i="3"/>
  <c r="V65" i="3"/>
  <c r="W65" i="3"/>
  <c r="X65" i="3"/>
  <c r="Y65" i="3"/>
  <c r="Z65" i="3"/>
  <c r="AA65" i="3"/>
  <c r="AB65" i="3"/>
  <c r="AC65" i="3"/>
  <c r="AD65" i="3"/>
  <c r="T66" i="3"/>
  <c r="U66" i="3"/>
  <c r="V66" i="3"/>
  <c r="W66" i="3"/>
  <c r="X66" i="3"/>
  <c r="Y66" i="3"/>
  <c r="Z66" i="3"/>
  <c r="AA66" i="3"/>
  <c r="AB66" i="3"/>
  <c r="AC66" i="3"/>
  <c r="AD66" i="3"/>
  <c r="T67" i="3"/>
  <c r="U67" i="3"/>
  <c r="V67" i="3"/>
  <c r="W67" i="3"/>
  <c r="X67" i="3"/>
  <c r="Y67" i="3"/>
  <c r="Z67" i="3"/>
  <c r="AA67" i="3"/>
  <c r="AB67" i="3"/>
  <c r="AC67" i="3"/>
  <c r="AD67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AZ39" i="39"/>
  <c r="AZ39" i="45"/>
  <c r="AZ39" i="55"/>
  <c r="C87" i="36"/>
  <c r="AE61" i="3"/>
  <c r="AE53" i="3"/>
  <c r="AE49" i="3"/>
  <c r="AE41" i="3"/>
  <c r="AE57" i="3"/>
  <c r="AE45" i="3"/>
  <c r="AK138" i="3"/>
  <c r="BK39" i="33" s="1"/>
  <c r="AK157" i="3"/>
  <c r="BK39" i="53" s="1"/>
  <c r="AO144" i="3"/>
  <c r="BO39" i="40" s="1"/>
  <c r="AK139" i="3"/>
  <c r="BK39" i="34" s="1"/>
  <c r="AG147" i="3"/>
  <c r="BG39" i="43" s="1"/>
  <c r="AO162" i="3"/>
  <c r="BO39" i="58" s="1"/>
  <c r="AO155" i="3"/>
  <c r="BO39" i="51" s="1"/>
  <c r="AO163" i="3"/>
  <c r="BO39" i="38" s="1"/>
  <c r="AK160" i="3"/>
  <c r="BK39" i="56" s="1"/>
  <c r="AO148" i="3"/>
  <c r="BO39" i="44" s="1"/>
  <c r="AO150" i="3"/>
  <c r="BO39" i="46" s="1"/>
  <c r="AO153" i="3"/>
  <c r="BO39" i="49" s="1"/>
  <c r="AE46" i="3"/>
  <c r="AE66" i="3"/>
  <c r="AE62" i="3"/>
  <c r="AE58" i="3"/>
  <c r="AE54" i="3"/>
  <c r="AE50" i="3"/>
  <c r="AE42" i="3"/>
  <c r="AE64" i="3"/>
  <c r="AE60" i="3"/>
  <c r="AE52" i="3"/>
  <c r="AE48" i="3"/>
  <c r="AB40" i="3"/>
  <c r="X40" i="3"/>
  <c r="AE67" i="3"/>
  <c r="AE63" i="3"/>
  <c r="AE59" i="3"/>
  <c r="AE55" i="3"/>
  <c r="AE51" i="3"/>
  <c r="AE47" i="3"/>
  <c r="AE43" i="3"/>
  <c r="AA40" i="3"/>
  <c r="W40" i="3"/>
  <c r="AD40" i="3"/>
  <c r="Z40" i="3"/>
  <c r="V40" i="3"/>
  <c r="AC40" i="3"/>
  <c r="Y40" i="3"/>
  <c r="U40" i="3"/>
  <c r="AE65" i="3"/>
  <c r="AE56" i="3"/>
  <c r="AE44" i="3"/>
  <c r="T40" i="3"/>
  <c r="S40" i="3"/>
  <c r="AK159" i="3"/>
  <c r="BK39" i="55" s="1"/>
  <c r="AG140" i="3"/>
  <c r="BG39" i="35" s="1"/>
  <c r="AK161" i="3"/>
  <c r="BK39" i="57" s="1"/>
  <c r="AO149" i="3"/>
  <c r="BO39" i="45" s="1"/>
  <c r="AK152" i="3"/>
  <c r="BK39" i="48" s="1"/>
  <c r="AG136" i="3"/>
  <c r="BG39" i="31" s="1"/>
  <c r="AO156" i="3"/>
  <c r="BO39" i="52" s="1"/>
  <c r="AO154" i="3"/>
  <c r="BO39" i="50"/>
  <c r="AK141" i="3"/>
  <c r="BK39" i="36" s="1"/>
  <c r="AE40" i="3"/>
  <c r="AO139" i="3"/>
  <c r="BO39" i="34"/>
  <c r="AO146" i="3"/>
  <c r="BO39" i="42" s="1"/>
  <c r="AO151" i="3"/>
  <c r="BO39" i="47" s="1"/>
  <c r="AK145" i="3"/>
  <c r="BK39" i="41" s="1"/>
  <c r="BG41" i="58"/>
  <c r="BG41" i="56"/>
  <c r="BG41" i="55"/>
  <c r="BG41" i="54"/>
  <c r="BG41" i="52"/>
  <c r="BG41" i="50"/>
  <c r="BG41" i="49"/>
  <c r="BG41" i="48"/>
  <c r="BG41" i="46"/>
  <c r="BG41" i="45"/>
  <c r="BG41" i="44"/>
  <c r="BG41" i="43"/>
  <c r="BG41" i="42"/>
  <c r="BG41" i="41"/>
  <c r="BG41" i="40"/>
  <c r="BG41" i="39"/>
  <c r="BG41" i="37"/>
  <c r="BG41" i="36"/>
  <c r="BG41" i="35"/>
  <c r="BG41" i="34"/>
  <c r="BG41" i="33"/>
  <c r="BH41" i="32"/>
  <c r="BC41" i="38"/>
  <c r="BC41" i="58"/>
  <c r="BC41" i="57"/>
  <c r="BC41" i="56"/>
  <c r="BC41" i="55"/>
  <c r="BC41" i="54"/>
  <c r="BC41" i="53"/>
  <c r="BC41" i="52"/>
  <c r="BC41" i="51"/>
  <c r="BC41" i="50"/>
  <c r="BC41" i="49"/>
  <c r="BC41" i="48"/>
  <c r="BC41" i="47"/>
  <c r="BC41" i="46"/>
  <c r="BC41" i="45"/>
  <c r="BC41" i="44"/>
  <c r="BC41" i="43"/>
  <c r="BC41" i="42"/>
  <c r="BC41" i="41"/>
  <c r="BC41" i="40"/>
  <c r="BC41" i="39"/>
  <c r="BC41" i="37"/>
  <c r="BC41" i="36"/>
  <c r="BC41" i="35"/>
  <c r="BC41" i="34"/>
  <c r="BC41" i="33"/>
  <c r="BD41" i="32"/>
  <c r="BC41" i="31"/>
  <c r="BO41" i="58"/>
  <c r="AZ45" i="58" s="1"/>
  <c r="BB43" i="58" s="1"/>
  <c r="BO41" i="56"/>
  <c r="AZ45" i="56" s="1"/>
  <c r="BO41" i="55"/>
  <c r="AZ45" i="55" s="1"/>
  <c r="BO41" i="54"/>
  <c r="AZ45" i="54" s="1"/>
  <c r="BB43" i="54" s="1"/>
  <c r="BO41" i="52"/>
  <c r="AZ45" i="52" s="1"/>
  <c r="BB43" i="52" s="1"/>
  <c r="BO41" i="50"/>
  <c r="AZ45" i="50" s="1"/>
  <c r="BO41" i="49"/>
  <c r="AZ45" i="49" s="1"/>
  <c r="BO41" i="48"/>
  <c r="AZ45" i="48" s="1"/>
  <c r="BO41" i="45"/>
  <c r="AZ45" i="45" s="1"/>
  <c r="BO41" i="43"/>
  <c r="AZ45" i="43" s="1"/>
  <c r="BO41" i="41"/>
  <c r="AZ45" i="41" s="1"/>
  <c r="BO41" i="40"/>
  <c r="AZ45" i="40" s="1"/>
  <c r="BO41" i="37"/>
  <c r="AZ45" i="37" s="1"/>
  <c r="BB43" i="37" s="1"/>
  <c r="BO41" i="36"/>
  <c r="AZ45" i="36" s="1"/>
  <c r="BO41" i="35"/>
  <c r="AZ45" i="35" s="1"/>
  <c r="BO41" i="34"/>
  <c r="AZ45" i="34" s="1"/>
  <c r="BO41" i="33"/>
  <c r="AZ45" i="33" s="1"/>
  <c r="BB43" i="33" s="1"/>
  <c r="BP41" i="32"/>
  <c r="BA45" i="32" s="1"/>
  <c r="BC43" i="32" s="1"/>
  <c r="BM41" i="38"/>
  <c r="BL41" i="38"/>
  <c r="BJ41" i="38"/>
  <c r="BI41" i="38"/>
  <c r="BH41" i="38"/>
  <c r="BF41" i="38"/>
  <c r="BE41" i="38"/>
  <c r="BD41" i="38"/>
  <c r="BB41" i="38"/>
  <c r="BA41" i="38"/>
  <c r="AZ41" i="38"/>
  <c r="BM41" i="58"/>
  <c r="BL41" i="58"/>
  <c r="BJ41" i="58"/>
  <c r="BI41" i="58"/>
  <c r="BH41" i="58"/>
  <c r="BF41" i="58"/>
  <c r="BE41" i="58"/>
  <c r="BD41" i="58"/>
  <c r="BB41" i="58"/>
  <c r="BA41" i="58"/>
  <c r="AZ41" i="58"/>
  <c r="BM41" i="57"/>
  <c r="BL41" i="57"/>
  <c r="BJ41" i="57"/>
  <c r="BI41" i="57"/>
  <c r="BH41" i="57"/>
  <c r="BF41" i="57"/>
  <c r="BE41" i="57"/>
  <c r="BD41" i="57"/>
  <c r="BB41" i="57"/>
  <c r="BA41" i="57"/>
  <c r="AZ41" i="57"/>
  <c r="BM41" i="56"/>
  <c r="BL41" i="56"/>
  <c r="BJ41" i="56"/>
  <c r="BI41" i="56"/>
  <c r="BH41" i="56"/>
  <c r="BF41" i="56"/>
  <c r="BE41" i="56"/>
  <c r="BD41" i="56"/>
  <c r="BB41" i="56"/>
  <c r="BA41" i="56"/>
  <c r="AZ41" i="56"/>
  <c r="BM41" i="55"/>
  <c r="BL41" i="55"/>
  <c r="BJ41" i="55"/>
  <c r="BI41" i="55"/>
  <c r="BH41" i="55"/>
  <c r="BF41" i="55"/>
  <c r="BE41" i="55"/>
  <c r="BD41" i="55"/>
  <c r="BB41" i="55"/>
  <c r="BA41" i="55"/>
  <c r="AZ41" i="55"/>
  <c r="BM41" i="54"/>
  <c r="BL41" i="54"/>
  <c r="BJ41" i="54"/>
  <c r="BI41" i="54"/>
  <c r="BH41" i="54"/>
  <c r="BF41" i="54"/>
  <c r="BE41" i="54"/>
  <c r="BD41" i="54"/>
  <c r="BB41" i="54"/>
  <c r="BA41" i="54"/>
  <c r="AZ41" i="54"/>
  <c r="BM41" i="53"/>
  <c r="BL41" i="53"/>
  <c r="BJ41" i="53"/>
  <c r="BI41" i="53"/>
  <c r="BH41" i="53"/>
  <c r="BF41" i="53"/>
  <c r="BE41" i="53"/>
  <c r="BD41" i="53"/>
  <c r="BB41" i="53"/>
  <c r="BA41" i="53"/>
  <c r="AZ41" i="53"/>
  <c r="BM41" i="52"/>
  <c r="BL41" i="52"/>
  <c r="BJ41" i="52"/>
  <c r="BI41" i="52"/>
  <c r="BH41" i="52"/>
  <c r="BF41" i="52"/>
  <c r="BE41" i="52"/>
  <c r="BD41" i="52"/>
  <c r="BB41" i="52"/>
  <c r="BA41" i="52"/>
  <c r="AZ41" i="52"/>
  <c r="BM41" i="51"/>
  <c r="BL41" i="51"/>
  <c r="BJ41" i="51"/>
  <c r="BI41" i="51"/>
  <c r="BH41" i="51"/>
  <c r="BF41" i="51"/>
  <c r="BE41" i="51"/>
  <c r="BD41" i="51"/>
  <c r="BB41" i="51"/>
  <c r="BA41" i="51"/>
  <c r="AZ41" i="51"/>
  <c r="BM41" i="50"/>
  <c r="BL41" i="50"/>
  <c r="BJ41" i="50"/>
  <c r="BI41" i="50"/>
  <c r="BH41" i="50"/>
  <c r="BF41" i="50"/>
  <c r="BE41" i="50"/>
  <c r="BD41" i="50"/>
  <c r="BB41" i="50"/>
  <c r="BA41" i="50"/>
  <c r="AZ41" i="50"/>
  <c r="BM41" i="49"/>
  <c r="BL41" i="49"/>
  <c r="BJ41" i="49"/>
  <c r="BI41" i="49"/>
  <c r="BH41" i="49"/>
  <c r="BF41" i="49"/>
  <c r="BE41" i="49"/>
  <c r="BD41" i="49"/>
  <c r="BB41" i="49"/>
  <c r="BA41" i="49"/>
  <c r="AZ41" i="49"/>
  <c r="BM41" i="48"/>
  <c r="BL41" i="48"/>
  <c r="BJ41" i="48"/>
  <c r="BI41" i="48"/>
  <c r="BH41" i="48"/>
  <c r="BF41" i="48"/>
  <c r="BE41" i="48"/>
  <c r="BD41" i="48"/>
  <c r="BB41" i="48"/>
  <c r="BA41" i="48"/>
  <c r="AZ41" i="48"/>
  <c r="BM41" i="47"/>
  <c r="BL41" i="47"/>
  <c r="BJ41" i="47"/>
  <c r="BI41" i="47"/>
  <c r="BH41" i="47"/>
  <c r="BF41" i="47"/>
  <c r="BE41" i="47"/>
  <c r="BD41" i="47"/>
  <c r="BB41" i="47"/>
  <c r="BA41" i="47"/>
  <c r="AZ41" i="47"/>
  <c r="BM41" i="46"/>
  <c r="BL41" i="46"/>
  <c r="BJ41" i="46"/>
  <c r="BI41" i="46"/>
  <c r="BH41" i="46"/>
  <c r="BF41" i="46"/>
  <c r="BE41" i="46"/>
  <c r="BD41" i="46"/>
  <c r="BB41" i="46"/>
  <c r="BA41" i="46"/>
  <c r="AZ41" i="46"/>
  <c r="BM41" i="45"/>
  <c r="BL41" i="45"/>
  <c r="BJ41" i="45"/>
  <c r="BI41" i="45"/>
  <c r="BH41" i="45"/>
  <c r="BF41" i="45"/>
  <c r="BE41" i="45"/>
  <c r="BD41" i="45"/>
  <c r="BB41" i="45"/>
  <c r="BA41" i="45"/>
  <c r="AZ41" i="45"/>
  <c r="BM41" i="44"/>
  <c r="BL41" i="44"/>
  <c r="BJ41" i="44"/>
  <c r="BI41" i="44"/>
  <c r="BH41" i="44"/>
  <c r="BF41" i="44"/>
  <c r="BE41" i="44"/>
  <c r="BD41" i="44"/>
  <c r="BB41" i="44"/>
  <c r="BA41" i="44"/>
  <c r="AZ41" i="44"/>
  <c r="BM41" i="43"/>
  <c r="BL41" i="43"/>
  <c r="BJ41" i="43"/>
  <c r="BI41" i="43"/>
  <c r="BH41" i="43"/>
  <c r="BF41" i="43"/>
  <c r="BE41" i="43"/>
  <c r="BD41" i="43"/>
  <c r="BB41" i="43"/>
  <c r="BA41" i="43"/>
  <c r="AZ41" i="43"/>
  <c r="BM41" i="42"/>
  <c r="BL41" i="42"/>
  <c r="BJ41" i="42"/>
  <c r="BI41" i="42"/>
  <c r="BH41" i="42"/>
  <c r="BF41" i="42"/>
  <c r="BE41" i="42"/>
  <c r="BD41" i="42"/>
  <c r="BB41" i="42"/>
  <c r="BA41" i="42"/>
  <c r="AZ41" i="42"/>
  <c r="BM41" i="41"/>
  <c r="BL41" i="41"/>
  <c r="BJ41" i="41"/>
  <c r="BI41" i="41"/>
  <c r="BH41" i="41"/>
  <c r="BF41" i="41"/>
  <c r="BE41" i="41"/>
  <c r="BD41" i="41"/>
  <c r="BB41" i="41"/>
  <c r="BA41" i="41"/>
  <c r="AZ41" i="41"/>
  <c r="BM41" i="40"/>
  <c r="BL41" i="40"/>
  <c r="BJ41" i="40"/>
  <c r="BI41" i="40"/>
  <c r="BH41" i="40"/>
  <c r="BF41" i="40"/>
  <c r="BE41" i="40"/>
  <c r="BD41" i="40"/>
  <c r="BB41" i="40"/>
  <c r="BA41" i="40"/>
  <c r="AZ41" i="40"/>
  <c r="BM41" i="39"/>
  <c r="BL41" i="39"/>
  <c r="BJ41" i="39"/>
  <c r="BI41" i="39"/>
  <c r="BH41" i="39"/>
  <c r="BF41" i="39"/>
  <c r="BE41" i="39"/>
  <c r="BD41" i="39"/>
  <c r="BB41" i="39"/>
  <c r="BA41" i="39"/>
  <c r="AZ41" i="39"/>
  <c r="BM41" i="37"/>
  <c r="BL41" i="37"/>
  <c r="BJ41" i="37"/>
  <c r="BI41" i="37"/>
  <c r="BH41" i="37"/>
  <c r="BF41" i="37"/>
  <c r="BE41" i="37"/>
  <c r="BD41" i="37"/>
  <c r="BB41" i="37"/>
  <c r="BA41" i="37"/>
  <c r="AZ41" i="37"/>
  <c r="BM41" i="36"/>
  <c r="BL41" i="36"/>
  <c r="BJ41" i="36"/>
  <c r="BI41" i="36"/>
  <c r="BH41" i="36"/>
  <c r="BF41" i="36"/>
  <c r="BE41" i="36"/>
  <c r="BD41" i="36"/>
  <c r="BB41" i="36"/>
  <c r="BA41" i="36"/>
  <c r="AZ41" i="36"/>
  <c r="BM41" i="35"/>
  <c r="BL41" i="35"/>
  <c r="BJ41" i="35"/>
  <c r="BI41" i="35"/>
  <c r="BH41" i="35"/>
  <c r="BF41" i="35"/>
  <c r="BE41" i="35"/>
  <c r="BD41" i="35"/>
  <c r="BB41" i="35"/>
  <c r="BA41" i="35"/>
  <c r="AZ41" i="35"/>
  <c r="BM41" i="34"/>
  <c r="BL41" i="34"/>
  <c r="BJ41" i="34"/>
  <c r="BI41" i="34"/>
  <c r="BH41" i="34"/>
  <c r="BF41" i="34"/>
  <c r="BE41" i="34"/>
  <c r="BD41" i="34"/>
  <c r="BB41" i="34"/>
  <c r="BA41" i="34"/>
  <c r="AZ41" i="34"/>
  <c r="BM41" i="33"/>
  <c r="BL41" i="33"/>
  <c r="BJ41" i="33"/>
  <c r="BI41" i="33"/>
  <c r="BH41" i="33"/>
  <c r="BF41" i="33"/>
  <c r="BE41" i="33"/>
  <c r="BD41" i="33"/>
  <c r="BB41" i="33"/>
  <c r="BA41" i="33"/>
  <c r="AZ41" i="33"/>
  <c r="BM41" i="32"/>
  <c r="BL41" i="32"/>
  <c r="BK41" i="32"/>
  <c r="BJ41" i="32"/>
  <c r="BI41" i="32"/>
  <c r="BG41" i="32"/>
  <c r="BF41" i="32"/>
  <c r="BE41" i="32"/>
  <c r="BC41" i="32"/>
  <c r="BB41" i="32"/>
  <c r="BA41" i="32"/>
  <c r="BM41" i="31"/>
  <c r="BL41" i="31"/>
  <c r="BJ41" i="31"/>
  <c r="BI41" i="31"/>
  <c r="BH41" i="31"/>
  <c r="BF41" i="31"/>
  <c r="BE41" i="31"/>
  <c r="BD41" i="31"/>
  <c r="BB41" i="31"/>
  <c r="BA41" i="31"/>
  <c r="AZ41" i="31"/>
  <c r="BM17" i="31"/>
  <c r="AW17" i="31"/>
  <c r="AT131" i="3"/>
  <c r="BK18" i="38" s="1"/>
  <c r="AS131" i="3"/>
  <c r="BJ18" i="38" s="1"/>
  <c r="AR131" i="3"/>
  <c r="BI18" i="38" s="1"/>
  <c r="AQ131" i="3"/>
  <c r="BH18" i="38" s="1"/>
  <c r="AP131" i="3"/>
  <c r="BG18" i="38" s="1"/>
  <c r="AO131" i="3"/>
  <c r="BF18" i="38" s="1"/>
  <c r="AN131" i="3"/>
  <c r="BE18" i="38" s="1"/>
  <c r="AM131" i="3"/>
  <c r="BD18" i="38" s="1"/>
  <c r="AL131" i="3"/>
  <c r="BC18" i="38" s="1"/>
  <c r="AK131" i="3"/>
  <c r="BB18" i="38" s="1"/>
  <c r="AJ131" i="3"/>
  <c r="BA18" i="38" s="1"/>
  <c r="AI131" i="3"/>
  <c r="AZ18" i="38" s="1"/>
  <c r="BM18" i="38" s="1"/>
  <c r="AT130" i="3"/>
  <c r="BK18" i="58" s="1"/>
  <c r="AS130" i="3"/>
  <c r="BJ18" i="58" s="1"/>
  <c r="AR130" i="3"/>
  <c r="AQ130" i="3"/>
  <c r="BH18" i="58" s="1"/>
  <c r="AP130" i="3"/>
  <c r="BG18" i="58" s="1"/>
  <c r="AO130" i="3"/>
  <c r="BF18" i="58" s="1"/>
  <c r="AN130" i="3"/>
  <c r="BE18" i="58" s="1"/>
  <c r="AM130" i="3"/>
  <c r="BD18" i="58" s="1"/>
  <c r="AL130" i="3"/>
  <c r="BC18" i="58" s="1"/>
  <c r="AK130" i="3"/>
  <c r="BB18" i="58" s="1"/>
  <c r="AJ130" i="3"/>
  <c r="BA18" i="58" s="1"/>
  <c r="AI130" i="3"/>
  <c r="AZ18" i="58" s="1"/>
  <c r="AT129" i="3"/>
  <c r="BK18" i="57" s="1"/>
  <c r="AS129" i="3"/>
  <c r="BJ18" i="57" s="1"/>
  <c r="AR129" i="3"/>
  <c r="BI18" i="57" s="1"/>
  <c r="AQ129" i="3"/>
  <c r="BH18" i="57" s="1"/>
  <c r="AP129" i="3"/>
  <c r="BG18" i="57" s="1"/>
  <c r="AO129" i="3"/>
  <c r="BF18" i="57" s="1"/>
  <c r="AN129" i="3"/>
  <c r="BE18" i="57" s="1"/>
  <c r="AM129" i="3"/>
  <c r="BD18" i="57" s="1"/>
  <c r="AL129" i="3"/>
  <c r="BC18" i="57" s="1"/>
  <c r="AK129" i="3"/>
  <c r="BB18" i="57" s="1"/>
  <c r="AJ129" i="3"/>
  <c r="BA18" i="57" s="1"/>
  <c r="AI129" i="3"/>
  <c r="AZ18" i="57" s="1"/>
  <c r="BM18" i="57" s="1"/>
  <c r="AT128" i="3"/>
  <c r="BK18" i="56"/>
  <c r="AS128" i="3"/>
  <c r="BJ18" i="56" s="1"/>
  <c r="AR128" i="3"/>
  <c r="BI18" i="56" s="1"/>
  <c r="AQ128" i="3"/>
  <c r="BH18" i="56" s="1"/>
  <c r="AP128" i="3"/>
  <c r="BG18" i="56"/>
  <c r="AO128" i="3"/>
  <c r="BF18" i="56" s="1"/>
  <c r="AN128" i="3"/>
  <c r="BE18" i="56" s="1"/>
  <c r="AM128" i="3"/>
  <c r="BD18" i="56" s="1"/>
  <c r="AL128" i="3"/>
  <c r="BC18" i="56"/>
  <c r="AK128" i="3"/>
  <c r="BB18" i="56" s="1"/>
  <c r="AJ128" i="3"/>
  <c r="BA18" i="56" s="1"/>
  <c r="AI128" i="3"/>
  <c r="AZ18" i="56" s="1"/>
  <c r="AT127" i="3"/>
  <c r="BK18" i="55" s="1"/>
  <c r="AS127" i="3"/>
  <c r="BJ18" i="55" s="1"/>
  <c r="AR127" i="3"/>
  <c r="BI18" i="55" s="1"/>
  <c r="AQ127" i="3"/>
  <c r="BH18" i="55" s="1"/>
  <c r="AP127" i="3"/>
  <c r="BG18" i="55" s="1"/>
  <c r="AO127" i="3"/>
  <c r="BF18" i="55" s="1"/>
  <c r="AN127" i="3"/>
  <c r="BE18" i="55" s="1"/>
  <c r="AM127" i="3"/>
  <c r="BD18" i="55" s="1"/>
  <c r="AL127" i="3"/>
  <c r="BC18" i="55" s="1"/>
  <c r="AK127" i="3"/>
  <c r="BB18" i="55" s="1"/>
  <c r="AJ127" i="3"/>
  <c r="BA18" i="55" s="1"/>
  <c r="AI127" i="3"/>
  <c r="AT126" i="3"/>
  <c r="BK18" i="54"/>
  <c r="AS126" i="3"/>
  <c r="BJ18" i="54" s="1"/>
  <c r="AR126" i="3"/>
  <c r="BI18" i="54" s="1"/>
  <c r="AQ126" i="3"/>
  <c r="BH18" i="54" s="1"/>
  <c r="AP126" i="3"/>
  <c r="BG18" i="54" s="1"/>
  <c r="AO126" i="3"/>
  <c r="BF18" i="54" s="1"/>
  <c r="AN126" i="3"/>
  <c r="BE18" i="54" s="1"/>
  <c r="AM126" i="3"/>
  <c r="BD18" i="54" s="1"/>
  <c r="AL126" i="3"/>
  <c r="BC18" i="54" s="1"/>
  <c r="AK126" i="3"/>
  <c r="BB18" i="54" s="1"/>
  <c r="AJ126" i="3"/>
  <c r="BA18" i="54" s="1"/>
  <c r="AI126" i="3"/>
  <c r="AZ18" i="54" s="1"/>
  <c r="AT125" i="3"/>
  <c r="BK18" i="53"/>
  <c r="AS125" i="3"/>
  <c r="BJ18" i="53" s="1"/>
  <c r="AR125" i="3"/>
  <c r="BI18" i="53" s="1"/>
  <c r="AQ125" i="3"/>
  <c r="BH18" i="53" s="1"/>
  <c r="AP125" i="3"/>
  <c r="BG18" i="53" s="1"/>
  <c r="AO125" i="3"/>
  <c r="BF18" i="53" s="1"/>
  <c r="AN125" i="3"/>
  <c r="BE18" i="53" s="1"/>
  <c r="AM125" i="3"/>
  <c r="BD18" i="53" s="1"/>
  <c r="AL125" i="3"/>
  <c r="BC18" i="53" s="1"/>
  <c r="AK125" i="3"/>
  <c r="BB18" i="53" s="1"/>
  <c r="AJ125" i="3"/>
  <c r="BA18" i="53" s="1"/>
  <c r="AI125" i="3"/>
  <c r="AZ18" i="53" s="1"/>
  <c r="AT124" i="3"/>
  <c r="BK18" i="52" s="1"/>
  <c r="AS124" i="3"/>
  <c r="BJ18" i="52" s="1"/>
  <c r="AR124" i="3"/>
  <c r="BI18" i="52" s="1"/>
  <c r="AQ124" i="3"/>
  <c r="BH18" i="52" s="1"/>
  <c r="AP124" i="3"/>
  <c r="BG18" i="52"/>
  <c r="AO124" i="3"/>
  <c r="BF18" i="52" s="1"/>
  <c r="AN124" i="3"/>
  <c r="BE18" i="52" s="1"/>
  <c r="AM124" i="3"/>
  <c r="BD18" i="52" s="1"/>
  <c r="AL124" i="3"/>
  <c r="BC18" i="52" s="1"/>
  <c r="AK124" i="3"/>
  <c r="BB18" i="52" s="1"/>
  <c r="AJ124" i="3"/>
  <c r="BA18" i="52" s="1"/>
  <c r="AI124" i="3"/>
  <c r="AZ18" i="52" s="1"/>
  <c r="AT123" i="3"/>
  <c r="BK18" i="51" s="1"/>
  <c r="AS123" i="3"/>
  <c r="BJ18" i="51" s="1"/>
  <c r="AR123" i="3"/>
  <c r="BI18" i="51" s="1"/>
  <c r="AQ123" i="3"/>
  <c r="BH18" i="51" s="1"/>
  <c r="AP123" i="3"/>
  <c r="BG18" i="51" s="1"/>
  <c r="AO123" i="3"/>
  <c r="BF18" i="51" s="1"/>
  <c r="AN123" i="3"/>
  <c r="BE18" i="51" s="1"/>
  <c r="AM123" i="3"/>
  <c r="BD18" i="51" s="1"/>
  <c r="AL123" i="3"/>
  <c r="BC18" i="51" s="1"/>
  <c r="AK123" i="3"/>
  <c r="BB18" i="51" s="1"/>
  <c r="AJ123" i="3"/>
  <c r="BA18" i="51" s="1"/>
  <c r="AI123" i="3"/>
  <c r="AT122" i="3"/>
  <c r="BK18" i="50" s="1"/>
  <c r="AS122" i="3"/>
  <c r="BJ18" i="50" s="1"/>
  <c r="AR122" i="3"/>
  <c r="BI18" i="50" s="1"/>
  <c r="AQ122" i="3"/>
  <c r="BH18" i="50" s="1"/>
  <c r="AP122" i="3"/>
  <c r="BG18" i="50" s="1"/>
  <c r="AO122" i="3"/>
  <c r="BF18" i="50" s="1"/>
  <c r="AN122" i="3"/>
  <c r="BE18" i="50" s="1"/>
  <c r="AM122" i="3"/>
  <c r="BD18" i="50" s="1"/>
  <c r="AL122" i="3"/>
  <c r="BC18" i="50" s="1"/>
  <c r="AK122" i="3"/>
  <c r="BB18" i="50" s="1"/>
  <c r="AJ122" i="3"/>
  <c r="BA18" i="50" s="1"/>
  <c r="AI122" i="3"/>
  <c r="AZ18" i="50" s="1"/>
  <c r="AT121" i="3"/>
  <c r="BK18" i="49" s="1"/>
  <c r="AS121" i="3"/>
  <c r="BJ18" i="49" s="1"/>
  <c r="AR121" i="3"/>
  <c r="BI18" i="49"/>
  <c r="AQ121" i="3"/>
  <c r="BH18" i="49" s="1"/>
  <c r="AP121" i="3"/>
  <c r="BG18" i="49" s="1"/>
  <c r="AO121" i="3"/>
  <c r="BF18" i="49" s="1"/>
  <c r="AN121" i="3"/>
  <c r="BE18" i="49" s="1"/>
  <c r="AM121" i="3"/>
  <c r="BD18" i="49" s="1"/>
  <c r="AL121" i="3"/>
  <c r="BC18" i="49" s="1"/>
  <c r="AK121" i="3"/>
  <c r="BB18" i="49" s="1"/>
  <c r="AJ121" i="3"/>
  <c r="BA18" i="49" s="1"/>
  <c r="AI121" i="3"/>
  <c r="AZ18" i="49" s="1"/>
  <c r="AT120" i="3"/>
  <c r="BK18" i="48" s="1"/>
  <c r="AS120" i="3"/>
  <c r="BJ18" i="48" s="1"/>
  <c r="AR120" i="3"/>
  <c r="BI18" i="48" s="1"/>
  <c r="AQ120" i="3"/>
  <c r="BH18" i="48" s="1"/>
  <c r="AP120" i="3"/>
  <c r="BG18" i="48" s="1"/>
  <c r="AO120" i="3"/>
  <c r="BF18" i="48" s="1"/>
  <c r="AN120" i="3"/>
  <c r="BE18" i="48" s="1"/>
  <c r="AM120" i="3"/>
  <c r="BD18" i="48" s="1"/>
  <c r="AL120" i="3"/>
  <c r="BC18" i="48" s="1"/>
  <c r="AK120" i="3"/>
  <c r="BB18" i="48" s="1"/>
  <c r="AJ120" i="3"/>
  <c r="BA18" i="48" s="1"/>
  <c r="AI120" i="3"/>
  <c r="AZ18" i="48" s="1"/>
  <c r="BM18" i="48" s="1"/>
  <c r="AT119" i="3"/>
  <c r="BK18" i="47" s="1"/>
  <c r="AS119" i="3"/>
  <c r="BJ18" i="47" s="1"/>
  <c r="AR119" i="3"/>
  <c r="BI18" i="47" s="1"/>
  <c r="AQ119" i="3"/>
  <c r="BH18" i="47" s="1"/>
  <c r="AP119" i="3"/>
  <c r="BG18" i="47"/>
  <c r="AO119" i="3"/>
  <c r="BF18" i="47" s="1"/>
  <c r="AN119" i="3"/>
  <c r="BE18" i="47" s="1"/>
  <c r="AM119" i="3"/>
  <c r="BD18" i="47" s="1"/>
  <c r="AL119" i="3"/>
  <c r="BC18" i="47" s="1"/>
  <c r="AK119" i="3"/>
  <c r="BB18" i="47" s="1"/>
  <c r="AJ119" i="3"/>
  <c r="BA18" i="47" s="1"/>
  <c r="AI119" i="3"/>
  <c r="AZ18" i="47" s="1"/>
  <c r="AT118" i="3"/>
  <c r="BK18" i="46"/>
  <c r="AS118" i="3"/>
  <c r="BJ18" i="46" s="1"/>
  <c r="AR118" i="3"/>
  <c r="BI18" i="46" s="1"/>
  <c r="AQ118" i="3"/>
  <c r="BH18" i="46" s="1"/>
  <c r="AP118" i="3"/>
  <c r="BG18" i="46" s="1"/>
  <c r="AO118" i="3"/>
  <c r="BF18" i="46" s="1"/>
  <c r="AN118" i="3"/>
  <c r="BE18" i="46" s="1"/>
  <c r="AM118" i="3"/>
  <c r="BD18" i="46" s="1"/>
  <c r="AL118" i="3"/>
  <c r="BC18" i="46" s="1"/>
  <c r="AK118" i="3"/>
  <c r="BB18" i="46" s="1"/>
  <c r="AJ118" i="3"/>
  <c r="BA18" i="46" s="1"/>
  <c r="AI118" i="3"/>
  <c r="AZ18" i="46" s="1"/>
  <c r="AT117" i="3"/>
  <c r="BK18" i="45" s="1"/>
  <c r="AS117" i="3"/>
  <c r="BJ18" i="45" s="1"/>
  <c r="AR117" i="3"/>
  <c r="BI18" i="45" s="1"/>
  <c r="AQ117" i="3"/>
  <c r="BH18" i="45" s="1"/>
  <c r="AP117" i="3"/>
  <c r="BG18" i="45" s="1"/>
  <c r="AO117" i="3"/>
  <c r="BF18" i="45" s="1"/>
  <c r="AN117" i="3"/>
  <c r="BE18" i="45" s="1"/>
  <c r="AM117" i="3"/>
  <c r="BD18" i="45" s="1"/>
  <c r="AL117" i="3"/>
  <c r="BC18" i="45" s="1"/>
  <c r="AK117" i="3"/>
  <c r="BB18" i="45" s="1"/>
  <c r="AJ117" i="3"/>
  <c r="BA18" i="45"/>
  <c r="AI117" i="3"/>
  <c r="AZ18" i="45" s="1"/>
  <c r="BM18" i="45" s="1"/>
  <c r="AT116" i="3"/>
  <c r="BK18" i="44" s="1"/>
  <c r="AS116" i="3"/>
  <c r="BJ18" i="44" s="1"/>
  <c r="AR116" i="3"/>
  <c r="BI18" i="44" s="1"/>
  <c r="AQ116" i="3"/>
  <c r="BH18" i="44" s="1"/>
  <c r="AP116" i="3"/>
  <c r="BG18" i="44" s="1"/>
  <c r="AO116" i="3"/>
  <c r="BF18" i="44" s="1"/>
  <c r="AN116" i="3"/>
  <c r="BE18" i="44" s="1"/>
  <c r="AM116" i="3"/>
  <c r="BD18" i="44" s="1"/>
  <c r="AL116" i="3"/>
  <c r="BC18" i="44" s="1"/>
  <c r="AK116" i="3"/>
  <c r="BB18" i="44" s="1"/>
  <c r="AJ116" i="3"/>
  <c r="BA18" i="44" s="1"/>
  <c r="AI116" i="3"/>
  <c r="AZ18" i="44" s="1"/>
  <c r="BM18" i="44" s="1"/>
  <c r="AT115" i="3"/>
  <c r="BK18" i="43" s="1"/>
  <c r="AS115" i="3"/>
  <c r="BJ18" i="43" s="1"/>
  <c r="AR115" i="3"/>
  <c r="BI18" i="43" s="1"/>
  <c r="AQ115" i="3"/>
  <c r="BH18" i="43" s="1"/>
  <c r="AP115" i="3"/>
  <c r="BG18" i="43" s="1"/>
  <c r="AO115" i="3"/>
  <c r="BF18" i="43" s="1"/>
  <c r="AN115" i="3"/>
  <c r="BE18" i="43" s="1"/>
  <c r="AM115" i="3"/>
  <c r="BD18" i="43" s="1"/>
  <c r="AL115" i="3"/>
  <c r="BC18" i="43" s="1"/>
  <c r="AK115" i="3"/>
  <c r="BB18" i="43" s="1"/>
  <c r="AJ115" i="3"/>
  <c r="BA18" i="43" s="1"/>
  <c r="AI115" i="3"/>
  <c r="AT114" i="3"/>
  <c r="BK18" i="42" s="1"/>
  <c r="AS114" i="3"/>
  <c r="BJ18" i="42" s="1"/>
  <c r="AR114" i="3"/>
  <c r="BI18" i="42" s="1"/>
  <c r="AQ114" i="3"/>
  <c r="BH18" i="42" s="1"/>
  <c r="AP114" i="3"/>
  <c r="BG18" i="42"/>
  <c r="AO114" i="3"/>
  <c r="BF18" i="42" s="1"/>
  <c r="AN114" i="3"/>
  <c r="BE18" i="42" s="1"/>
  <c r="AM114" i="3"/>
  <c r="BD18" i="42" s="1"/>
  <c r="AL114" i="3"/>
  <c r="BC18" i="42" s="1"/>
  <c r="AK114" i="3"/>
  <c r="BB18" i="42" s="1"/>
  <c r="AJ114" i="3"/>
  <c r="AI114" i="3"/>
  <c r="AZ18" i="42" s="1"/>
  <c r="AT113" i="3"/>
  <c r="BK18" i="41" s="1"/>
  <c r="AS113" i="3"/>
  <c r="BJ18" i="41" s="1"/>
  <c r="AR113" i="3"/>
  <c r="BI18" i="41" s="1"/>
  <c r="AQ113" i="3"/>
  <c r="BH18" i="41" s="1"/>
  <c r="AP113" i="3"/>
  <c r="BG18" i="41" s="1"/>
  <c r="AO113" i="3"/>
  <c r="BF18" i="41" s="1"/>
  <c r="AN113" i="3"/>
  <c r="BE18" i="41" s="1"/>
  <c r="AM113" i="3"/>
  <c r="BD18" i="41" s="1"/>
  <c r="AL113" i="3"/>
  <c r="BC18" i="41" s="1"/>
  <c r="AK113" i="3"/>
  <c r="BB18" i="41" s="1"/>
  <c r="AJ113" i="3"/>
  <c r="BA18" i="41" s="1"/>
  <c r="AI113" i="3"/>
  <c r="AZ18" i="41" s="1"/>
  <c r="AT112" i="3"/>
  <c r="BK18" i="40" s="1"/>
  <c r="AS112" i="3"/>
  <c r="BJ18" i="40" s="1"/>
  <c r="AR112" i="3"/>
  <c r="AQ112" i="3"/>
  <c r="BH18" i="40" s="1"/>
  <c r="AP112" i="3"/>
  <c r="BG18" i="40" s="1"/>
  <c r="AO112" i="3"/>
  <c r="BF18" i="40" s="1"/>
  <c r="AN112" i="3"/>
  <c r="BE18" i="40" s="1"/>
  <c r="AM112" i="3"/>
  <c r="BD18" i="40" s="1"/>
  <c r="AL112" i="3"/>
  <c r="BC18" i="40" s="1"/>
  <c r="AK112" i="3"/>
  <c r="BB18" i="40" s="1"/>
  <c r="AJ112" i="3"/>
  <c r="BA18" i="40" s="1"/>
  <c r="AI112" i="3"/>
  <c r="AZ18" i="40" s="1"/>
  <c r="AT111" i="3"/>
  <c r="BK18" i="39" s="1"/>
  <c r="AS111" i="3"/>
  <c r="BJ18" i="39" s="1"/>
  <c r="AR111" i="3"/>
  <c r="BI18" i="39" s="1"/>
  <c r="AQ111" i="3"/>
  <c r="BH18" i="39" s="1"/>
  <c r="AP111" i="3"/>
  <c r="BG18" i="39" s="1"/>
  <c r="AO111" i="3"/>
  <c r="BF18" i="39" s="1"/>
  <c r="AN111" i="3"/>
  <c r="BE18" i="39" s="1"/>
  <c r="AM111" i="3"/>
  <c r="BD18" i="39" s="1"/>
  <c r="AL111" i="3"/>
  <c r="BC18" i="39" s="1"/>
  <c r="AK111" i="3"/>
  <c r="BB18" i="39" s="1"/>
  <c r="AJ111" i="3"/>
  <c r="BA18" i="39" s="1"/>
  <c r="AI111" i="3"/>
  <c r="AZ18" i="39" s="1"/>
  <c r="AT110" i="3"/>
  <c r="BK18" i="37" s="1"/>
  <c r="AS110" i="3"/>
  <c r="BJ18" i="37" s="1"/>
  <c r="AR110" i="3"/>
  <c r="BI18" i="37" s="1"/>
  <c r="AQ110" i="3"/>
  <c r="BH18" i="37" s="1"/>
  <c r="AP110" i="3"/>
  <c r="BG18" i="37"/>
  <c r="AO110" i="3"/>
  <c r="BF18" i="37" s="1"/>
  <c r="AN110" i="3"/>
  <c r="BE18" i="37" s="1"/>
  <c r="AM110" i="3"/>
  <c r="BD18" i="37" s="1"/>
  <c r="AL110" i="3"/>
  <c r="BC18" i="37" s="1"/>
  <c r="AK110" i="3"/>
  <c r="BB18" i="37" s="1"/>
  <c r="AJ110" i="3"/>
  <c r="AI110" i="3"/>
  <c r="AZ18" i="37" s="1"/>
  <c r="AT109" i="3"/>
  <c r="BK18" i="36" s="1"/>
  <c r="AS109" i="3"/>
  <c r="BJ18" i="36" s="1"/>
  <c r="AR109" i="3"/>
  <c r="BI18" i="36" s="1"/>
  <c r="AQ109" i="3"/>
  <c r="BH18" i="36" s="1"/>
  <c r="AP109" i="3"/>
  <c r="BG18" i="36" s="1"/>
  <c r="AO109" i="3"/>
  <c r="BF18" i="36" s="1"/>
  <c r="AN109" i="3"/>
  <c r="BE18" i="36" s="1"/>
  <c r="AM109" i="3"/>
  <c r="BD18" i="36" s="1"/>
  <c r="AL109" i="3"/>
  <c r="BC18" i="36" s="1"/>
  <c r="AK109" i="3"/>
  <c r="BB18" i="36" s="1"/>
  <c r="AJ109" i="3"/>
  <c r="BA18" i="36" s="1"/>
  <c r="AI109" i="3"/>
  <c r="AT108" i="3"/>
  <c r="BK18" i="35" s="1"/>
  <c r="AS108" i="3"/>
  <c r="BJ18" i="35" s="1"/>
  <c r="AR108" i="3"/>
  <c r="BI18" i="35" s="1"/>
  <c r="AQ108" i="3"/>
  <c r="BH18" i="35" s="1"/>
  <c r="AP108" i="3"/>
  <c r="BG18" i="35" s="1"/>
  <c r="AO108" i="3"/>
  <c r="BF18" i="35" s="1"/>
  <c r="AN108" i="3"/>
  <c r="BE18" i="35" s="1"/>
  <c r="AM108" i="3"/>
  <c r="BD18" i="35" s="1"/>
  <c r="AL108" i="3"/>
  <c r="BC18" i="35" s="1"/>
  <c r="AK108" i="3"/>
  <c r="BB18" i="35" s="1"/>
  <c r="AJ108" i="3"/>
  <c r="BA18" i="35" s="1"/>
  <c r="AI108" i="3"/>
  <c r="AZ18" i="35" s="1"/>
  <c r="BM18" i="35" s="1"/>
  <c r="AT107" i="3"/>
  <c r="BK18" i="34"/>
  <c r="AS107" i="3"/>
  <c r="BJ18" i="34" s="1"/>
  <c r="AR107" i="3"/>
  <c r="BI18" i="34" s="1"/>
  <c r="AQ107" i="3"/>
  <c r="AP107" i="3"/>
  <c r="BG18" i="34" s="1"/>
  <c r="AO107" i="3"/>
  <c r="BF18" i="34" s="1"/>
  <c r="AN107" i="3"/>
  <c r="AM107" i="3"/>
  <c r="BD18" i="34" s="1"/>
  <c r="AL107" i="3"/>
  <c r="BC18" i="34" s="1"/>
  <c r="AK107" i="3"/>
  <c r="BB18" i="34" s="1"/>
  <c r="AJ107" i="3"/>
  <c r="BA18" i="34" s="1"/>
  <c r="AI107" i="3"/>
  <c r="AT106" i="3"/>
  <c r="BK18" i="33" s="1"/>
  <c r="AS106" i="3"/>
  <c r="BJ18" i="33" s="1"/>
  <c r="AR106" i="3"/>
  <c r="BI18" i="33" s="1"/>
  <c r="AQ106" i="3"/>
  <c r="BH18" i="33" s="1"/>
  <c r="AP106" i="3"/>
  <c r="BG18" i="33" s="1"/>
  <c r="AO106" i="3"/>
  <c r="BF18" i="33" s="1"/>
  <c r="AN106" i="3"/>
  <c r="BE18" i="33" s="1"/>
  <c r="AM106" i="3"/>
  <c r="AL106" i="3"/>
  <c r="BC18" i="33" s="1"/>
  <c r="AK106" i="3"/>
  <c r="BB18" i="33"/>
  <c r="AJ106" i="3"/>
  <c r="BA18" i="33" s="1"/>
  <c r="AI106" i="3"/>
  <c r="AZ18" i="33" s="1"/>
  <c r="AT105" i="3"/>
  <c r="BL18" i="32"/>
  <c r="AS105" i="3"/>
  <c r="BK18" i="32" s="1"/>
  <c r="AR105" i="3"/>
  <c r="BJ18" i="32" s="1"/>
  <c r="AQ105" i="3"/>
  <c r="BI18" i="32" s="1"/>
  <c r="AP105" i="3"/>
  <c r="BH18" i="32" s="1"/>
  <c r="AO105" i="3"/>
  <c r="AO104" i="3" s="1"/>
  <c r="BF18" i="31" s="1"/>
  <c r="AN105" i="3"/>
  <c r="BF18" i="32" s="1"/>
  <c r="AM105" i="3"/>
  <c r="BE18" i="32" s="1"/>
  <c r="AL105" i="3"/>
  <c r="BD18" i="32" s="1"/>
  <c r="AK105" i="3"/>
  <c r="BC18" i="32" s="1"/>
  <c r="AJ105" i="3"/>
  <c r="BB18" i="32" s="1"/>
  <c r="AI105" i="3"/>
  <c r="BA18" i="32" s="1"/>
  <c r="BJ20" i="38"/>
  <c r="BI20" i="38"/>
  <c r="BH20" i="38"/>
  <c r="BG20" i="38"/>
  <c r="BF20" i="38"/>
  <c r="BE20" i="38"/>
  <c r="BD20" i="38"/>
  <c r="BC20" i="38"/>
  <c r="BB20" i="38"/>
  <c r="BA20" i="38"/>
  <c r="AZ20" i="38"/>
  <c r="BJ20" i="58"/>
  <c r="BI20" i="58"/>
  <c r="BH20" i="58"/>
  <c r="BG20" i="58"/>
  <c r="BF20" i="58"/>
  <c r="BE20" i="58"/>
  <c r="BD20" i="58"/>
  <c r="BC20" i="58"/>
  <c r="BB20" i="58"/>
  <c r="BA20" i="58"/>
  <c r="AZ20" i="58"/>
  <c r="BJ20" i="57"/>
  <c r="BI20" i="57"/>
  <c r="BH20" i="57"/>
  <c r="BG20" i="57"/>
  <c r="BF20" i="57"/>
  <c r="BE20" i="57"/>
  <c r="BD20" i="57"/>
  <c r="BC20" i="57"/>
  <c r="BB20" i="57"/>
  <c r="BA20" i="57"/>
  <c r="AZ20" i="57"/>
  <c r="BM20" i="57" s="1"/>
  <c r="BJ20" i="56"/>
  <c r="BI20" i="56"/>
  <c r="BH20" i="56"/>
  <c r="BG20" i="56"/>
  <c r="BF20" i="56"/>
  <c r="BE20" i="56"/>
  <c r="BD20" i="56"/>
  <c r="BC20" i="56"/>
  <c r="BB20" i="56"/>
  <c r="AZ20" i="56"/>
  <c r="BJ20" i="55"/>
  <c r="BI20" i="55"/>
  <c r="BH20" i="55"/>
  <c r="BG20" i="55"/>
  <c r="BF20" i="55"/>
  <c r="BE20" i="55"/>
  <c r="BD20" i="55"/>
  <c r="BC20" i="55"/>
  <c r="BB20" i="55"/>
  <c r="BA20" i="55"/>
  <c r="AZ20" i="55"/>
  <c r="BJ20" i="54"/>
  <c r="BI20" i="54"/>
  <c r="BH20" i="54"/>
  <c r="BG20" i="54"/>
  <c r="BF20" i="54"/>
  <c r="BE20" i="54"/>
  <c r="BD20" i="54"/>
  <c r="BC20" i="54"/>
  <c r="BB20" i="54"/>
  <c r="BA20" i="54"/>
  <c r="AZ20" i="54"/>
  <c r="BM20" i="54" s="1"/>
  <c r="BJ20" i="53"/>
  <c r="BI20" i="53"/>
  <c r="BH20" i="53"/>
  <c r="BG20" i="53"/>
  <c r="BF20" i="53"/>
  <c r="BE20" i="53"/>
  <c r="BD20" i="53"/>
  <c r="BC20" i="53"/>
  <c r="BB20" i="53"/>
  <c r="AZ20" i="53"/>
  <c r="BJ20" i="52"/>
  <c r="BI20" i="52"/>
  <c r="BH20" i="52"/>
  <c r="BG20" i="52"/>
  <c r="BF20" i="52"/>
  <c r="BE20" i="52"/>
  <c r="BD20" i="52"/>
  <c r="BC20" i="52"/>
  <c r="BB20" i="52"/>
  <c r="BA20" i="52"/>
  <c r="AZ20" i="52"/>
  <c r="BJ20" i="51"/>
  <c r="BI20" i="51"/>
  <c r="BH20" i="51"/>
  <c r="BG20" i="51"/>
  <c r="BF20" i="51"/>
  <c r="BE20" i="51"/>
  <c r="BD20" i="51"/>
  <c r="BC20" i="51"/>
  <c r="BB20" i="51"/>
  <c r="BA20" i="51"/>
  <c r="AZ20" i="51"/>
  <c r="BM20" i="51" s="1"/>
  <c r="BJ20" i="50"/>
  <c r="BI20" i="50"/>
  <c r="BH20" i="50"/>
  <c r="BG20" i="50"/>
  <c r="BF20" i="50"/>
  <c r="BE20" i="50"/>
  <c r="BD20" i="50"/>
  <c r="BC20" i="50"/>
  <c r="BB20" i="50"/>
  <c r="BJ20" i="49"/>
  <c r="BI20" i="49"/>
  <c r="BH20" i="49"/>
  <c r="BG20" i="49"/>
  <c r="BF20" i="49"/>
  <c r="BE20" i="49"/>
  <c r="BD20" i="49"/>
  <c r="BC20" i="49"/>
  <c r="BJ20" i="48"/>
  <c r="BI20" i="48"/>
  <c r="BH20" i="48"/>
  <c r="BG20" i="48"/>
  <c r="BF20" i="48"/>
  <c r="BE20" i="48"/>
  <c r="BD20" i="48"/>
  <c r="BC20" i="48"/>
  <c r="BB20" i="48"/>
  <c r="BA20" i="48"/>
  <c r="AZ20" i="48"/>
  <c r="BM20" i="48" s="1"/>
  <c r="BJ20" i="47"/>
  <c r="BI20" i="47"/>
  <c r="BH20" i="47"/>
  <c r="BG20" i="47"/>
  <c r="BF20" i="47"/>
  <c r="BE20" i="47"/>
  <c r="BD20" i="47"/>
  <c r="BC20" i="47"/>
  <c r="BB20" i="47"/>
  <c r="BA20" i="47"/>
  <c r="BJ20" i="46"/>
  <c r="BI20" i="46"/>
  <c r="BH20" i="46"/>
  <c r="BG20" i="46"/>
  <c r="BF20" i="46"/>
  <c r="BE20" i="46"/>
  <c r="BD20" i="46"/>
  <c r="BC20" i="46"/>
  <c r="BB20" i="46"/>
  <c r="O118" i="3"/>
  <c r="BJ20" i="45"/>
  <c r="BI20" i="45"/>
  <c r="BH20" i="45"/>
  <c r="BG20" i="45"/>
  <c r="BF20" i="45"/>
  <c r="BE20" i="45"/>
  <c r="BD20" i="45"/>
  <c r="BC20" i="45"/>
  <c r="BB20" i="45"/>
  <c r="BA20" i="45"/>
  <c r="BJ20" i="44"/>
  <c r="BI20" i="44"/>
  <c r="BH20" i="44"/>
  <c r="BG20" i="44"/>
  <c r="BF20" i="44"/>
  <c r="BE20" i="44"/>
  <c r="BD20" i="44"/>
  <c r="BC20" i="44"/>
  <c r="BB20" i="44"/>
  <c r="BA20" i="44"/>
  <c r="AZ20" i="44"/>
  <c r="BJ20" i="43"/>
  <c r="BI20" i="43"/>
  <c r="BH20" i="43"/>
  <c r="BG20" i="43"/>
  <c r="BF20" i="43"/>
  <c r="BE20" i="43"/>
  <c r="BD20" i="43"/>
  <c r="BC20" i="43"/>
  <c r="BB20" i="43"/>
  <c r="BA20" i="43"/>
  <c r="AZ20" i="43"/>
  <c r="BM20" i="43" s="1"/>
  <c r="BJ20" i="42"/>
  <c r="BI20" i="42"/>
  <c r="BH20" i="42"/>
  <c r="BG20" i="42"/>
  <c r="BF20" i="42"/>
  <c r="BE20" i="42"/>
  <c r="BD20" i="42"/>
  <c r="BC20" i="42"/>
  <c r="BB20" i="42"/>
  <c r="BJ20" i="41"/>
  <c r="BI20" i="41"/>
  <c r="BH20" i="41"/>
  <c r="BG20" i="41"/>
  <c r="BF20" i="41"/>
  <c r="BE20" i="41"/>
  <c r="BD20" i="41"/>
  <c r="BC20" i="41"/>
  <c r="BB20" i="41"/>
  <c r="BA20" i="41"/>
  <c r="AZ20" i="41"/>
  <c r="BM20" i="41" s="1"/>
  <c r="BJ20" i="40"/>
  <c r="BI20" i="40"/>
  <c r="BH20" i="40"/>
  <c r="BG20" i="40"/>
  <c r="BF20" i="40"/>
  <c r="BE20" i="40"/>
  <c r="BD20" i="40"/>
  <c r="BC20" i="40"/>
  <c r="BB20" i="40"/>
  <c r="BA20" i="40"/>
  <c r="AZ20" i="40"/>
  <c r="BJ20" i="39"/>
  <c r="BI20" i="39"/>
  <c r="BH20" i="39"/>
  <c r="BG20" i="39"/>
  <c r="BF20" i="39"/>
  <c r="BE20" i="39"/>
  <c r="BD20" i="39"/>
  <c r="BC20" i="39"/>
  <c r="BB20" i="39"/>
  <c r="BA20" i="39"/>
  <c r="AZ20" i="39"/>
  <c r="BJ20" i="37"/>
  <c r="BI20" i="37"/>
  <c r="BH20" i="37"/>
  <c r="BG20" i="37"/>
  <c r="BF20" i="37"/>
  <c r="BE20" i="37"/>
  <c r="BD20" i="37"/>
  <c r="BC20" i="37"/>
  <c r="BB20" i="37"/>
  <c r="BJ20" i="36"/>
  <c r="BI20" i="36"/>
  <c r="BH20" i="36"/>
  <c r="BG20" i="36"/>
  <c r="BF20" i="36"/>
  <c r="BE20" i="36"/>
  <c r="BD20" i="36"/>
  <c r="BC20" i="36"/>
  <c r="BB20" i="36"/>
  <c r="BA20" i="36"/>
  <c r="AZ20" i="36"/>
  <c r="BJ20" i="35"/>
  <c r="BI20" i="35"/>
  <c r="BH20" i="35"/>
  <c r="BG20" i="35"/>
  <c r="BF20" i="35"/>
  <c r="BE20" i="35"/>
  <c r="BD20" i="35"/>
  <c r="BC20" i="35"/>
  <c r="BB20" i="35"/>
  <c r="BA20" i="35"/>
  <c r="AZ20" i="35"/>
  <c r="BJ20" i="34"/>
  <c r="BI20" i="34"/>
  <c r="BH20" i="34"/>
  <c r="BG20" i="34"/>
  <c r="BF20" i="34"/>
  <c r="BE20" i="34"/>
  <c r="BD20" i="34"/>
  <c r="BC20" i="34"/>
  <c r="BB20" i="34"/>
  <c r="BA20" i="34"/>
  <c r="AZ20" i="34"/>
  <c r="BM20" i="34" s="1"/>
  <c r="BJ20" i="33"/>
  <c r="BI20" i="33"/>
  <c r="BH20" i="33"/>
  <c r="BG20" i="33"/>
  <c r="BF20" i="33"/>
  <c r="BE20" i="33"/>
  <c r="BD20" i="33"/>
  <c r="BC20" i="33"/>
  <c r="BB20" i="33"/>
  <c r="BA20" i="33"/>
  <c r="N104" i="3"/>
  <c r="BK20" i="31" s="1"/>
  <c r="BI20" i="32"/>
  <c r="BH20" i="32"/>
  <c r="BG20" i="32"/>
  <c r="BF20" i="32"/>
  <c r="BE20" i="32"/>
  <c r="BD20" i="32"/>
  <c r="BC20" i="32"/>
  <c r="BB20" i="32"/>
  <c r="BA20" i="32"/>
  <c r="BG41" i="53"/>
  <c r="BO41" i="42"/>
  <c r="AZ45" i="42" s="1"/>
  <c r="BB43" i="42" s="1"/>
  <c r="BO41" i="44"/>
  <c r="AZ45" i="44" s="1"/>
  <c r="BG41" i="47"/>
  <c r="BO41" i="46"/>
  <c r="AZ45" i="46" s="1"/>
  <c r="BG41" i="38"/>
  <c r="BG41" i="57"/>
  <c r="BG41" i="51"/>
  <c r="BO41" i="39"/>
  <c r="AZ45" i="39" s="1"/>
  <c r="BB43" i="39" s="1"/>
  <c r="AO160" i="3"/>
  <c r="BO39" i="56" s="1"/>
  <c r="AK147" i="3"/>
  <c r="BK39" i="43" s="1"/>
  <c r="AO138" i="3"/>
  <c r="BO39" i="33" s="1"/>
  <c r="AO157" i="3"/>
  <c r="BO39" i="53" s="1"/>
  <c r="AO141" i="3"/>
  <c r="BO39" i="36" s="1"/>
  <c r="AB105" i="3"/>
  <c r="AD105" i="3"/>
  <c r="V105" i="3"/>
  <c r="X105" i="3"/>
  <c r="Z105" i="3"/>
  <c r="AC105" i="3"/>
  <c r="BO41" i="57"/>
  <c r="AZ45" i="57" s="1"/>
  <c r="BO41" i="38"/>
  <c r="AZ45" i="38" s="1"/>
  <c r="BO41" i="31"/>
  <c r="AZ45" i="31" s="1"/>
  <c r="BO41" i="47"/>
  <c r="AZ45" i="47" s="1"/>
  <c r="BB43" i="47" s="1"/>
  <c r="BG41" i="31"/>
  <c r="BO41" i="51"/>
  <c r="AZ45" i="51" s="1"/>
  <c r="BO41" i="53"/>
  <c r="AZ45" i="53" s="1"/>
  <c r="AO152" i="3"/>
  <c r="BO39" i="48" s="1"/>
  <c r="AO161" i="3"/>
  <c r="BO39" i="57" s="1"/>
  <c r="AO145" i="3"/>
  <c r="BO39" i="41" s="1"/>
  <c r="AK140" i="3"/>
  <c r="BK39" i="35" s="1"/>
  <c r="AO159" i="3"/>
  <c r="BO39" i="55" s="1"/>
  <c r="AD116" i="3"/>
  <c r="AC118" i="3"/>
  <c r="U118" i="3"/>
  <c r="U120" i="3"/>
  <c r="X107" i="3"/>
  <c r="X124" i="3"/>
  <c r="AC124" i="3"/>
  <c r="U124" i="3"/>
  <c r="X112" i="3"/>
  <c r="AC112" i="3"/>
  <c r="W114" i="3"/>
  <c r="Z114" i="3"/>
  <c r="U123" i="3"/>
  <c r="AD127" i="3"/>
  <c r="Z127" i="3"/>
  <c r="AD111" i="3"/>
  <c r="Z111" i="3"/>
  <c r="Y109" i="3"/>
  <c r="AC126" i="3"/>
  <c r="U126" i="3"/>
  <c r="AD126" i="3"/>
  <c r="AC131" i="3"/>
  <c r="U131" i="3"/>
  <c r="AD131" i="3"/>
  <c r="T108" i="3"/>
  <c r="U119" i="3"/>
  <c r="W116" i="3"/>
  <c r="V118" i="3"/>
  <c r="AD120" i="3"/>
  <c r="AC107" i="3"/>
  <c r="U107" i="3"/>
  <c r="AD107" i="3"/>
  <c r="AC123" i="3"/>
  <c r="AA127" i="3"/>
  <c r="W111" i="3"/>
  <c r="X111" i="3"/>
  <c r="X109" i="3"/>
  <c r="AC109" i="3"/>
  <c r="T126" i="3"/>
  <c r="AB126" i="3"/>
  <c r="T131" i="3"/>
  <c r="AB131" i="3"/>
  <c r="V131" i="3"/>
  <c r="W108" i="3"/>
  <c r="X108" i="3"/>
  <c r="AC119" i="3"/>
  <c r="AA122" i="3"/>
  <c r="Y122" i="3"/>
  <c r="W118" i="3"/>
  <c r="Z118" i="3"/>
  <c r="AB120" i="3"/>
  <c r="V120" i="3"/>
  <c r="W120" i="3"/>
  <c r="AB107" i="3"/>
  <c r="AB124" i="3"/>
  <c r="V124" i="3"/>
  <c r="AB112" i="3"/>
  <c r="V112" i="3"/>
  <c r="W112" i="3"/>
  <c r="AC130" i="3"/>
  <c r="U130" i="3"/>
  <c r="AD130" i="3"/>
  <c r="AC114" i="3"/>
  <c r="U114" i="3"/>
  <c r="AD114" i="3"/>
  <c r="AD123" i="3"/>
  <c r="Z123" i="3"/>
  <c r="U127" i="3"/>
  <c r="V127" i="3"/>
  <c r="U111" i="3"/>
  <c r="V111" i="3"/>
  <c r="W131" i="3"/>
  <c r="Z131" i="3"/>
  <c r="U108" i="3"/>
  <c r="V108" i="3"/>
  <c r="AD119" i="3"/>
  <c r="Z119" i="3"/>
  <c r="AD122" i="3"/>
  <c r="U116" i="3"/>
  <c r="X118" i="3"/>
  <c r="Z120" i="3"/>
  <c r="AA120" i="3"/>
  <c r="Z107" i="3"/>
  <c r="Z112" i="3"/>
  <c r="AA112" i="3"/>
  <c r="AB130" i="3"/>
  <c r="V130" i="3"/>
  <c r="V114" i="3"/>
  <c r="AA123" i="3"/>
  <c r="Y127" i="3"/>
  <c r="AB127" i="3"/>
  <c r="AC127" i="3"/>
  <c r="Y111" i="3"/>
  <c r="AB111" i="3"/>
  <c r="AC111" i="3"/>
  <c r="AA126" i="3"/>
  <c r="Y126" i="3"/>
  <c r="X126" i="3"/>
  <c r="X131" i="3"/>
  <c r="Y108" i="3"/>
  <c r="AB108" i="3"/>
  <c r="AC108" i="3"/>
  <c r="W119" i="3"/>
  <c r="X119" i="3"/>
  <c r="AA119" i="3"/>
  <c r="W105" i="3"/>
  <c r="S117" i="3"/>
  <c r="S106" i="3"/>
  <c r="S125" i="3"/>
  <c r="AA105" i="3"/>
  <c r="S116" i="3"/>
  <c r="S121" i="3"/>
  <c r="S107" i="3"/>
  <c r="S115" i="3"/>
  <c r="S109" i="3"/>
  <c r="S126" i="3"/>
  <c r="S131" i="3"/>
  <c r="S129" i="3"/>
  <c r="S120" i="3"/>
  <c r="S112" i="3"/>
  <c r="S118" i="3"/>
  <c r="S127" i="3"/>
  <c r="S130" i="3"/>
  <c r="S128" i="3"/>
  <c r="X106" i="3"/>
  <c r="Y105" i="3"/>
  <c r="S111" i="3"/>
  <c r="S124" i="3"/>
  <c r="S110" i="3"/>
  <c r="S113" i="3"/>
  <c r="S122" i="3"/>
  <c r="U105" i="3"/>
  <c r="S119" i="3"/>
  <c r="S114" i="3"/>
  <c r="AK136" i="3"/>
  <c r="BK39" i="31" s="1"/>
  <c r="U129" i="3"/>
  <c r="V106" i="3"/>
  <c r="V117" i="3"/>
  <c r="AD113" i="3"/>
  <c r="Z110" i="3"/>
  <c r="AA129" i="3"/>
  <c r="AB125" i="3"/>
  <c r="X115" i="3"/>
  <c r="X121" i="3"/>
  <c r="Y128" i="3"/>
  <c r="U117" i="3"/>
  <c r="Z129" i="3"/>
  <c r="AD115" i="3"/>
  <c r="W121" i="3"/>
  <c r="V128" i="3"/>
  <c r="X113" i="3"/>
  <c r="W125" i="3"/>
  <c r="AB115" i="3"/>
  <c r="AC121" i="3"/>
  <c r="AC117" i="3"/>
  <c r="W113" i="3"/>
  <c r="X110" i="3"/>
  <c r="V129" i="3"/>
  <c r="V115" i="3"/>
  <c r="T111" i="3"/>
  <c r="T127" i="3"/>
  <c r="W107" i="3"/>
  <c r="T124" i="3"/>
  <c r="V107" i="3"/>
  <c r="X123" i="3"/>
  <c r="AB109" i="3"/>
  <c r="AA108" i="3"/>
  <c r="W126" i="3"/>
  <c r="AA131" i="3"/>
  <c r="Y107" i="3"/>
  <c r="AB118" i="3"/>
  <c r="Y114" i="3"/>
  <c r="AD108" i="3"/>
  <c r="V123" i="3"/>
  <c r="AD118" i="3"/>
  <c r="Y130" i="3"/>
  <c r="X116" i="3"/>
  <c r="AC120" i="3"/>
  <c r="T110" i="3"/>
  <c r="U128" i="3"/>
  <c r="AC113" i="3"/>
  <c r="X129" i="3"/>
  <c r="Y125" i="3"/>
  <c r="AB106" i="3"/>
  <c r="W115" i="3"/>
  <c r="AA128" i="3"/>
  <c r="AA117" i="3"/>
  <c r="AB113" i="3"/>
  <c r="AD110" i="3"/>
  <c r="U125" i="3"/>
  <c r="U106" i="3"/>
  <c r="T121" i="3"/>
  <c r="S105" i="3"/>
  <c r="AB128" i="3"/>
  <c r="AB110" i="3"/>
  <c r="AD129" i="3"/>
  <c r="T125" i="3"/>
  <c r="W106" i="3"/>
  <c r="Y115" i="3"/>
  <c r="T128" i="3"/>
  <c r="T113" i="3"/>
  <c r="AD106" i="3"/>
  <c r="U115" i="3"/>
  <c r="AB121" i="3"/>
  <c r="T112" i="3"/>
  <c r="Y118" i="3"/>
  <c r="W123" i="3"/>
  <c r="AA111" i="3"/>
  <c r="Y120" i="3"/>
  <c r="AA124" i="3"/>
  <c r="AA107" i="3"/>
  <c r="U109" i="3"/>
  <c r="AA114" i="3"/>
  <c r="Z130" i="3"/>
  <c r="AA116" i="3"/>
  <c r="U122" i="3"/>
  <c r="AA109" i="3"/>
  <c r="AA130" i="3"/>
  <c r="W109" i="3"/>
  <c r="X120" i="3"/>
  <c r="AC128" i="3"/>
  <c r="AB117" i="3"/>
  <c r="W110" i="3"/>
  <c r="V125" i="3"/>
  <c r="Y106" i="3"/>
  <c r="U121" i="3"/>
  <c r="Z128" i="3"/>
  <c r="X117" i="3"/>
  <c r="Y113" i="3"/>
  <c r="AC110" i="3"/>
  <c r="W129" i="3"/>
  <c r="AA125" i="3"/>
  <c r="AA106" i="3"/>
  <c r="T115" i="3"/>
  <c r="Z121" i="3"/>
  <c r="W117" i="3"/>
  <c r="U113" i="3"/>
  <c r="Y110" i="3"/>
  <c r="AC129" i="3"/>
  <c r="Z125" i="3"/>
  <c r="Z106" i="3"/>
  <c r="AD128" i="3"/>
  <c r="Z113" i="3"/>
  <c r="U110" i="3"/>
  <c r="AB129" i="3"/>
  <c r="AD125" i="3"/>
  <c r="AC106" i="3"/>
  <c r="Y121" i="3"/>
  <c r="T119" i="3"/>
  <c r="T107" i="3"/>
  <c r="Y124" i="3"/>
  <c r="AA118" i="3"/>
  <c r="AB119" i="3"/>
  <c r="V126" i="3"/>
  <c r="AB122" i="3"/>
  <c r="V119" i="3"/>
  <c r="V116" i="3"/>
  <c r="X127" i="3"/>
  <c r="Z122" i="3"/>
  <c r="AD109" i="3"/>
  <c r="Y112" i="3"/>
  <c r="Z124" i="3"/>
  <c r="W124" i="3"/>
  <c r="V122" i="3"/>
  <c r="AB123" i="3"/>
  <c r="W130" i="3"/>
  <c r="Z116" i="3"/>
  <c r="AC122" i="3"/>
  <c r="Z109" i="3"/>
  <c r="AD112" i="3"/>
  <c r="U112" i="3"/>
  <c r="Y116" i="3"/>
  <c r="X128" i="3"/>
  <c r="Y117" i="3"/>
  <c r="AA115" i="3"/>
  <c r="AA121" i="3"/>
  <c r="V113" i="3"/>
  <c r="T129" i="3"/>
  <c r="X125" i="3"/>
  <c r="Z115" i="3"/>
  <c r="W128" i="3"/>
  <c r="Z117" i="3"/>
  <c r="AA113" i="3"/>
  <c r="V110" i="3"/>
  <c r="AC115" i="3"/>
  <c r="AD121" i="3"/>
  <c r="AD117" i="3"/>
  <c r="AA110" i="3"/>
  <c r="Y129" i="3"/>
  <c r="AC125" i="3"/>
  <c r="V121" i="3"/>
  <c r="T123" i="3"/>
  <c r="T118" i="3"/>
  <c r="Y119" i="3"/>
  <c r="T122" i="3"/>
  <c r="V109" i="3"/>
  <c r="AB114" i="3"/>
  <c r="AD124" i="3"/>
  <c r="AB116" i="3"/>
  <c r="Z126" i="3"/>
  <c r="W127" i="3"/>
  <c r="X130" i="3"/>
  <c r="W122" i="3"/>
  <c r="Y131" i="3"/>
  <c r="Y123" i="3"/>
  <c r="Z108" i="3"/>
  <c r="X122" i="3"/>
  <c r="X114" i="3"/>
  <c r="AC116" i="3"/>
  <c r="S123" i="3"/>
  <c r="S108" i="3"/>
  <c r="AO147" i="3"/>
  <c r="BO39" i="43" s="1"/>
  <c r="AF125" i="3"/>
  <c r="AF127" i="3"/>
  <c r="AF124" i="3"/>
  <c r="AF122" i="3"/>
  <c r="AF115" i="3"/>
  <c r="AF131" i="3"/>
  <c r="AF118" i="3"/>
  <c r="AF120" i="3"/>
  <c r="T109" i="3"/>
  <c r="AF107" i="3"/>
  <c r="AF112" i="3"/>
  <c r="T130" i="3"/>
  <c r="T105" i="3"/>
  <c r="AF117" i="3"/>
  <c r="AF119" i="3"/>
  <c r="AF121" i="3"/>
  <c r="AF105" i="3"/>
  <c r="AF128" i="3"/>
  <c r="AF106" i="3"/>
  <c r="AF113" i="3"/>
  <c r="AF129" i="3"/>
  <c r="AF130" i="3"/>
  <c r="AF111" i="3"/>
  <c r="T114" i="3"/>
  <c r="T120" i="3"/>
  <c r="T116" i="3"/>
  <c r="T117" i="3"/>
  <c r="T106" i="3"/>
  <c r="AF126" i="3"/>
  <c r="AF110" i="3"/>
  <c r="AO140" i="3"/>
  <c r="BO39" i="35" s="1"/>
  <c r="AF116" i="3"/>
  <c r="AF114" i="3"/>
  <c r="AF123" i="3"/>
  <c r="AF109" i="3"/>
  <c r="AF108" i="3"/>
  <c r="AO136" i="3"/>
  <c r="BO39" i="31" s="1"/>
  <c r="AE131" i="3"/>
  <c r="AE128" i="3"/>
  <c r="O127" i="3"/>
  <c r="AE124" i="3"/>
  <c r="AE122" i="3"/>
  <c r="AE118" i="3"/>
  <c r="AE116" i="3"/>
  <c r="AE114" i="3"/>
  <c r="AE113" i="3"/>
  <c r="AE110" i="3"/>
  <c r="AE106" i="3"/>
  <c r="AU105" i="3"/>
  <c r="AD104" i="3"/>
  <c r="BK19" i="31"/>
  <c r="Z104" i="3"/>
  <c r="BG19" i="31"/>
  <c r="V104" i="3"/>
  <c r="BC19" i="31"/>
  <c r="AE105" i="3"/>
  <c r="AT104" i="3"/>
  <c r="BK18" i="31" s="1"/>
  <c r="AP104" i="3"/>
  <c r="BG18" i="31" s="1"/>
  <c r="AL104" i="3"/>
  <c r="BC18" i="31" s="1"/>
  <c r="AC104" i="3"/>
  <c r="BJ19" i="31"/>
  <c r="AB104" i="3"/>
  <c r="BI19" i="31"/>
  <c r="AA104" i="3"/>
  <c r="BH19" i="31"/>
  <c r="Y104" i="3"/>
  <c r="BF19" i="31"/>
  <c r="X104" i="3"/>
  <c r="BE19" i="31"/>
  <c r="W104" i="3"/>
  <c r="BD19" i="31"/>
  <c r="U104" i="3"/>
  <c r="BB19" i="31"/>
  <c r="T104" i="3"/>
  <c r="BA19" i="31"/>
  <c r="S104" i="3"/>
  <c r="AE104" i="3"/>
  <c r="AZ19" i="31"/>
  <c r="AE126" i="3"/>
  <c r="AE108" i="3"/>
  <c r="AE112" i="3"/>
  <c r="AE120" i="3"/>
  <c r="AE129" i="3"/>
  <c r="AE109" i="3"/>
  <c r="AE117" i="3"/>
  <c r="AE121" i="3"/>
  <c r="AE125" i="3"/>
  <c r="AE130" i="3"/>
  <c r="AE107" i="3"/>
  <c r="AE111" i="3"/>
  <c r="AE115" i="3"/>
  <c r="AE119" i="3"/>
  <c r="AE123" i="3"/>
  <c r="AE127" i="3"/>
  <c r="AU128" i="3"/>
  <c r="AU129" i="3"/>
  <c r="AU118" i="3"/>
  <c r="AT99" i="3"/>
  <c r="AU18" i="38" s="1"/>
  <c r="AS99" i="3"/>
  <c r="AT18" i="38" s="1"/>
  <c r="AR99" i="3"/>
  <c r="AS18" i="38" s="1"/>
  <c r="AQ99" i="3"/>
  <c r="AR18" i="38" s="1"/>
  <c r="AP99" i="3"/>
  <c r="AQ18" i="38" s="1"/>
  <c r="AO99" i="3"/>
  <c r="AP18" i="38" s="1"/>
  <c r="AN99" i="3"/>
  <c r="AO18" i="38" s="1"/>
  <c r="AM99" i="3"/>
  <c r="AN18" i="38" s="1"/>
  <c r="AL99" i="3"/>
  <c r="AM18" i="38" s="1"/>
  <c r="AK99" i="3"/>
  <c r="AL18" i="38" s="1"/>
  <c r="AJ99" i="3"/>
  <c r="AK18" i="38" s="1"/>
  <c r="AI99" i="3"/>
  <c r="AT98" i="3"/>
  <c r="AU18" i="58" s="1"/>
  <c r="AS98" i="3"/>
  <c r="AT18" i="58" s="1"/>
  <c r="AR98" i="3"/>
  <c r="AS18" i="58" s="1"/>
  <c r="AQ98" i="3"/>
  <c r="AR18" i="58" s="1"/>
  <c r="AP98" i="3"/>
  <c r="AQ18" i="58" s="1"/>
  <c r="AO98" i="3"/>
  <c r="AP18" i="58" s="1"/>
  <c r="AN98" i="3"/>
  <c r="AO18" i="58" s="1"/>
  <c r="AM98" i="3"/>
  <c r="AN18" i="58" s="1"/>
  <c r="AL98" i="3"/>
  <c r="AM18" i="58" s="1"/>
  <c r="AK98" i="3"/>
  <c r="AL18" i="58" s="1"/>
  <c r="AJ98" i="3"/>
  <c r="AI98" i="3"/>
  <c r="AJ18" i="58" s="1"/>
  <c r="AT97" i="3"/>
  <c r="AU18" i="57"/>
  <c r="AS97" i="3"/>
  <c r="AT18" i="57" s="1"/>
  <c r="AR97" i="3"/>
  <c r="AS18" i="57" s="1"/>
  <c r="AQ97" i="3"/>
  <c r="AR18" i="57" s="1"/>
  <c r="AP97" i="3"/>
  <c r="AQ18" i="57" s="1"/>
  <c r="AO97" i="3"/>
  <c r="AP18" i="57" s="1"/>
  <c r="AN97" i="3"/>
  <c r="AO18" i="57" s="1"/>
  <c r="AM97" i="3"/>
  <c r="AN18" i="57" s="1"/>
  <c r="AL97" i="3"/>
  <c r="AM18" i="57" s="1"/>
  <c r="AK97" i="3"/>
  <c r="AL18" i="57" s="1"/>
  <c r="AJ97" i="3"/>
  <c r="AI97" i="3"/>
  <c r="AJ18" i="57" s="1"/>
  <c r="AT96" i="3"/>
  <c r="AU18" i="56" s="1"/>
  <c r="AS96" i="3"/>
  <c r="AT18" i="56" s="1"/>
  <c r="AR96" i="3"/>
  <c r="AS18" i="56" s="1"/>
  <c r="AQ96" i="3"/>
  <c r="AR18" i="56" s="1"/>
  <c r="AP96" i="3"/>
  <c r="AQ18" i="56" s="1"/>
  <c r="AO96" i="3"/>
  <c r="AP18" i="56" s="1"/>
  <c r="AN96" i="3"/>
  <c r="AO18" i="56" s="1"/>
  <c r="AM96" i="3"/>
  <c r="AN18" i="56" s="1"/>
  <c r="AL96" i="3"/>
  <c r="AM18" i="56" s="1"/>
  <c r="AK96" i="3"/>
  <c r="AL18" i="56" s="1"/>
  <c r="AJ96" i="3"/>
  <c r="AK18" i="56" s="1"/>
  <c r="AI96" i="3"/>
  <c r="AT95" i="3"/>
  <c r="AU18" i="55" s="1"/>
  <c r="AS95" i="3"/>
  <c r="AT18" i="55" s="1"/>
  <c r="AR95" i="3"/>
  <c r="AS18" i="55" s="1"/>
  <c r="AQ95" i="3"/>
  <c r="AR18" i="55" s="1"/>
  <c r="AP95" i="3"/>
  <c r="AQ18" i="55" s="1"/>
  <c r="AO95" i="3"/>
  <c r="AP18" i="55" s="1"/>
  <c r="AN95" i="3"/>
  <c r="AO18" i="55" s="1"/>
  <c r="AM95" i="3"/>
  <c r="AN18" i="55" s="1"/>
  <c r="AL95" i="3"/>
  <c r="AM18" i="55" s="1"/>
  <c r="AK95" i="3"/>
  <c r="AL18" i="55" s="1"/>
  <c r="AJ95" i="3"/>
  <c r="AK18" i="55" s="1"/>
  <c r="AI95" i="3"/>
  <c r="AT94" i="3"/>
  <c r="AU18" i="54" s="1"/>
  <c r="AS94" i="3"/>
  <c r="AT18" i="54" s="1"/>
  <c r="AR94" i="3"/>
  <c r="AQ94" i="3"/>
  <c r="AR18" i="54" s="1"/>
  <c r="AP94" i="3"/>
  <c r="AQ18" i="54" s="1"/>
  <c r="AO94" i="3"/>
  <c r="AP18" i="54" s="1"/>
  <c r="AN94" i="3"/>
  <c r="AO18" i="54" s="1"/>
  <c r="AM94" i="3"/>
  <c r="AN18" i="54" s="1"/>
  <c r="AL94" i="3"/>
  <c r="AM18" i="54" s="1"/>
  <c r="AK94" i="3"/>
  <c r="AL18" i="54" s="1"/>
  <c r="AJ94" i="3"/>
  <c r="AK18" i="54" s="1"/>
  <c r="AI94" i="3"/>
  <c r="AJ18" i="54" s="1"/>
  <c r="AT93" i="3"/>
  <c r="AU18" i="53" s="1"/>
  <c r="AS93" i="3"/>
  <c r="AT18" i="53" s="1"/>
  <c r="AR93" i="3"/>
  <c r="AS18" i="53" s="1"/>
  <c r="AQ93" i="3"/>
  <c r="AR18" i="53" s="1"/>
  <c r="AP93" i="3"/>
  <c r="AQ18" i="53" s="1"/>
  <c r="AO93" i="3"/>
  <c r="AP18" i="53" s="1"/>
  <c r="AN93" i="3"/>
  <c r="AO18" i="53" s="1"/>
  <c r="AM93" i="3"/>
  <c r="AN18" i="53" s="1"/>
  <c r="AL93" i="3"/>
  <c r="AM18" i="53" s="1"/>
  <c r="AK93" i="3"/>
  <c r="AL18" i="53" s="1"/>
  <c r="AJ93" i="3"/>
  <c r="AK18" i="53" s="1"/>
  <c r="AI93" i="3"/>
  <c r="AJ18" i="53" s="1"/>
  <c r="AT92" i="3"/>
  <c r="AU18" i="52" s="1"/>
  <c r="AS92" i="3"/>
  <c r="AT18" i="52" s="1"/>
  <c r="AR92" i="3"/>
  <c r="AS18" i="52" s="1"/>
  <c r="AQ92" i="3"/>
  <c r="AR18" i="52" s="1"/>
  <c r="AP92" i="3"/>
  <c r="AQ18" i="52" s="1"/>
  <c r="AO92" i="3"/>
  <c r="AP18" i="52" s="1"/>
  <c r="AN92" i="3"/>
  <c r="AO18" i="52" s="1"/>
  <c r="AM92" i="3"/>
  <c r="AN18" i="52" s="1"/>
  <c r="AL92" i="3"/>
  <c r="AM18" i="52" s="1"/>
  <c r="AK92" i="3"/>
  <c r="AL18" i="52" s="1"/>
  <c r="AJ92" i="3"/>
  <c r="AK18" i="52" s="1"/>
  <c r="AI92" i="3"/>
  <c r="AT91" i="3"/>
  <c r="AU18" i="51" s="1"/>
  <c r="AS91" i="3"/>
  <c r="AT18" i="51" s="1"/>
  <c r="AR91" i="3"/>
  <c r="AS18" i="51" s="1"/>
  <c r="AQ91" i="3"/>
  <c r="AR18" i="51" s="1"/>
  <c r="AP91" i="3"/>
  <c r="AQ18" i="51" s="1"/>
  <c r="AO91" i="3"/>
  <c r="AP18" i="51" s="1"/>
  <c r="AN91" i="3"/>
  <c r="AO18" i="51" s="1"/>
  <c r="AM91" i="3"/>
  <c r="AN18" i="51" s="1"/>
  <c r="AL91" i="3"/>
  <c r="AM18" i="51" s="1"/>
  <c r="AK91" i="3"/>
  <c r="AL18" i="51" s="1"/>
  <c r="AJ91" i="3"/>
  <c r="AI91" i="3"/>
  <c r="AJ18" i="51" s="1"/>
  <c r="AT90" i="3"/>
  <c r="AU18" i="50" s="1"/>
  <c r="AS90" i="3"/>
  <c r="AT18" i="50" s="1"/>
  <c r="AR90" i="3"/>
  <c r="AS18" i="50" s="1"/>
  <c r="AQ90" i="3"/>
  <c r="AR18" i="50" s="1"/>
  <c r="AP90" i="3"/>
  <c r="AQ18" i="50" s="1"/>
  <c r="AO90" i="3"/>
  <c r="AP18" i="50" s="1"/>
  <c r="AN90" i="3"/>
  <c r="AO18" i="50" s="1"/>
  <c r="AM90" i="3"/>
  <c r="AN18" i="50" s="1"/>
  <c r="AL90" i="3"/>
  <c r="AM18" i="50" s="1"/>
  <c r="AK90" i="3"/>
  <c r="AL18" i="50" s="1"/>
  <c r="AJ90" i="3"/>
  <c r="AI90" i="3"/>
  <c r="AJ18" i="50"/>
  <c r="AT89" i="3"/>
  <c r="AU18" i="49" s="1"/>
  <c r="AS89" i="3"/>
  <c r="AT18" i="49" s="1"/>
  <c r="AR89" i="3"/>
  <c r="AS18" i="49" s="1"/>
  <c r="AQ89" i="3"/>
  <c r="AR18" i="49" s="1"/>
  <c r="AP89" i="3"/>
  <c r="AQ18" i="49" s="1"/>
  <c r="AO89" i="3"/>
  <c r="AP18" i="49" s="1"/>
  <c r="AN89" i="3"/>
  <c r="AO18" i="49" s="1"/>
  <c r="AM89" i="3"/>
  <c r="AN18" i="49" s="1"/>
  <c r="AL89" i="3"/>
  <c r="AM18" i="49" s="1"/>
  <c r="AK89" i="3"/>
  <c r="AL18" i="49" s="1"/>
  <c r="AJ89" i="3"/>
  <c r="AK18" i="49" s="1"/>
  <c r="AI89" i="3"/>
  <c r="AJ18" i="49" s="1"/>
  <c r="AW18" i="49" s="1"/>
  <c r="AT88" i="3"/>
  <c r="AU18" i="48" s="1"/>
  <c r="AS88" i="3"/>
  <c r="AT18" i="48" s="1"/>
  <c r="AR88" i="3"/>
  <c r="AS18" i="48" s="1"/>
  <c r="AQ88" i="3"/>
  <c r="AR18" i="48" s="1"/>
  <c r="AP88" i="3"/>
  <c r="AQ18" i="48" s="1"/>
  <c r="AO88" i="3"/>
  <c r="AP18" i="48" s="1"/>
  <c r="AN88" i="3"/>
  <c r="AO18" i="48" s="1"/>
  <c r="AM88" i="3"/>
  <c r="AN18" i="48" s="1"/>
  <c r="AL88" i="3"/>
  <c r="AM18" i="48" s="1"/>
  <c r="AK88" i="3"/>
  <c r="AL18" i="48" s="1"/>
  <c r="AJ88" i="3"/>
  <c r="AK18" i="48" s="1"/>
  <c r="AI88" i="3"/>
  <c r="AJ18" i="48" s="1"/>
  <c r="AT87" i="3"/>
  <c r="AU18" i="47" s="1"/>
  <c r="AS87" i="3"/>
  <c r="AT18" i="47" s="1"/>
  <c r="AR87" i="3"/>
  <c r="AS18" i="47" s="1"/>
  <c r="AQ87" i="3"/>
  <c r="AR18" i="47" s="1"/>
  <c r="AP87" i="3"/>
  <c r="AQ18" i="47" s="1"/>
  <c r="AO87" i="3"/>
  <c r="AP18" i="47" s="1"/>
  <c r="AN87" i="3"/>
  <c r="AO18" i="47" s="1"/>
  <c r="AM87" i="3"/>
  <c r="AN18" i="47" s="1"/>
  <c r="AL87" i="3"/>
  <c r="AM18" i="47" s="1"/>
  <c r="AK87" i="3"/>
  <c r="AL18" i="47" s="1"/>
  <c r="AJ87" i="3"/>
  <c r="AK18" i="47" s="1"/>
  <c r="AI87" i="3"/>
  <c r="AJ18" i="47" s="1"/>
  <c r="AW18" i="47" s="1"/>
  <c r="AT86" i="3"/>
  <c r="AU18" i="46" s="1"/>
  <c r="AS86" i="3"/>
  <c r="AT18" i="46" s="1"/>
  <c r="AR86" i="3"/>
  <c r="AS18" i="46" s="1"/>
  <c r="AQ86" i="3"/>
  <c r="AR18" i="46" s="1"/>
  <c r="AP86" i="3"/>
  <c r="AQ18" i="46" s="1"/>
  <c r="AO86" i="3"/>
  <c r="AP18" i="46" s="1"/>
  <c r="AN86" i="3"/>
  <c r="AO18" i="46" s="1"/>
  <c r="AM86" i="3"/>
  <c r="AN18" i="46" s="1"/>
  <c r="AL86" i="3"/>
  <c r="AM18" i="46" s="1"/>
  <c r="AK86" i="3"/>
  <c r="AL18" i="46" s="1"/>
  <c r="AJ86" i="3"/>
  <c r="AI86" i="3"/>
  <c r="AJ18" i="46" s="1"/>
  <c r="AT85" i="3"/>
  <c r="AU18" i="45" s="1"/>
  <c r="AS85" i="3"/>
  <c r="AT18" i="45" s="1"/>
  <c r="AR85" i="3"/>
  <c r="AS18" i="45" s="1"/>
  <c r="AQ85" i="3"/>
  <c r="AR18" i="45" s="1"/>
  <c r="AP85" i="3"/>
  <c r="AQ18" i="45" s="1"/>
  <c r="AO85" i="3"/>
  <c r="AP18" i="45" s="1"/>
  <c r="AN85" i="3"/>
  <c r="AO18" i="45" s="1"/>
  <c r="AM85" i="3"/>
  <c r="AN18" i="45" s="1"/>
  <c r="AL85" i="3"/>
  <c r="AM18" i="45" s="1"/>
  <c r="AK85" i="3"/>
  <c r="AL18" i="45" s="1"/>
  <c r="AJ85" i="3"/>
  <c r="AI85" i="3"/>
  <c r="AJ18" i="45" s="1"/>
  <c r="AT84" i="3"/>
  <c r="AU18" i="44" s="1"/>
  <c r="AS84" i="3"/>
  <c r="AT18" i="44" s="1"/>
  <c r="AR84" i="3"/>
  <c r="AS18" i="44" s="1"/>
  <c r="AQ84" i="3"/>
  <c r="AR18" i="44" s="1"/>
  <c r="AP84" i="3"/>
  <c r="AQ18" i="44" s="1"/>
  <c r="AO84" i="3"/>
  <c r="AP18" i="44" s="1"/>
  <c r="AN84" i="3"/>
  <c r="AO18" i="44" s="1"/>
  <c r="AM84" i="3"/>
  <c r="AN18" i="44" s="1"/>
  <c r="AL84" i="3"/>
  <c r="AM18" i="44" s="1"/>
  <c r="AK84" i="3"/>
  <c r="AL18" i="44" s="1"/>
  <c r="AJ84" i="3"/>
  <c r="AI84" i="3"/>
  <c r="AJ18" i="44" s="1"/>
  <c r="AT83" i="3"/>
  <c r="AU18" i="43"/>
  <c r="AS83" i="3"/>
  <c r="AT18" i="43" s="1"/>
  <c r="AR83" i="3"/>
  <c r="AS18" i="43" s="1"/>
  <c r="AQ83" i="3"/>
  <c r="AR18" i="43" s="1"/>
  <c r="AP83" i="3"/>
  <c r="AQ18" i="43" s="1"/>
  <c r="AO83" i="3"/>
  <c r="AP18" i="43" s="1"/>
  <c r="AN83" i="3"/>
  <c r="AO18" i="43" s="1"/>
  <c r="AM83" i="3"/>
  <c r="AN18" i="43" s="1"/>
  <c r="AL83" i="3"/>
  <c r="AM18" i="43" s="1"/>
  <c r="AK83" i="3"/>
  <c r="AL18" i="43" s="1"/>
  <c r="AJ83" i="3"/>
  <c r="AK18" i="43" s="1"/>
  <c r="AI83" i="3"/>
  <c r="AJ18" i="43" s="1"/>
  <c r="AT82" i="3"/>
  <c r="AU18" i="42" s="1"/>
  <c r="AS82" i="3"/>
  <c r="AT18" i="42" s="1"/>
  <c r="AR82" i="3"/>
  <c r="AS18" i="42" s="1"/>
  <c r="AQ82" i="3"/>
  <c r="AR18" i="42" s="1"/>
  <c r="AP82" i="3"/>
  <c r="AQ18" i="42"/>
  <c r="AO82" i="3"/>
  <c r="AP18" i="42" s="1"/>
  <c r="AN82" i="3"/>
  <c r="AO18" i="42" s="1"/>
  <c r="AM82" i="3"/>
  <c r="AN18" i="42" s="1"/>
  <c r="AL82" i="3"/>
  <c r="AM18" i="42" s="1"/>
  <c r="AK82" i="3"/>
  <c r="AL18" i="42" s="1"/>
  <c r="AJ82" i="3"/>
  <c r="AI82" i="3"/>
  <c r="AJ18" i="42" s="1"/>
  <c r="AT81" i="3"/>
  <c r="AU18" i="41" s="1"/>
  <c r="AS81" i="3"/>
  <c r="AT18" i="41" s="1"/>
  <c r="AR81" i="3"/>
  <c r="AS18" i="41" s="1"/>
  <c r="AQ81" i="3"/>
  <c r="AR18" i="41" s="1"/>
  <c r="AP81" i="3"/>
  <c r="AQ18" i="41" s="1"/>
  <c r="AO81" i="3"/>
  <c r="AP18" i="41" s="1"/>
  <c r="AN81" i="3"/>
  <c r="AO18" i="41" s="1"/>
  <c r="AM81" i="3"/>
  <c r="AN18" i="41" s="1"/>
  <c r="AL81" i="3"/>
  <c r="AM18" i="41" s="1"/>
  <c r="AK81" i="3"/>
  <c r="AL18" i="41" s="1"/>
  <c r="AJ81" i="3"/>
  <c r="AI81" i="3"/>
  <c r="AJ18" i="41"/>
  <c r="AT80" i="3"/>
  <c r="AU18" i="40" s="1"/>
  <c r="AS80" i="3"/>
  <c r="AT18" i="40" s="1"/>
  <c r="AR80" i="3"/>
  <c r="AS18" i="40" s="1"/>
  <c r="AQ80" i="3"/>
  <c r="AR18" i="40" s="1"/>
  <c r="AP80" i="3"/>
  <c r="AQ18" i="40" s="1"/>
  <c r="AO80" i="3"/>
  <c r="AP18" i="40" s="1"/>
  <c r="AN80" i="3"/>
  <c r="AO18" i="40" s="1"/>
  <c r="AM80" i="3"/>
  <c r="AN18" i="40" s="1"/>
  <c r="AL80" i="3"/>
  <c r="AM18" i="40" s="1"/>
  <c r="AK80" i="3"/>
  <c r="AL18" i="40" s="1"/>
  <c r="AJ80" i="3"/>
  <c r="AI80" i="3"/>
  <c r="AJ18" i="40" s="1"/>
  <c r="AT79" i="3"/>
  <c r="AU18" i="39" s="1"/>
  <c r="AS79" i="3"/>
  <c r="AT18" i="39" s="1"/>
  <c r="AR79" i="3"/>
  <c r="AS18" i="39" s="1"/>
  <c r="AQ79" i="3"/>
  <c r="AR18" i="39" s="1"/>
  <c r="AP79" i="3"/>
  <c r="AQ18" i="39" s="1"/>
  <c r="AO79" i="3"/>
  <c r="AP18" i="39" s="1"/>
  <c r="AN79" i="3"/>
  <c r="AO18" i="39" s="1"/>
  <c r="AM79" i="3"/>
  <c r="AN18" i="39"/>
  <c r="AL79" i="3"/>
  <c r="AM18" i="39" s="1"/>
  <c r="AK79" i="3"/>
  <c r="AL18" i="39" s="1"/>
  <c r="AJ79" i="3"/>
  <c r="AI79" i="3"/>
  <c r="AJ18" i="39" s="1"/>
  <c r="AT78" i="3"/>
  <c r="AU18" i="37" s="1"/>
  <c r="AS78" i="3"/>
  <c r="AT18" i="37" s="1"/>
  <c r="AR78" i="3"/>
  <c r="AS18" i="37" s="1"/>
  <c r="AQ78" i="3"/>
  <c r="AR18" i="37" s="1"/>
  <c r="AP78" i="3"/>
  <c r="AQ18" i="37" s="1"/>
  <c r="AO78" i="3"/>
  <c r="AP18" i="37" s="1"/>
  <c r="AN78" i="3"/>
  <c r="AO18" i="37" s="1"/>
  <c r="AM78" i="3"/>
  <c r="AN18" i="37" s="1"/>
  <c r="AL78" i="3"/>
  <c r="AM18" i="37" s="1"/>
  <c r="AK78" i="3"/>
  <c r="AL18" i="37" s="1"/>
  <c r="AJ78" i="3"/>
  <c r="AK18" i="37" s="1"/>
  <c r="AI78" i="3"/>
  <c r="AJ18" i="37" s="1"/>
  <c r="AW18" i="37" s="1"/>
  <c r="AT77" i="3"/>
  <c r="AU18" i="36" s="1"/>
  <c r="AS77" i="3"/>
  <c r="AT18" i="36" s="1"/>
  <c r="AR77" i="3"/>
  <c r="AS18" i="36" s="1"/>
  <c r="AQ77" i="3"/>
  <c r="AR18" i="36" s="1"/>
  <c r="AP77" i="3"/>
  <c r="AQ18" i="36" s="1"/>
  <c r="AO77" i="3"/>
  <c r="AP18" i="36" s="1"/>
  <c r="AN77" i="3"/>
  <c r="AO18" i="36" s="1"/>
  <c r="AM77" i="3"/>
  <c r="AN18" i="36" s="1"/>
  <c r="AL77" i="3"/>
  <c r="AM18" i="36" s="1"/>
  <c r="AK77" i="3"/>
  <c r="AL18" i="36" s="1"/>
  <c r="AJ77" i="3"/>
  <c r="AK18" i="36" s="1"/>
  <c r="AI77" i="3"/>
  <c r="AJ18" i="36" s="1"/>
  <c r="AW18" i="36" s="1"/>
  <c r="AT76" i="3"/>
  <c r="AU18" i="35" s="1"/>
  <c r="AS76" i="3"/>
  <c r="AR76" i="3"/>
  <c r="AS18" i="35" s="1"/>
  <c r="AQ76" i="3"/>
  <c r="AP76" i="3"/>
  <c r="AQ18" i="35" s="1"/>
  <c r="AO76" i="3"/>
  <c r="AP18" i="35" s="1"/>
  <c r="AN76" i="3"/>
  <c r="AO18" i="35" s="1"/>
  <c r="AM76" i="3"/>
  <c r="AN18" i="35" s="1"/>
  <c r="AL76" i="3"/>
  <c r="AM18" i="35" s="1"/>
  <c r="AK76" i="3"/>
  <c r="AL18" i="35" s="1"/>
  <c r="AJ76" i="3"/>
  <c r="AI76" i="3"/>
  <c r="AJ18" i="35" s="1"/>
  <c r="AT75" i="3"/>
  <c r="AU18" i="34" s="1"/>
  <c r="AS75" i="3"/>
  <c r="AT18" i="34" s="1"/>
  <c r="AR75" i="3"/>
  <c r="AS18" i="34" s="1"/>
  <c r="AQ75" i="3"/>
  <c r="AR18" i="34" s="1"/>
  <c r="AP75" i="3"/>
  <c r="AQ18" i="34" s="1"/>
  <c r="AO75" i="3"/>
  <c r="AP18" i="34" s="1"/>
  <c r="AN75" i="3"/>
  <c r="AO18" i="34" s="1"/>
  <c r="AM75" i="3"/>
  <c r="AN18" i="34" s="1"/>
  <c r="AL75" i="3"/>
  <c r="AM18" i="34" s="1"/>
  <c r="AK75" i="3"/>
  <c r="AL18" i="34" s="1"/>
  <c r="AJ75" i="3"/>
  <c r="AI75" i="3"/>
  <c r="AJ18" i="34" s="1"/>
  <c r="AT74" i="3"/>
  <c r="AU18" i="33" s="1"/>
  <c r="AS74" i="3"/>
  <c r="AT18" i="33" s="1"/>
  <c r="AR74" i="3"/>
  <c r="AS18" i="33" s="1"/>
  <c r="AQ74" i="3"/>
  <c r="AR18" i="33" s="1"/>
  <c r="AP74" i="3"/>
  <c r="AQ18" i="33" s="1"/>
  <c r="AO74" i="3"/>
  <c r="AP18" i="33" s="1"/>
  <c r="AN74" i="3"/>
  <c r="AO18" i="33" s="1"/>
  <c r="AM74" i="3"/>
  <c r="AN18" i="33" s="1"/>
  <c r="AL74" i="3"/>
  <c r="AK74" i="3"/>
  <c r="AL18" i="33" s="1"/>
  <c r="AJ74" i="3"/>
  <c r="AI74" i="3"/>
  <c r="AJ18" i="33" s="1"/>
  <c r="AT73" i="3"/>
  <c r="AS73" i="3"/>
  <c r="AT18" i="32" s="1"/>
  <c r="AR73" i="3"/>
  <c r="AS18" i="32" s="1"/>
  <c r="AQ73" i="3"/>
  <c r="AP73" i="3"/>
  <c r="AO73" i="3"/>
  <c r="AN73" i="3"/>
  <c r="AO18" i="32" s="1"/>
  <c r="AM73" i="3"/>
  <c r="AL73" i="3"/>
  <c r="AM18" i="32" s="1"/>
  <c r="AK73" i="3"/>
  <c r="AL18" i="32" s="1"/>
  <c r="AJ73" i="3"/>
  <c r="AK18" i="32" s="1"/>
  <c r="AI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73" i="3"/>
  <c r="AD99" i="3"/>
  <c r="AC99" i="3"/>
  <c r="AB99" i="3"/>
  <c r="AA99" i="3"/>
  <c r="Z99" i="3"/>
  <c r="Y99" i="3"/>
  <c r="X99" i="3"/>
  <c r="W99" i="3"/>
  <c r="V99" i="3"/>
  <c r="U99" i="3"/>
  <c r="T99" i="3"/>
  <c r="S99" i="3"/>
  <c r="AD98" i="3"/>
  <c r="AC98" i="3"/>
  <c r="AB98" i="3"/>
  <c r="AA98" i="3"/>
  <c r="Z98" i="3"/>
  <c r="Y98" i="3"/>
  <c r="X98" i="3"/>
  <c r="W98" i="3"/>
  <c r="V98" i="3"/>
  <c r="U98" i="3"/>
  <c r="T98" i="3"/>
  <c r="S98" i="3"/>
  <c r="AD97" i="3"/>
  <c r="AC97" i="3"/>
  <c r="AB97" i="3"/>
  <c r="AA97" i="3"/>
  <c r="Z97" i="3"/>
  <c r="Y97" i="3"/>
  <c r="X97" i="3"/>
  <c r="W97" i="3"/>
  <c r="V97" i="3"/>
  <c r="U97" i="3"/>
  <c r="T97" i="3"/>
  <c r="S97" i="3"/>
  <c r="AD96" i="3"/>
  <c r="AC96" i="3"/>
  <c r="AB96" i="3"/>
  <c r="AA96" i="3"/>
  <c r="Z96" i="3"/>
  <c r="Y96" i="3"/>
  <c r="X96" i="3"/>
  <c r="W96" i="3"/>
  <c r="V96" i="3"/>
  <c r="U96" i="3"/>
  <c r="T96" i="3"/>
  <c r="S96" i="3"/>
  <c r="AD95" i="3"/>
  <c r="AC95" i="3"/>
  <c r="AB95" i="3"/>
  <c r="AA95" i="3"/>
  <c r="Z95" i="3"/>
  <c r="Y95" i="3"/>
  <c r="X95" i="3"/>
  <c r="W95" i="3"/>
  <c r="V95" i="3"/>
  <c r="U95" i="3"/>
  <c r="T95" i="3"/>
  <c r="S95" i="3"/>
  <c r="AD94" i="3"/>
  <c r="AC94" i="3"/>
  <c r="AB94" i="3"/>
  <c r="AA94" i="3"/>
  <c r="Z94" i="3"/>
  <c r="Y94" i="3"/>
  <c r="X94" i="3"/>
  <c r="W94" i="3"/>
  <c r="V94" i="3"/>
  <c r="U94" i="3"/>
  <c r="T94" i="3"/>
  <c r="S94" i="3"/>
  <c r="AD93" i="3"/>
  <c r="AC93" i="3"/>
  <c r="AB93" i="3"/>
  <c r="AA93" i="3"/>
  <c r="Z93" i="3"/>
  <c r="Y93" i="3"/>
  <c r="X93" i="3"/>
  <c r="W93" i="3"/>
  <c r="V93" i="3"/>
  <c r="U93" i="3"/>
  <c r="T93" i="3"/>
  <c r="S93" i="3"/>
  <c r="AD92" i="3"/>
  <c r="AC92" i="3"/>
  <c r="AB92" i="3"/>
  <c r="AA92" i="3"/>
  <c r="Z92" i="3"/>
  <c r="Y92" i="3"/>
  <c r="X92" i="3"/>
  <c r="W92" i="3"/>
  <c r="V92" i="3"/>
  <c r="U92" i="3"/>
  <c r="T92" i="3"/>
  <c r="S92" i="3"/>
  <c r="AD91" i="3"/>
  <c r="AC91" i="3"/>
  <c r="AB91" i="3"/>
  <c r="AA91" i="3"/>
  <c r="Z91" i="3"/>
  <c r="Y91" i="3"/>
  <c r="X91" i="3"/>
  <c r="W91" i="3"/>
  <c r="V91" i="3"/>
  <c r="U91" i="3"/>
  <c r="T91" i="3"/>
  <c r="S91" i="3"/>
  <c r="AD90" i="3"/>
  <c r="AC90" i="3"/>
  <c r="AB90" i="3"/>
  <c r="AA90" i="3"/>
  <c r="Z90" i="3"/>
  <c r="Y90" i="3"/>
  <c r="X90" i="3"/>
  <c r="W90" i="3"/>
  <c r="V90" i="3"/>
  <c r="U90" i="3"/>
  <c r="T90" i="3"/>
  <c r="S90" i="3"/>
  <c r="AD89" i="3"/>
  <c r="AC89" i="3"/>
  <c r="AB89" i="3"/>
  <c r="AA89" i="3"/>
  <c r="Z89" i="3"/>
  <c r="Y89" i="3"/>
  <c r="X89" i="3"/>
  <c r="W89" i="3"/>
  <c r="V89" i="3"/>
  <c r="U89" i="3"/>
  <c r="T89" i="3"/>
  <c r="S89" i="3"/>
  <c r="AD88" i="3"/>
  <c r="AC88" i="3"/>
  <c r="AB88" i="3"/>
  <c r="AA88" i="3"/>
  <c r="Z88" i="3"/>
  <c r="Y88" i="3"/>
  <c r="X88" i="3"/>
  <c r="W88" i="3"/>
  <c r="V88" i="3"/>
  <c r="U88" i="3"/>
  <c r="T88" i="3"/>
  <c r="S88" i="3"/>
  <c r="AD87" i="3"/>
  <c r="AC87" i="3"/>
  <c r="AB87" i="3"/>
  <c r="AA87" i="3"/>
  <c r="Z87" i="3"/>
  <c r="Y87" i="3"/>
  <c r="X87" i="3"/>
  <c r="W87" i="3"/>
  <c r="V87" i="3"/>
  <c r="U87" i="3"/>
  <c r="T87" i="3"/>
  <c r="S87" i="3"/>
  <c r="AD86" i="3"/>
  <c r="AC86" i="3"/>
  <c r="AB86" i="3"/>
  <c r="AA86" i="3"/>
  <c r="Z86" i="3"/>
  <c r="Y86" i="3"/>
  <c r="X86" i="3"/>
  <c r="W86" i="3"/>
  <c r="V86" i="3"/>
  <c r="U86" i="3"/>
  <c r="T86" i="3"/>
  <c r="S86" i="3"/>
  <c r="AD85" i="3"/>
  <c r="AC85" i="3"/>
  <c r="AB85" i="3"/>
  <c r="AA85" i="3"/>
  <c r="Z85" i="3"/>
  <c r="Y85" i="3"/>
  <c r="X85" i="3"/>
  <c r="W85" i="3"/>
  <c r="V85" i="3"/>
  <c r="U85" i="3"/>
  <c r="T85" i="3"/>
  <c r="S85" i="3"/>
  <c r="AD84" i="3"/>
  <c r="AC84" i="3"/>
  <c r="AB84" i="3"/>
  <c r="AA84" i="3"/>
  <c r="Z84" i="3"/>
  <c r="Y84" i="3"/>
  <c r="X84" i="3"/>
  <c r="W84" i="3"/>
  <c r="V84" i="3"/>
  <c r="U84" i="3"/>
  <c r="T84" i="3"/>
  <c r="S84" i="3"/>
  <c r="AD83" i="3"/>
  <c r="AC83" i="3"/>
  <c r="AB83" i="3"/>
  <c r="AA83" i="3"/>
  <c r="Z83" i="3"/>
  <c r="Y83" i="3"/>
  <c r="X83" i="3"/>
  <c r="W83" i="3"/>
  <c r="V83" i="3"/>
  <c r="U83" i="3"/>
  <c r="T83" i="3"/>
  <c r="S83" i="3"/>
  <c r="AD82" i="3"/>
  <c r="AC82" i="3"/>
  <c r="AB82" i="3"/>
  <c r="AA82" i="3"/>
  <c r="Z82" i="3"/>
  <c r="Y82" i="3"/>
  <c r="X82" i="3"/>
  <c r="W82" i="3"/>
  <c r="V82" i="3"/>
  <c r="U82" i="3"/>
  <c r="T82" i="3"/>
  <c r="S82" i="3"/>
  <c r="AD81" i="3"/>
  <c r="AC81" i="3"/>
  <c r="AB81" i="3"/>
  <c r="AA81" i="3"/>
  <c r="Z81" i="3"/>
  <c r="Y81" i="3"/>
  <c r="X81" i="3"/>
  <c r="W81" i="3"/>
  <c r="V81" i="3"/>
  <c r="U81" i="3"/>
  <c r="T81" i="3"/>
  <c r="S81" i="3"/>
  <c r="AD80" i="3"/>
  <c r="AC80" i="3"/>
  <c r="AB80" i="3"/>
  <c r="AA80" i="3"/>
  <c r="Z80" i="3"/>
  <c r="Y80" i="3"/>
  <c r="X80" i="3"/>
  <c r="W80" i="3"/>
  <c r="V80" i="3"/>
  <c r="U80" i="3"/>
  <c r="T80" i="3"/>
  <c r="S80" i="3"/>
  <c r="AD79" i="3"/>
  <c r="AC79" i="3"/>
  <c r="AB79" i="3"/>
  <c r="AA79" i="3"/>
  <c r="Z79" i="3"/>
  <c r="Y79" i="3"/>
  <c r="X79" i="3"/>
  <c r="W79" i="3"/>
  <c r="V79" i="3"/>
  <c r="U79" i="3"/>
  <c r="T79" i="3"/>
  <c r="S79" i="3"/>
  <c r="AD78" i="3"/>
  <c r="AC78" i="3"/>
  <c r="AB78" i="3"/>
  <c r="AA78" i="3"/>
  <c r="Z78" i="3"/>
  <c r="Y78" i="3"/>
  <c r="X78" i="3"/>
  <c r="W78" i="3"/>
  <c r="V78" i="3"/>
  <c r="U78" i="3"/>
  <c r="T78" i="3"/>
  <c r="S78" i="3"/>
  <c r="AD77" i="3"/>
  <c r="AC77" i="3"/>
  <c r="AB77" i="3"/>
  <c r="AA77" i="3"/>
  <c r="Z77" i="3"/>
  <c r="Y77" i="3"/>
  <c r="X77" i="3"/>
  <c r="W77" i="3"/>
  <c r="V77" i="3"/>
  <c r="U77" i="3"/>
  <c r="T77" i="3"/>
  <c r="S77" i="3"/>
  <c r="AD76" i="3"/>
  <c r="AC76" i="3"/>
  <c r="AB76" i="3"/>
  <c r="AA76" i="3"/>
  <c r="Z76" i="3"/>
  <c r="Y76" i="3"/>
  <c r="X76" i="3"/>
  <c r="W76" i="3"/>
  <c r="V76" i="3"/>
  <c r="U76" i="3"/>
  <c r="T76" i="3"/>
  <c r="S76" i="3"/>
  <c r="AD75" i="3"/>
  <c r="AC75" i="3"/>
  <c r="AB75" i="3"/>
  <c r="AA75" i="3"/>
  <c r="Z75" i="3"/>
  <c r="Y75" i="3"/>
  <c r="X75" i="3"/>
  <c r="W75" i="3"/>
  <c r="V75" i="3"/>
  <c r="U75" i="3"/>
  <c r="T75" i="3"/>
  <c r="S75" i="3"/>
  <c r="AD74" i="3"/>
  <c r="AC74" i="3"/>
  <c r="AB74" i="3"/>
  <c r="AA74" i="3"/>
  <c r="Z74" i="3"/>
  <c r="Y74" i="3"/>
  <c r="X74" i="3"/>
  <c r="W74" i="3"/>
  <c r="V74" i="3"/>
  <c r="U74" i="3"/>
  <c r="T74" i="3"/>
  <c r="S74" i="3"/>
  <c r="AD73" i="3"/>
  <c r="AD72" i="3"/>
  <c r="AU19" i="31"/>
  <c r="AC73" i="3"/>
  <c r="AB73" i="3"/>
  <c r="AB72" i="3"/>
  <c r="AS19" i="31"/>
  <c r="AA73" i="3"/>
  <c r="AA72" i="3"/>
  <c r="AR19" i="31"/>
  <c r="Z73" i="3"/>
  <c r="Y73" i="3"/>
  <c r="Y72" i="3"/>
  <c r="AP19" i="31"/>
  <c r="X73" i="3"/>
  <c r="X72" i="3"/>
  <c r="AO19" i="31"/>
  <c r="W73" i="3"/>
  <c r="W72" i="3"/>
  <c r="AN19" i="31"/>
  <c r="V73" i="3"/>
  <c r="V72" i="3"/>
  <c r="AM19" i="31"/>
  <c r="U73" i="3"/>
  <c r="U72" i="3"/>
  <c r="AL19" i="31"/>
  <c r="T73" i="3"/>
  <c r="T72" i="3"/>
  <c r="AK19" i="31"/>
  <c r="S73" i="3"/>
  <c r="S72" i="3"/>
  <c r="AJ19" i="31"/>
  <c r="AT20" i="38"/>
  <c r="AS20" i="38"/>
  <c r="AR20" i="38"/>
  <c r="AQ20" i="38"/>
  <c r="AP20" i="38"/>
  <c r="AO20" i="38"/>
  <c r="AN20" i="38"/>
  <c r="AM20" i="38"/>
  <c r="AL20" i="38"/>
  <c r="AK20" i="38"/>
  <c r="AJ20" i="38"/>
  <c r="AT20" i="58"/>
  <c r="AS20" i="58"/>
  <c r="AR20" i="58"/>
  <c r="AQ20" i="58"/>
  <c r="AP20" i="58"/>
  <c r="AO20" i="58"/>
  <c r="AN20" i="58"/>
  <c r="AM20" i="58"/>
  <c r="AL20" i="58"/>
  <c r="AK20" i="58"/>
  <c r="AJ20" i="58"/>
  <c r="AW20" i="58" s="1"/>
  <c r="AT20" i="57"/>
  <c r="AS20" i="57"/>
  <c r="AR20" i="57"/>
  <c r="AQ20" i="57"/>
  <c r="AP20" i="57"/>
  <c r="AO20" i="57"/>
  <c r="AN20" i="57"/>
  <c r="AM20" i="57"/>
  <c r="AL20" i="57"/>
  <c r="AK20" i="57"/>
  <c r="AJ20" i="57"/>
  <c r="AT20" i="56"/>
  <c r="AS20" i="56"/>
  <c r="AR20" i="56"/>
  <c r="AQ20" i="56"/>
  <c r="AP20" i="56"/>
  <c r="AO20" i="56"/>
  <c r="AN20" i="56"/>
  <c r="AM20" i="56"/>
  <c r="AL20" i="56"/>
  <c r="AK20" i="56"/>
  <c r="AJ20" i="56"/>
  <c r="AT20" i="55"/>
  <c r="AS20" i="55"/>
  <c r="AR20" i="55"/>
  <c r="AQ20" i="55"/>
  <c r="AP20" i="55"/>
  <c r="AO20" i="55"/>
  <c r="AN20" i="55"/>
  <c r="AM20" i="55"/>
  <c r="AL20" i="55"/>
  <c r="AK20" i="55"/>
  <c r="AJ20" i="55"/>
  <c r="AT20" i="54"/>
  <c r="AS20" i="54"/>
  <c r="AR20" i="54"/>
  <c r="AQ20" i="54"/>
  <c r="AP20" i="54"/>
  <c r="AO20" i="54"/>
  <c r="AN20" i="54"/>
  <c r="AM20" i="54"/>
  <c r="AL20" i="54"/>
  <c r="AK20" i="54"/>
  <c r="AJ20" i="54"/>
  <c r="AW20" i="54" s="1"/>
  <c r="AT20" i="53"/>
  <c r="AS20" i="53"/>
  <c r="AR20" i="53"/>
  <c r="AQ20" i="53"/>
  <c r="AP20" i="53"/>
  <c r="AO20" i="53"/>
  <c r="AN20" i="53"/>
  <c r="AM20" i="53"/>
  <c r="AL20" i="53"/>
  <c r="AK20" i="53"/>
  <c r="AJ20" i="53"/>
  <c r="AT20" i="52"/>
  <c r="AS20" i="52"/>
  <c r="AR20" i="52"/>
  <c r="AQ20" i="52"/>
  <c r="AP20" i="52"/>
  <c r="AO20" i="52"/>
  <c r="AN20" i="52"/>
  <c r="AM20" i="52"/>
  <c r="AL20" i="52"/>
  <c r="AK20" i="52"/>
  <c r="AJ20" i="52"/>
  <c r="AT20" i="51"/>
  <c r="AS20" i="51"/>
  <c r="AR20" i="51"/>
  <c r="AQ20" i="51"/>
  <c r="AP20" i="51"/>
  <c r="AO20" i="51"/>
  <c r="AN20" i="51"/>
  <c r="AM20" i="51"/>
  <c r="AL20" i="51"/>
  <c r="AK20" i="51"/>
  <c r="AJ20" i="51"/>
  <c r="AT20" i="50"/>
  <c r="AS20" i="50"/>
  <c r="AR20" i="50"/>
  <c r="AQ20" i="50"/>
  <c r="AP20" i="50"/>
  <c r="AO20" i="50"/>
  <c r="AN20" i="50"/>
  <c r="AM20" i="50"/>
  <c r="AL20" i="50"/>
  <c r="AT20" i="49"/>
  <c r="AS20" i="49"/>
  <c r="AR20" i="49"/>
  <c r="AQ20" i="49"/>
  <c r="AP20" i="49"/>
  <c r="AO20" i="49"/>
  <c r="AN20" i="49"/>
  <c r="AM20" i="49"/>
  <c r="AL20" i="49"/>
  <c r="AK20" i="49"/>
  <c r="AJ20" i="49"/>
  <c r="AW20" i="49" s="1"/>
  <c r="AT20" i="48"/>
  <c r="AS20" i="48"/>
  <c r="AR20" i="48"/>
  <c r="AQ20" i="48"/>
  <c r="AP20" i="48"/>
  <c r="AO20" i="48"/>
  <c r="AN20" i="48"/>
  <c r="AM20" i="48"/>
  <c r="AL20" i="48"/>
  <c r="AK20" i="48"/>
  <c r="AJ20" i="48"/>
  <c r="AT20" i="47"/>
  <c r="AS20" i="47"/>
  <c r="AR20" i="47"/>
  <c r="AQ20" i="47"/>
  <c r="AP20" i="47"/>
  <c r="AO20" i="47"/>
  <c r="AN20" i="47"/>
  <c r="AM20" i="47"/>
  <c r="AL20" i="47"/>
  <c r="AK20" i="47"/>
  <c r="AJ20" i="47"/>
  <c r="AT20" i="46"/>
  <c r="AS20" i="46"/>
  <c r="AR20" i="46"/>
  <c r="AQ20" i="46"/>
  <c r="AP20" i="46"/>
  <c r="AO20" i="46"/>
  <c r="AN20" i="46"/>
  <c r="AM20" i="46"/>
  <c r="AL20" i="46"/>
  <c r="AK20" i="46"/>
  <c r="AJ20" i="46"/>
  <c r="AT20" i="45"/>
  <c r="AS20" i="45"/>
  <c r="AR20" i="45"/>
  <c r="AQ20" i="45"/>
  <c r="AP20" i="45"/>
  <c r="AO20" i="45"/>
  <c r="AN20" i="45"/>
  <c r="AM20" i="45"/>
  <c r="AL20" i="45"/>
  <c r="AK20" i="45"/>
  <c r="AJ20" i="45"/>
  <c r="AW20" i="45" s="1"/>
  <c r="AT20" i="44"/>
  <c r="AS20" i="44"/>
  <c r="AR20" i="44"/>
  <c r="AQ20" i="44"/>
  <c r="AP20" i="44"/>
  <c r="AO20" i="44"/>
  <c r="AN20" i="44"/>
  <c r="AM20" i="44"/>
  <c r="AL20" i="44"/>
  <c r="AK20" i="44"/>
  <c r="AJ20" i="44"/>
  <c r="AT20" i="43"/>
  <c r="AS20" i="43"/>
  <c r="AR20" i="43"/>
  <c r="AQ20" i="43"/>
  <c r="AP20" i="43"/>
  <c r="AO20" i="43"/>
  <c r="AN20" i="43"/>
  <c r="AM20" i="43"/>
  <c r="AL20" i="43"/>
  <c r="AK20" i="43"/>
  <c r="AJ20" i="43"/>
  <c r="AT20" i="42"/>
  <c r="AS20" i="42"/>
  <c r="AR20" i="42"/>
  <c r="AQ20" i="42"/>
  <c r="AP20" i="42"/>
  <c r="AO20" i="42"/>
  <c r="AN20" i="42"/>
  <c r="AM20" i="42"/>
  <c r="AL20" i="42"/>
  <c r="AK20" i="42"/>
  <c r="AT20" i="41"/>
  <c r="AS20" i="41"/>
  <c r="AR20" i="41"/>
  <c r="AQ20" i="41"/>
  <c r="AP20" i="41"/>
  <c r="AO20" i="41"/>
  <c r="AN20" i="41"/>
  <c r="AM20" i="41"/>
  <c r="AL20" i="41"/>
  <c r="AK20" i="41"/>
  <c r="AJ20" i="41"/>
  <c r="AT20" i="40"/>
  <c r="AS20" i="40"/>
  <c r="AR20" i="40"/>
  <c r="AQ20" i="40"/>
  <c r="AP20" i="40"/>
  <c r="AO20" i="40"/>
  <c r="AN20" i="40"/>
  <c r="AM20" i="40"/>
  <c r="AL20" i="40"/>
  <c r="AK20" i="40"/>
  <c r="AT20" i="39"/>
  <c r="AS20" i="39"/>
  <c r="AR20" i="39"/>
  <c r="AQ20" i="39"/>
  <c r="AP20" i="39"/>
  <c r="AO20" i="39"/>
  <c r="AN20" i="39"/>
  <c r="AM20" i="39"/>
  <c r="AL20" i="39"/>
  <c r="AK20" i="39"/>
  <c r="AJ20" i="39"/>
  <c r="AW20" i="39" s="1"/>
  <c r="AT20" i="37"/>
  <c r="AS20" i="37"/>
  <c r="AR20" i="37"/>
  <c r="AQ20" i="37"/>
  <c r="AP20" i="37"/>
  <c r="AO20" i="37"/>
  <c r="AN20" i="37"/>
  <c r="AM20" i="37"/>
  <c r="AL20" i="37"/>
  <c r="AK20" i="37"/>
  <c r="AT20" i="36"/>
  <c r="AS20" i="36"/>
  <c r="AR20" i="36"/>
  <c r="AQ20" i="36"/>
  <c r="AP20" i="36"/>
  <c r="AO20" i="36"/>
  <c r="AN20" i="36"/>
  <c r="AM20" i="36"/>
  <c r="AL20" i="36"/>
  <c r="AK20" i="36"/>
  <c r="AJ20" i="36"/>
  <c r="AT20" i="35"/>
  <c r="AS20" i="35"/>
  <c r="AR20" i="35"/>
  <c r="AQ20" i="35"/>
  <c r="AP20" i="35"/>
  <c r="AO20" i="35"/>
  <c r="AN20" i="35"/>
  <c r="AM20" i="35"/>
  <c r="AL20" i="35"/>
  <c r="AK20" i="35"/>
  <c r="AJ20" i="35"/>
  <c r="AT20" i="34"/>
  <c r="AS20" i="34"/>
  <c r="AR20" i="34"/>
  <c r="AQ20" i="34"/>
  <c r="AP20" i="34"/>
  <c r="AO20" i="34"/>
  <c r="AN20" i="34"/>
  <c r="AM20" i="34"/>
  <c r="AL20" i="34"/>
  <c r="AK20" i="34"/>
  <c r="AJ20" i="34"/>
  <c r="AT20" i="33"/>
  <c r="AS20" i="33"/>
  <c r="AR20" i="33"/>
  <c r="AQ20" i="33"/>
  <c r="AP20" i="33"/>
  <c r="AN20" i="33"/>
  <c r="AM20" i="33"/>
  <c r="AL20" i="33"/>
  <c r="AK20" i="33"/>
  <c r="AJ20" i="33"/>
  <c r="AT20" i="32"/>
  <c r="AS20" i="32"/>
  <c r="AR20" i="32"/>
  <c r="AQ20" i="32"/>
  <c r="AO20" i="32"/>
  <c r="AN20" i="32"/>
  <c r="AM20" i="32"/>
  <c r="AK20" i="32"/>
  <c r="C72" i="3"/>
  <c r="Z72" i="3"/>
  <c r="AQ19" i="31"/>
  <c r="AC72" i="3"/>
  <c r="AT19" i="31"/>
  <c r="AU89" i="3"/>
  <c r="AE88" i="3"/>
  <c r="O99" i="3"/>
  <c r="AE93" i="3"/>
  <c r="AE98" i="3"/>
  <c r="AE73" i="3"/>
  <c r="AE74" i="3"/>
  <c r="AE75" i="3"/>
  <c r="AE77" i="3"/>
  <c r="AE80" i="3"/>
  <c r="AE82" i="3"/>
  <c r="AE83" i="3"/>
  <c r="AE85" i="3"/>
  <c r="AE90" i="3"/>
  <c r="AE91" i="3"/>
  <c r="AE92" i="3"/>
  <c r="AE95" i="3"/>
  <c r="AE96" i="3"/>
  <c r="AE97" i="3"/>
  <c r="AE99" i="3"/>
  <c r="AE76" i="3"/>
  <c r="AE78" i="3"/>
  <c r="AE79" i="3"/>
  <c r="AE81" i="3"/>
  <c r="AE84" i="3"/>
  <c r="AE86" i="3"/>
  <c r="AE87" i="3"/>
  <c r="AE89" i="3"/>
  <c r="AE94" i="3"/>
  <c r="O92" i="3"/>
  <c r="AE72" i="3"/>
  <c r="AF67" i="3"/>
  <c r="AF66" i="3"/>
  <c r="AF65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6" i="3"/>
  <c r="AF45" i="3"/>
  <c r="AF44" i="3"/>
  <c r="AF43" i="3"/>
  <c r="AF42" i="3"/>
  <c r="AF41" i="3"/>
  <c r="E19" i="31"/>
  <c r="D19" i="31"/>
  <c r="C19" i="31"/>
  <c r="AT67" i="3"/>
  <c r="M18" i="38" s="1"/>
  <c r="AT66" i="3"/>
  <c r="M18" i="58" s="1"/>
  <c r="AT65" i="3"/>
  <c r="M18" i="57" s="1"/>
  <c r="AT64" i="3"/>
  <c r="M18" i="56" s="1"/>
  <c r="AT63" i="3"/>
  <c r="M18" i="55" s="1"/>
  <c r="AT62" i="3"/>
  <c r="M18" i="54" s="1"/>
  <c r="AT61" i="3"/>
  <c r="M18" i="53" s="1"/>
  <c r="AT60" i="3"/>
  <c r="M18" i="52" s="1"/>
  <c r="AT59" i="3"/>
  <c r="M18" i="51" s="1"/>
  <c r="AT58" i="3"/>
  <c r="M18" i="50" s="1"/>
  <c r="AT57" i="3"/>
  <c r="M18" i="49" s="1"/>
  <c r="AT56" i="3"/>
  <c r="M18" i="48" s="1"/>
  <c r="AT55" i="3"/>
  <c r="M18" i="47" s="1"/>
  <c r="N18" i="47" s="1"/>
  <c r="AT54" i="3"/>
  <c r="M18" i="46"/>
  <c r="AT53" i="3"/>
  <c r="M18" i="45" s="1"/>
  <c r="N18" i="45" s="1"/>
  <c r="AT52" i="3"/>
  <c r="M18" i="44"/>
  <c r="AT51" i="3"/>
  <c r="M18" i="43" s="1"/>
  <c r="N18" i="43" s="1"/>
  <c r="AT50" i="3"/>
  <c r="M18" i="42"/>
  <c r="AT49" i="3"/>
  <c r="M18" i="41"/>
  <c r="AT48" i="3"/>
  <c r="M18" i="40"/>
  <c r="AT47" i="3"/>
  <c r="M18" i="39"/>
  <c r="AT46" i="3"/>
  <c r="M18" i="37"/>
  <c r="AT45" i="3"/>
  <c r="M18" i="36"/>
  <c r="AT44" i="3"/>
  <c r="M18" i="35"/>
  <c r="AT43" i="3"/>
  <c r="M18" i="34"/>
  <c r="AT42" i="3"/>
  <c r="M18" i="33"/>
  <c r="AT41" i="3"/>
  <c r="M18" i="32"/>
  <c r="AS67" i="3"/>
  <c r="L18" i="38"/>
  <c r="AS66" i="3"/>
  <c r="L18" i="58"/>
  <c r="AS65" i="3"/>
  <c r="L18" i="57"/>
  <c r="AS64" i="3"/>
  <c r="L18" i="56"/>
  <c r="AS63" i="3"/>
  <c r="L18" i="55"/>
  <c r="AS62" i="3"/>
  <c r="L18" i="54"/>
  <c r="AS61" i="3"/>
  <c r="L18" i="53"/>
  <c r="AS60" i="3"/>
  <c r="L18" i="52"/>
  <c r="AS59" i="3"/>
  <c r="L18" i="51"/>
  <c r="AS58" i="3"/>
  <c r="L18" i="50"/>
  <c r="AS57" i="3"/>
  <c r="L18" i="49"/>
  <c r="AS56" i="3"/>
  <c r="L18" i="48"/>
  <c r="AS55" i="3"/>
  <c r="L18" i="47"/>
  <c r="AS54" i="3"/>
  <c r="L18" i="46"/>
  <c r="AS53" i="3"/>
  <c r="L18" i="45"/>
  <c r="AS52" i="3"/>
  <c r="L18" i="44"/>
  <c r="AS51" i="3"/>
  <c r="L18" i="43"/>
  <c r="AS50" i="3"/>
  <c r="L18" i="42"/>
  <c r="AS49" i="3"/>
  <c r="L18" i="41"/>
  <c r="AS48" i="3"/>
  <c r="L18" i="40"/>
  <c r="AS47" i="3"/>
  <c r="L18" i="39"/>
  <c r="AS46" i="3"/>
  <c r="L18" i="37"/>
  <c r="AS45" i="3"/>
  <c r="L18" i="36"/>
  <c r="AS44" i="3"/>
  <c r="L18" i="35"/>
  <c r="AS43" i="3"/>
  <c r="L18" i="34"/>
  <c r="AS42" i="3"/>
  <c r="L18" i="33"/>
  <c r="AS41" i="3"/>
  <c r="L18" i="32"/>
  <c r="AR67" i="3"/>
  <c r="K18" i="38"/>
  <c r="AR66" i="3"/>
  <c r="K18" i="58"/>
  <c r="AR65" i="3"/>
  <c r="K18" i="57"/>
  <c r="AR64" i="3"/>
  <c r="K18" i="56"/>
  <c r="AR63" i="3"/>
  <c r="K18" i="55"/>
  <c r="AR62" i="3"/>
  <c r="K18" i="54"/>
  <c r="AR61" i="3"/>
  <c r="K18" i="53"/>
  <c r="AR60" i="3"/>
  <c r="K18" i="52"/>
  <c r="AR59" i="3"/>
  <c r="K18" i="51"/>
  <c r="AR58" i="3"/>
  <c r="K18" i="50"/>
  <c r="AR57" i="3"/>
  <c r="K18" i="49"/>
  <c r="AR56" i="3"/>
  <c r="K18" i="48"/>
  <c r="AR55" i="3"/>
  <c r="K18" i="47"/>
  <c r="AR54" i="3"/>
  <c r="K18" i="46"/>
  <c r="AR53" i="3"/>
  <c r="K18" i="45"/>
  <c r="AR52" i="3"/>
  <c r="K18" i="44"/>
  <c r="AR51" i="3"/>
  <c r="K18" i="43"/>
  <c r="AR50" i="3"/>
  <c r="K18" i="42"/>
  <c r="AR49" i="3"/>
  <c r="K18" i="41"/>
  <c r="AR48" i="3"/>
  <c r="K18" i="40"/>
  <c r="AR47" i="3"/>
  <c r="K18" i="39"/>
  <c r="AR46" i="3"/>
  <c r="K18" i="37"/>
  <c r="AR45" i="3"/>
  <c r="K18" i="36"/>
  <c r="AR44" i="3"/>
  <c r="K18" i="35"/>
  <c r="AR43" i="3"/>
  <c r="K18" i="34"/>
  <c r="AR42" i="3"/>
  <c r="K18" i="33"/>
  <c r="AR41" i="3"/>
  <c r="K18" i="32"/>
  <c r="AQ67" i="3"/>
  <c r="J18" i="38"/>
  <c r="AQ66" i="3"/>
  <c r="J18" i="58"/>
  <c r="AQ65" i="3"/>
  <c r="J18" i="57"/>
  <c r="AQ64" i="3"/>
  <c r="J18" i="56"/>
  <c r="AQ63" i="3"/>
  <c r="J18" i="55"/>
  <c r="AQ62" i="3"/>
  <c r="J18" i="54"/>
  <c r="AQ61" i="3"/>
  <c r="J18" i="53"/>
  <c r="AQ60" i="3"/>
  <c r="J18" i="52"/>
  <c r="AQ59" i="3"/>
  <c r="J18" i="51"/>
  <c r="AQ58" i="3"/>
  <c r="J18" i="50"/>
  <c r="AQ57" i="3"/>
  <c r="J18" i="49"/>
  <c r="AQ56" i="3"/>
  <c r="J18" i="48"/>
  <c r="AQ55" i="3"/>
  <c r="J18" i="47"/>
  <c r="AQ54" i="3"/>
  <c r="J18" i="46"/>
  <c r="AQ53" i="3"/>
  <c r="J18" i="45"/>
  <c r="AQ52" i="3"/>
  <c r="J18" i="44"/>
  <c r="AQ51" i="3"/>
  <c r="J18" i="43"/>
  <c r="AQ50" i="3"/>
  <c r="J18" i="42"/>
  <c r="AQ49" i="3"/>
  <c r="J18" i="41"/>
  <c r="AQ48" i="3"/>
  <c r="J18" i="40"/>
  <c r="AQ47" i="3"/>
  <c r="J18" i="39"/>
  <c r="AQ46" i="3"/>
  <c r="J18" i="37"/>
  <c r="AQ45" i="3"/>
  <c r="J18" i="36"/>
  <c r="AQ44" i="3"/>
  <c r="J18" i="35"/>
  <c r="AQ43" i="3"/>
  <c r="J18" i="34"/>
  <c r="AQ42" i="3"/>
  <c r="J18" i="33"/>
  <c r="AQ41" i="3"/>
  <c r="J18" i="32"/>
  <c r="AP67" i="3"/>
  <c r="I18" i="38"/>
  <c r="AP66" i="3"/>
  <c r="I18" i="58"/>
  <c r="AP65" i="3"/>
  <c r="I18" i="57"/>
  <c r="AP64" i="3"/>
  <c r="I18" i="56"/>
  <c r="AP63" i="3"/>
  <c r="I18" i="55"/>
  <c r="AP62" i="3"/>
  <c r="I18" i="54"/>
  <c r="AP61" i="3"/>
  <c r="I18" i="53"/>
  <c r="AP60" i="3"/>
  <c r="I18" i="52"/>
  <c r="AP59" i="3"/>
  <c r="I18" i="51"/>
  <c r="AP58" i="3"/>
  <c r="I18" i="50"/>
  <c r="AP57" i="3"/>
  <c r="I18" i="49"/>
  <c r="AP56" i="3"/>
  <c r="I18" i="48"/>
  <c r="AP55" i="3"/>
  <c r="I18" i="47"/>
  <c r="AP54" i="3"/>
  <c r="I18" i="46"/>
  <c r="AP53" i="3"/>
  <c r="I18" i="45"/>
  <c r="AP52" i="3"/>
  <c r="I18" i="44"/>
  <c r="AP51" i="3"/>
  <c r="I18" i="43"/>
  <c r="AP50" i="3"/>
  <c r="I18" i="42"/>
  <c r="AP49" i="3"/>
  <c r="I18" i="41"/>
  <c r="AP48" i="3"/>
  <c r="I18" i="40"/>
  <c r="AP47" i="3"/>
  <c r="I18" i="39"/>
  <c r="AP46" i="3"/>
  <c r="I18" i="37"/>
  <c r="AP45" i="3"/>
  <c r="I18" i="36"/>
  <c r="AP44" i="3"/>
  <c r="I18" i="35"/>
  <c r="AP43" i="3"/>
  <c r="I18" i="34"/>
  <c r="AP42" i="3"/>
  <c r="I18" i="33"/>
  <c r="AP41" i="3"/>
  <c r="I18" i="32"/>
  <c r="AO67" i="3"/>
  <c r="H18" i="38"/>
  <c r="AO66" i="3"/>
  <c r="H18" i="58"/>
  <c r="AO65" i="3"/>
  <c r="H18" i="57"/>
  <c r="AO64" i="3"/>
  <c r="H18" i="56"/>
  <c r="AO63" i="3"/>
  <c r="H18" i="55"/>
  <c r="AO62" i="3"/>
  <c r="H18" i="54"/>
  <c r="AO61" i="3"/>
  <c r="H18" i="53"/>
  <c r="AO60" i="3"/>
  <c r="H18" i="52"/>
  <c r="AO59" i="3"/>
  <c r="H18" i="51"/>
  <c r="AO58" i="3"/>
  <c r="H18" i="50"/>
  <c r="AO57" i="3"/>
  <c r="H18" i="49"/>
  <c r="AO56" i="3"/>
  <c r="H18" i="48"/>
  <c r="AO55" i="3"/>
  <c r="H18" i="47"/>
  <c r="AO54" i="3"/>
  <c r="H18" i="46"/>
  <c r="AO53" i="3"/>
  <c r="H18" i="45"/>
  <c r="AO52" i="3"/>
  <c r="H18" i="44"/>
  <c r="AO51" i="3"/>
  <c r="H18" i="43"/>
  <c r="AO50" i="3"/>
  <c r="H18" i="42"/>
  <c r="AO49" i="3"/>
  <c r="H18" i="41"/>
  <c r="AO48" i="3"/>
  <c r="H18" i="40"/>
  <c r="AO47" i="3"/>
  <c r="H18" i="39"/>
  <c r="AO46" i="3"/>
  <c r="H18" i="37"/>
  <c r="AO45" i="3"/>
  <c r="H18" i="36"/>
  <c r="AO44" i="3"/>
  <c r="H18" i="35"/>
  <c r="AO43" i="3"/>
  <c r="H18" i="34"/>
  <c r="AO42" i="3"/>
  <c r="H18" i="33"/>
  <c r="AO41" i="3"/>
  <c r="H18" i="32"/>
  <c r="AN67" i="3"/>
  <c r="G18" i="38"/>
  <c r="AN66" i="3"/>
  <c r="G18" i="58"/>
  <c r="AN65" i="3"/>
  <c r="G18" i="57"/>
  <c r="AN64" i="3"/>
  <c r="G18" i="56"/>
  <c r="AN63" i="3"/>
  <c r="G18" i="55"/>
  <c r="AN62" i="3"/>
  <c r="G18" i="54"/>
  <c r="AN61" i="3"/>
  <c r="G18" i="53"/>
  <c r="AN60" i="3"/>
  <c r="G18" i="52"/>
  <c r="AN59" i="3"/>
  <c r="G18" i="51"/>
  <c r="AN58" i="3"/>
  <c r="G18" i="50"/>
  <c r="AN57" i="3"/>
  <c r="G18" i="49"/>
  <c r="AN56" i="3"/>
  <c r="G18" i="48"/>
  <c r="AN55" i="3"/>
  <c r="G18" i="47"/>
  <c r="AN54" i="3"/>
  <c r="G18" i="46"/>
  <c r="AN53" i="3"/>
  <c r="G18" i="45"/>
  <c r="AN52" i="3"/>
  <c r="G18" i="44"/>
  <c r="AN51" i="3"/>
  <c r="G18" i="43"/>
  <c r="AN50" i="3"/>
  <c r="G18" i="42"/>
  <c r="AN49" i="3"/>
  <c r="G18" i="41"/>
  <c r="AN48" i="3"/>
  <c r="G18" i="40"/>
  <c r="AN47" i="3"/>
  <c r="G18" i="39"/>
  <c r="AN46" i="3"/>
  <c r="G18" i="37"/>
  <c r="AN45" i="3"/>
  <c r="G18" i="36"/>
  <c r="AN44" i="3"/>
  <c r="G18" i="35"/>
  <c r="AN43" i="3"/>
  <c r="G18" i="34"/>
  <c r="AN42" i="3"/>
  <c r="G18" i="33"/>
  <c r="AN41" i="3"/>
  <c r="G18" i="32"/>
  <c r="AM67" i="3"/>
  <c r="F18" i="38"/>
  <c r="AM66" i="3"/>
  <c r="F18" i="58"/>
  <c r="AM65" i="3"/>
  <c r="F18" i="57"/>
  <c r="AM64" i="3"/>
  <c r="F18" i="56"/>
  <c r="AM63" i="3"/>
  <c r="F18" i="55"/>
  <c r="AM62" i="3"/>
  <c r="F18" i="54"/>
  <c r="AM61" i="3"/>
  <c r="F18" i="53"/>
  <c r="AM60" i="3"/>
  <c r="F18" i="52"/>
  <c r="AM59" i="3"/>
  <c r="F18" i="51"/>
  <c r="AM58" i="3"/>
  <c r="F18" i="50"/>
  <c r="AM57" i="3"/>
  <c r="F18" i="49"/>
  <c r="AM56" i="3"/>
  <c r="F18" i="48"/>
  <c r="AM55" i="3"/>
  <c r="F18" i="47"/>
  <c r="AM54" i="3"/>
  <c r="F18" i="46"/>
  <c r="AM53" i="3"/>
  <c r="F18" i="45"/>
  <c r="AM52" i="3"/>
  <c r="F18" i="44"/>
  <c r="AM51" i="3"/>
  <c r="F18" i="43"/>
  <c r="AM50" i="3"/>
  <c r="F18" i="42"/>
  <c r="AM49" i="3"/>
  <c r="F18" i="41"/>
  <c r="AM48" i="3"/>
  <c r="F18" i="40"/>
  <c r="AM47" i="3"/>
  <c r="F18" i="39"/>
  <c r="AM46" i="3"/>
  <c r="F18" i="37"/>
  <c r="AM45" i="3"/>
  <c r="F18" i="36"/>
  <c r="AM44" i="3"/>
  <c r="F18" i="35"/>
  <c r="AM43" i="3"/>
  <c r="F18" i="34"/>
  <c r="AM42" i="3"/>
  <c r="F18" i="33"/>
  <c r="AM41" i="3"/>
  <c r="F18" i="32"/>
  <c r="AL67" i="3"/>
  <c r="E18" i="38"/>
  <c r="AL66" i="3"/>
  <c r="E18" i="58"/>
  <c r="AL65" i="3"/>
  <c r="E18" i="57"/>
  <c r="AL64" i="3"/>
  <c r="E18" i="56"/>
  <c r="AL63" i="3"/>
  <c r="E18" i="55"/>
  <c r="AL62" i="3"/>
  <c r="E18" i="54"/>
  <c r="AL61" i="3"/>
  <c r="E18" i="53"/>
  <c r="AL60" i="3"/>
  <c r="E18" i="52"/>
  <c r="AL59" i="3"/>
  <c r="E18" i="51"/>
  <c r="AL58" i="3"/>
  <c r="E18" i="50"/>
  <c r="AL57" i="3"/>
  <c r="E18" i="49"/>
  <c r="AL56" i="3"/>
  <c r="E18" i="48"/>
  <c r="AL55" i="3"/>
  <c r="E18" i="47"/>
  <c r="AL54" i="3"/>
  <c r="E18" i="46"/>
  <c r="AL53" i="3"/>
  <c r="E18" i="45"/>
  <c r="AL52" i="3"/>
  <c r="E18" i="44"/>
  <c r="AL51" i="3"/>
  <c r="E18" i="43"/>
  <c r="AL50" i="3"/>
  <c r="E18" i="42"/>
  <c r="AL49" i="3"/>
  <c r="E18" i="41"/>
  <c r="AL48" i="3"/>
  <c r="E18" i="40"/>
  <c r="AL47" i="3"/>
  <c r="E18" i="39"/>
  <c r="AL46" i="3"/>
  <c r="E18" i="37"/>
  <c r="AL45" i="3"/>
  <c r="E18" i="36"/>
  <c r="AL44" i="3"/>
  <c r="E18" i="35"/>
  <c r="AL43" i="3"/>
  <c r="E18" i="34"/>
  <c r="AL42" i="3"/>
  <c r="E18" i="33"/>
  <c r="AL41" i="3"/>
  <c r="E18" i="32"/>
  <c r="AK67" i="3"/>
  <c r="D18" i="38"/>
  <c r="AK66" i="3"/>
  <c r="D18" i="58"/>
  <c r="AK65" i="3"/>
  <c r="D18" i="57"/>
  <c r="AK64" i="3"/>
  <c r="D18" i="56"/>
  <c r="AK63" i="3"/>
  <c r="D18" i="55"/>
  <c r="AK62" i="3"/>
  <c r="D18" i="54"/>
  <c r="AK61" i="3"/>
  <c r="D18" i="53"/>
  <c r="AK60" i="3"/>
  <c r="D18" i="52"/>
  <c r="AK59" i="3"/>
  <c r="D18" i="51"/>
  <c r="AK58" i="3"/>
  <c r="D18" i="50"/>
  <c r="AK57" i="3"/>
  <c r="D18" i="49"/>
  <c r="AK56" i="3"/>
  <c r="D18" i="48"/>
  <c r="AK55" i="3"/>
  <c r="D18" i="47"/>
  <c r="AK54" i="3"/>
  <c r="D18" i="46"/>
  <c r="AK53" i="3"/>
  <c r="D18" i="45"/>
  <c r="AK52" i="3"/>
  <c r="D18" i="44"/>
  <c r="AK51" i="3"/>
  <c r="D18" i="43"/>
  <c r="AK50" i="3"/>
  <c r="D18" i="42"/>
  <c r="AK49" i="3"/>
  <c r="D18" i="41"/>
  <c r="AK48" i="3"/>
  <c r="D18" i="40"/>
  <c r="AK47" i="3"/>
  <c r="D18" i="39"/>
  <c r="AK46" i="3"/>
  <c r="D18" i="37"/>
  <c r="AK45" i="3"/>
  <c r="D18" i="36"/>
  <c r="AK44" i="3"/>
  <c r="D18" i="35"/>
  <c r="AK43" i="3"/>
  <c r="D18" i="34"/>
  <c r="AK42" i="3"/>
  <c r="D18" i="33"/>
  <c r="AK41" i="3"/>
  <c r="D18" i="32"/>
  <c r="AJ67" i="3"/>
  <c r="C18" i="38"/>
  <c r="AJ66" i="3"/>
  <c r="C18" i="58"/>
  <c r="AJ65" i="3"/>
  <c r="C18" i="57"/>
  <c r="AJ64" i="3"/>
  <c r="C18" i="56" s="1"/>
  <c r="AJ63" i="3"/>
  <c r="C18" i="55" s="1"/>
  <c r="AJ62" i="3"/>
  <c r="C18" i="54" s="1"/>
  <c r="AJ61" i="3"/>
  <c r="C18" i="53" s="1"/>
  <c r="AJ60" i="3"/>
  <c r="C18" i="52" s="1"/>
  <c r="AJ59" i="3"/>
  <c r="C18" i="51" s="1"/>
  <c r="AJ58" i="3"/>
  <c r="C18" i="50" s="1"/>
  <c r="AJ57" i="3"/>
  <c r="C18" i="49" s="1"/>
  <c r="AJ56" i="3"/>
  <c r="C18" i="48" s="1"/>
  <c r="AJ55" i="3"/>
  <c r="C18" i="47" s="1"/>
  <c r="AJ54" i="3"/>
  <c r="C18" i="46" s="1"/>
  <c r="AJ53" i="3"/>
  <c r="C18" i="45" s="1"/>
  <c r="AJ52" i="3"/>
  <c r="AJ51" i="3"/>
  <c r="C18" i="43" s="1"/>
  <c r="AJ50" i="3"/>
  <c r="C18" i="42" s="1"/>
  <c r="AJ49" i="3"/>
  <c r="C18" i="41" s="1"/>
  <c r="AJ48" i="3"/>
  <c r="C18" i="40" s="1"/>
  <c r="AJ47" i="3"/>
  <c r="C18" i="39" s="1"/>
  <c r="AJ46" i="3"/>
  <c r="C18" i="37" s="1"/>
  <c r="AJ45" i="3"/>
  <c r="C18" i="36" s="1"/>
  <c r="AJ44" i="3"/>
  <c r="C18" i="35" s="1"/>
  <c r="AJ43" i="3"/>
  <c r="C18" i="34" s="1"/>
  <c r="AJ42" i="3"/>
  <c r="C18" i="33" s="1"/>
  <c r="AJ41" i="3"/>
  <c r="C18" i="32" s="1"/>
  <c r="AI67" i="3"/>
  <c r="B18" i="38" s="1"/>
  <c r="AI66" i="3"/>
  <c r="B18" i="58" s="1"/>
  <c r="O18" i="58" s="1"/>
  <c r="AI65" i="3"/>
  <c r="B18" i="57" s="1"/>
  <c r="AI64" i="3"/>
  <c r="B18" i="56" s="1"/>
  <c r="O18" i="56" s="1"/>
  <c r="AI63" i="3"/>
  <c r="AI62" i="3"/>
  <c r="B18" i="54" s="1"/>
  <c r="O18" i="54" s="1"/>
  <c r="AI61" i="3"/>
  <c r="B18" i="53" s="1"/>
  <c r="AI60" i="3"/>
  <c r="B18" i="52" s="1"/>
  <c r="O18" i="52" s="1"/>
  <c r="AI59" i="3"/>
  <c r="B18" i="51" s="1"/>
  <c r="AI58" i="3"/>
  <c r="B18" i="50" s="1"/>
  <c r="O18" i="50" s="1"/>
  <c r="AI57" i="3"/>
  <c r="B18" i="49" s="1"/>
  <c r="AI56" i="3"/>
  <c r="B18" i="48" s="1"/>
  <c r="O18" i="48" s="1"/>
  <c r="AI55" i="3"/>
  <c r="B18" i="47" s="1"/>
  <c r="AI54" i="3"/>
  <c r="B18" i="46" s="1"/>
  <c r="AI53" i="3"/>
  <c r="B18" i="45"/>
  <c r="AI52" i="3"/>
  <c r="AI51" i="3"/>
  <c r="B18" i="43" s="1"/>
  <c r="AI50" i="3"/>
  <c r="B18" i="42" s="1"/>
  <c r="AI49" i="3"/>
  <c r="B18" i="41" s="1"/>
  <c r="O18" i="41" s="1"/>
  <c r="AI48" i="3"/>
  <c r="B18" i="40" s="1"/>
  <c r="AI47" i="3"/>
  <c r="B18" i="39" s="1"/>
  <c r="O18" i="39" s="1"/>
  <c r="AI46" i="3"/>
  <c r="B18" i="37" s="1"/>
  <c r="AI45" i="3"/>
  <c r="B18" i="36" s="1"/>
  <c r="O18" i="36" s="1"/>
  <c r="AI44" i="3"/>
  <c r="B18" i="35" s="1"/>
  <c r="AI43" i="3"/>
  <c r="B18" i="34" s="1"/>
  <c r="O18" i="34" s="1"/>
  <c r="AI42" i="3"/>
  <c r="B18" i="33" s="1"/>
  <c r="AI41" i="3"/>
  <c r="B18" i="32" s="1"/>
  <c r="O18" i="32" s="1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M291" i="3"/>
  <c r="L20" i="38"/>
  <c r="L20" i="58"/>
  <c r="L20" i="57"/>
  <c r="L20" i="56"/>
  <c r="M287" i="3"/>
  <c r="L20" i="54"/>
  <c r="L20" i="53"/>
  <c r="L20" i="52"/>
  <c r="L20" i="51"/>
  <c r="L20" i="50"/>
  <c r="L20" i="49"/>
  <c r="L20" i="48"/>
  <c r="M279" i="3"/>
  <c r="L20" i="46"/>
  <c r="L20" i="45"/>
  <c r="L20" i="44"/>
  <c r="L20" i="43"/>
  <c r="L20" i="42"/>
  <c r="L20" i="41"/>
  <c r="L20" i="40"/>
  <c r="M271" i="3"/>
  <c r="L20" i="37"/>
  <c r="L20" i="36"/>
  <c r="L20" i="35"/>
  <c r="L20" i="34"/>
  <c r="L20" i="33"/>
  <c r="L20" i="32"/>
  <c r="K20" i="38"/>
  <c r="L290" i="3"/>
  <c r="K20" i="57"/>
  <c r="K20" i="56"/>
  <c r="K20" i="55"/>
  <c r="K20" i="54"/>
  <c r="K20" i="53"/>
  <c r="K20" i="52"/>
  <c r="K20" i="51"/>
  <c r="L282" i="3"/>
  <c r="K20" i="49"/>
  <c r="K20" i="48"/>
  <c r="K20" i="47"/>
  <c r="L278" i="3"/>
  <c r="K20" i="45"/>
  <c r="K20" i="44"/>
  <c r="K20" i="43"/>
  <c r="L274" i="3"/>
  <c r="K20" i="41"/>
  <c r="K20" i="40"/>
  <c r="L272" i="3"/>
  <c r="K20" i="39"/>
  <c r="L270" i="3"/>
  <c r="K20" i="37"/>
  <c r="K20" i="36"/>
  <c r="K20" i="35"/>
  <c r="K20" i="34"/>
  <c r="L266" i="3"/>
  <c r="K20" i="32"/>
  <c r="K291" i="3"/>
  <c r="K290" i="3"/>
  <c r="K289" i="3"/>
  <c r="K288" i="3"/>
  <c r="K287" i="3"/>
  <c r="K286" i="3"/>
  <c r="K284" i="3"/>
  <c r="K283" i="3"/>
  <c r="J20" i="50"/>
  <c r="J20" i="48"/>
  <c r="K279" i="3"/>
  <c r="J20" i="46"/>
  <c r="K278" i="3"/>
  <c r="K276" i="3"/>
  <c r="J20" i="44"/>
  <c r="K275" i="3"/>
  <c r="J20" i="42"/>
  <c r="K272" i="3"/>
  <c r="K271" i="3"/>
  <c r="K270" i="3"/>
  <c r="J20" i="35"/>
  <c r="K267" i="3"/>
  <c r="J20" i="33"/>
  <c r="J290" i="3"/>
  <c r="J289" i="3"/>
  <c r="I20" i="56"/>
  <c r="J286" i="3"/>
  <c r="J285" i="3"/>
  <c r="I20" i="52"/>
  <c r="J282" i="3"/>
  <c r="J281" i="3"/>
  <c r="I20" i="48"/>
  <c r="I20" i="47"/>
  <c r="J278" i="3"/>
  <c r="J277" i="3"/>
  <c r="I20" i="44"/>
  <c r="J274" i="3"/>
  <c r="J273" i="3"/>
  <c r="I20" i="40"/>
  <c r="I20" i="39"/>
  <c r="J270" i="3"/>
  <c r="J269" i="3"/>
  <c r="J268" i="3"/>
  <c r="J266" i="3"/>
  <c r="J265" i="3"/>
  <c r="I291" i="3"/>
  <c r="H20" i="38"/>
  <c r="I289" i="3"/>
  <c r="H20" i="56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H290" i="3"/>
  <c r="G20" i="57"/>
  <c r="H288" i="3"/>
  <c r="H286" i="3"/>
  <c r="G20" i="53"/>
  <c r="H284" i="3"/>
  <c r="H282" i="3"/>
  <c r="H281" i="3"/>
  <c r="H280" i="3"/>
  <c r="H278" i="3"/>
  <c r="G20" i="45"/>
  <c r="H276" i="3"/>
  <c r="H274" i="3"/>
  <c r="H273" i="3"/>
  <c r="H272" i="3"/>
  <c r="H271" i="3"/>
  <c r="H270" i="3"/>
  <c r="H269" i="3"/>
  <c r="H268" i="3"/>
  <c r="H267" i="3"/>
  <c r="H266" i="3"/>
  <c r="H265" i="3"/>
  <c r="G291" i="3"/>
  <c r="G290" i="3"/>
  <c r="F20" i="57"/>
  <c r="G288" i="3"/>
  <c r="G287" i="3"/>
  <c r="G286" i="3"/>
  <c r="F20" i="53"/>
  <c r="F20" i="52"/>
  <c r="G283" i="3"/>
  <c r="G282" i="3"/>
  <c r="G281" i="3"/>
  <c r="G280" i="3"/>
  <c r="F20" i="47"/>
  <c r="G278" i="3"/>
  <c r="F20" i="45"/>
  <c r="G276" i="3"/>
  <c r="F20" i="43"/>
  <c r="G274" i="3"/>
  <c r="G273" i="3"/>
  <c r="G272" i="3"/>
  <c r="F20" i="39"/>
  <c r="F20" i="37"/>
  <c r="G269" i="3"/>
  <c r="F20" i="35"/>
  <c r="F20" i="34"/>
  <c r="F20" i="33"/>
  <c r="G265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D291" i="3"/>
  <c r="D290" i="3"/>
  <c r="D289" i="3"/>
  <c r="D288" i="3"/>
  <c r="D287" i="3"/>
  <c r="D286" i="3"/>
  <c r="D285" i="3"/>
  <c r="D284" i="3"/>
  <c r="D283" i="3"/>
  <c r="D282" i="3"/>
  <c r="D281" i="3"/>
  <c r="D280" i="3"/>
  <c r="D279" i="3"/>
  <c r="D278" i="3"/>
  <c r="C20" i="45"/>
  <c r="D276" i="3"/>
  <c r="D275" i="3"/>
  <c r="D274" i="3"/>
  <c r="D273" i="3"/>
  <c r="D272" i="3"/>
  <c r="C20" i="39"/>
  <c r="D270" i="3"/>
  <c r="C20" i="36"/>
  <c r="D268" i="3"/>
  <c r="C20" i="34"/>
  <c r="D266" i="3"/>
  <c r="D265" i="3"/>
  <c r="C291" i="3"/>
  <c r="B20" i="58"/>
  <c r="B20" i="57"/>
  <c r="C288" i="3"/>
  <c r="C287" i="3"/>
  <c r="B20" i="54"/>
  <c r="C285" i="3"/>
  <c r="C284" i="3"/>
  <c r="C283" i="3"/>
  <c r="C282" i="3"/>
  <c r="B20" i="49"/>
  <c r="C280" i="3"/>
  <c r="C279" i="3"/>
  <c r="C278" i="3"/>
  <c r="C277" i="3"/>
  <c r="C276" i="3"/>
  <c r="C275" i="3"/>
  <c r="C274" i="3"/>
  <c r="C273" i="3"/>
  <c r="C272" i="3"/>
  <c r="C271" i="3"/>
  <c r="C270" i="3"/>
  <c r="C269" i="3"/>
  <c r="C268" i="3"/>
  <c r="C267" i="3"/>
  <c r="C266" i="3"/>
  <c r="C265" i="3"/>
  <c r="K3" i="30"/>
  <c r="J3" i="30"/>
  <c r="I3" i="30"/>
  <c r="H3" i="30"/>
  <c r="G3" i="30"/>
  <c r="F3" i="30"/>
  <c r="E3" i="30"/>
  <c r="D3" i="30"/>
  <c r="C3" i="30"/>
  <c r="B3" i="30"/>
  <c r="A28" i="30" s="1"/>
  <c r="K2" i="30"/>
  <c r="K3" i="29"/>
  <c r="J3" i="29"/>
  <c r="I3" i="29"/>
  <c r="H3" i="29"/>
  <c r="G3" i="29"/>
  <c r="F3" i="29"/>
  <c r="E3" i="29"/>
  <c r="D3" i="29"/>
  <c r="C3" i="29"/>
  <c r="B3" i="29"/>
  <c r="A28" i="29" s="1"/>
  <c r="K2" i="29"/>
  <c r="K3" i="28"/>
  <c r="J3" i="28"/>
  <c r="I3" i="28"/>
  <c r="H3" i="28"/>
  <c r="G3" i="28"/>
  <c r="F3" i="28"/>
  <c r="E3" i="28"/>
  <c r="D3" i="28"/>
  <c r="C3" i="28"/>
  <c r="B3" i="28"/>
  <c r="A28" i="28" s="1"/>
  <c r="K2" i="28"/>
  <c r="K3" i="27"/>
  <c r="J3" i="27"/>
  <c r="I3" i="27"/>
  <c r="H3" i="27"/>
  <c r="G3" i="27"/>
  <c r="F3" i="27"/>
  <c r="E3" i="27"/>
  <c r="D3" i="27"/>
  <c r="C3" i="27"/>
  <c r="B3" i="27"/>
  <c r="A28" i="27" s="1"/>
  <c r="K2" i="27"/>
  <c r="K3" i="26"/>
  <c r="J3" i="26"/>
  <c r="I3" i="26"/>
  <c r="H3" i="26"/>
  <c r="G3" i="26"/>
  <c r="F3" i="26"/>
  <c r="E3" i="26"/>
  <c r="D3" i="26"/>
  <c r="C3" i="26"/>
  <c r="B3" i="26"/>
  <c r="A28" i="26" s="1"/>
  <c r="K2" i="26"/>
  <c r="K3" i="25"/>
  <c r="J3" i="25"/>
  <c r="I3" i="25"/>
  <c r="H3" i="25"/>
  <c r="G3" i="25"/>
  <c r="F3" i="25"/>
  <c r="E3" i="25"/>
  <c r="D3" i="25"/>
  <c r="C3" i="25"/>
  <c r="B3" i="25"/>
  <c r="A28" i="25" s="1"/>
  <c r="K2" i="25"/>
  <c r="K3" i="24"/>
  <c r="J3" i="24"/>
  <c r="I3" i="24"/>
  <c r="H3" i="24"/>
  <c r="G3" i="24"/>
  <c r="F3" i="24"/>
  <c r="E3" i="24"/>
  <c r="D3" i="24"/>
  <c r="C3" i="24"/>
  <c r="B3" i="24"/>
  <c r="A28" i="24" s="1"/>
  <c r="K2" i="24"/>
  <c r="K3" i="23"/>
  <c r="J3" i="23"/>
  <c r="I3" i="23"/>
  <c r="H3" i="23"/>
  <c r="G3" i="23"/>
  <c r="F3" i="23"/>
  <c r="E3" i="23"/>
  <c r="D3" i="23"/>
  <c r="C3" i="23"/>
  <c r="B3" i="23"/>
  <c r="A28" i="23" s="1"/>
  <c r="K2" i="23"/>
  <c r="K3" i="22"/>
  <c r="J3" i="22"/>
  <c r="I3" i="22"/>
  <c r="H3" i="22"/>
  <c r="G3" i="22"/>
  <c r="F3" i="22"/>
  <c r="E3" i="22"/>
  <c r="D3" i="22"/>
  <c r="C3" i="22"/>
  <c r="B3" i="22"/>
  <c r="A28" i="22" s="1"/>
  <c r="K2" i="22"/>
  <c r="K3" i="21"/>
  <c r="J3" i="21"/>
  <c r="I3" i="21"/>
  <c r="H3" i="21"/>
  <c r="G3" i="21"/>
  <c r="F3" i="21"/>
  <c r="E3" i="21"/>
  <c r="D3" i="21"/>
  <c r="C3" i="21"/>
  <c r="B3" i="21"/>
  <c r="A28" i="21" s="1"/>
  <c r="K2" i="21"/>
  <c r="K3" i="20"/>
  <c r="J3" i="20"/>
  <c r="I3" i="20"/>
  <c r="H3" i="20"/>
  <c r="G3" i="20"/>
  <c r="F3" i="20"/>
  <c r="E3" i="20"/>
  <c r="D3" i="20"/>
  <c r="C3" i="20"/>
  <c r="B3" i="20"/>
  <c r="A28" i="20" s="1"/>
  <c r="K2" i="20"/>
  <c r="K3" i="19"/>
  <c r="J3" i="19"/>
  <c r="I3" i="19"/>
  <c r="H3" i="19"/>
  <c r="G3" i="19"/>
  <c r="F3" i="19"/>
  <c r="E3" i="19"/>
  <c r="D3" i="19"/>
  <c r="C3" i="19"/>
  <c r="B3" i="19"/>
  <c r="A28" i="19" s="1"/>
  <c r="K2" i="19"/>
  <c r="K3" i="18"/>
  <c r="J3" i="18"/>
  <c r="I3" i="18"/>
  <c r="H3" i="18"/>
  <c r="G3" i="18"/>
  <c r="F3" i="18"/>
  <c r="E3" i="18"/>
  <c r="D3" i="18"/>
  <c r="C3" i="18"/>
  <c r="B3" i="18"/>
  <c r="A28" i="18" s="1"/>
  <c r="K2" i="18"/>
  <c r="K3" i="17"/>
  <c r="J3" i="17"/>
  <c r="I3" i="17"/>
  <c r="H3" i="17"/>
  <c r="G3" i="17"/>
  <c r="F3" i="17"/>
  <c r="E3" i="17"/>
  <c r="D3" i="17"/>
  <c r="C3" i="17"/>
  <c r="B3" i="17"/>
  <c r="A28" i="17" s="1"/>
  <c r="K2" i="17"/>
  <c r="K3" i="16"/>
  <c r="J3" i="16"/>
  <c r="I3" i="16"/>
  <c r="H3" i="16"/>
  <c r="G3" i="16"/>
  <c r="F3" i="16"/>
  <c r="E3" i="16"/>
  <c r="D3" i="16"/>
  <c r="C3" i="16"/>
  <c r="B3" i="16"/>
  <c r="A28" i="16" s="1"/>
  <c r="K2" i="16"/>
  <c r="K3" i="15"/>
  <c r="J3" i="15"/>
  <c r="I3" i="15"/>
  <c r="H3" i="15"/>
  <c r="G3" i="15"/>
  <c r="F3" i="15"/>
  <c r="E3" i="15"/>
  <c r="D3" i="15"/>
  <c r="C3" i="15"/>
  <c r="B3" i="15"/>
  <c r="A28" i="15" s="1"/>
  <c r="K2" i="15"/>
  <c r="K3" i="14"/>
  <c r="J3" i="14"/>
  <c r="I3" i="14"/>
  <c r="H3" i="14"/>
  <c r="G3" i="14"/>
  <c r="F3" i="14"/>
  <c r="E3" i="14"/>
  <c r="D3" i="14"/>
  <c r="C3" i="14"/>
  <c r="B3" i="14"/>
  <c r="A28" i="14" s="1"/>
  <c r="K2" i="14"/>
  <c r="K3" i="13"/>
  <c r="J3" i="13"/>
  <c r="I3" i="13"/>
  <c r="H3" i="13"/>
  <c r="G3" i="13"/>
  <c r="F3" i="13"/>
  <c r="E3" i="13"/>
  <c r="D3" i="13"/>
  <c r="C3" i="13"/>
  <c r="B3" i="13"/>
  <c r="A28" i="13" s="1"/>
  <c r="K2" i="13"/>
  <c r="K3" i="12"/>
  <c r="J3" i="12"/>
  <c r="I3" i="12"/>
  <c r="H3" i="12"/>
  <c r="G3" i="12"/>
  <c r="F3" i="12"/>
  <c r="E3" i="12"/>
  <c r="D3" i="12"/>
  <c r="C3" i="12"/>
  <c r="B3" i="12"/>
  <c r="A28" i="12" s="1"/>
  <c r="K2" i="12"/>
  <c r="K3" i="11"/>
  <c r="J3" i="11"/>
  <c r="I3" i="11"/>
  <c r="H3" i="11"/>
  <c r="G3" i="11"/>
  <c r="F3" i="11"/>
  <c r="E3" i="11"/>
  <c r="D3" i="11"/>
  <c r="C3" i="11"/>
  <c r="B3" i="11"/>
  <c r="A28" i="11" s="1"/>
  <c r="K2" i="11"/>
  <c r="K3" i="10"/>
  <c r="J3" i="10"/>
  <c r="I3" i="10"/>
  <c r="H3" i="10"/>
  <c r="G3" i="10"/>
  <c r="F3" i="10"/>
  <c r="E3" i="10"/>
  <c r="D3" i="10"/>
  <c r="C3" i="10"/>
  <c r="B3" i="10"/>
  <c r="A28" i="10" s="1"/>
  <c r="K2" i="10"/>
  <c r="K3" i="9"/>
  <c r="J3" i="9"/>
  <c r="I3" i="9"/>
  <c r="H3" i="9"/>
  <c r="G3" i="9"/>
  <c r="F3" i="9"/>
  <c r="E3" i="9"/>
  <c r="D3" i="9"/>
  <c r="C3" i="9"/>
  <c r="B3" i="9"/>
  <c r="A28" i="9" s="1"/>
  <c r="K2" i="9"/>
  <c r="K3" i="8"/>
  <c r="J3" i="8"/>
  <c r="I3" i="8"/>
  <c r="H3" i="8"/>
  <c r="G3" i="8"/>
  <c r="F3" i="8"/>
  <c r="E3" i="8"/>
  <c r="D3" i="8"/>
  <c r="C3" i="8"/>
  <c r="B3" i="8"/>
  <c r="A28" i="8" s="1"/>
  <c r="K2" i="8"/>
  <c r="K3" i="7"/>
  <c r="J3" i="7"/>
  <c r="I3" i="7"/>
  <c r="H3" i="7"/>
  <c r="G3" i="7"/>
  <c r="F3" i="7"/>
  <c r="E3" i="7"/>
  <c r="D3" i="7"/>
  <c r="C3" i="7"/>
  <c r="B3" i="7"/>
  <c r="A28" i="7" s="1"/>
  <c r="K2" i="7"/>
  <c r="K3" i="6"/>
  <c r="J3" i="6"/>
  <c r="I3" i="6"/>
  <c r="H3" i="6"/>
  <c r="G3" i="6"/>
  <c r="F3" i="6"/>
  <c r="E3" i="6"/>
  <c r="D3" i="6"/>
  <c r="C3" i="6"/>
  <c r="B3" i="6"/>
  <c r="A28" i="6" s="1"/>
  <c r="K2" i="6"/>
  <c r="K3" i="5"/>
  <c r="J3" i="5"/>
  <c r="I3" i="5"/>
  <c r="H3" i="5"/>
  <c r="G3" i="5"/>
  <c r="F3" i="5"/>
  <c r="E3" i="5"/>
  <c r="D3" i="5"/>
  <c r="C3" i="5"/>
  <c r="B3" i="5"/>
  <c r="A28" i="5" s="1"/>
  <c r="K2" i="5"/>
  <c r="K3" i="4"/>
  <c r="J3" i="4"/>
  <c r="I3" i="4"/>
  <c r="H3" i="4"/>
  <c r="G3" i="4"/>
  <c r="F3" i="4"/>
  <c r="E3" i="4"/>
  <c r="D3" i="4"/>
  <c r="C3" i="4"/>
  <c r="B3" i="4"/>
  <c r="A28" i="4" s="1"/>
  <c r="K2" i="4"/>
  <c r="M19" i="31"/>
  <c r="K19" i="31"/>
  <c r="L19" i="31"/>
  <c r="F19" i="31"/>
  <c r="H19" i="31"/>
  <c r="J19" i="31"/>
  <c r="I19" i="31"/>
  <c r="G19" i="31"/>
  <c r="B19" i="31"/>
  <c r="K2" i="2"/>
  <c r="B3" i="2"/>
  <c r="A30" i="2" s="1"/>
  <c r="K3" i="2"/>
  <c r="J3" i="2"/>
  <c r="I3" i="2"/>
  <c r="H3" i="2"/>
  <c r="G3" i="2"/>
  <c r="F3" i="2"/>
  <c r="E3" i="2"/>
  <c r="D3" i="2"/>
  <c r="C3" i="2"/>
  <c r="P5" i="3"/>
  <c r="C17" i="2" s="1"/>
  <c r="Q5" i="3"/>
  <c r="Q33" i="3" s="1"/>
  <c r="R5" i="3"/>
  <c r="E17" i="2" s="1"/>
  <c r="P6" i="3"/>
  <c r="C17" i="4" s="1"/>
  <c r="Q6" i="3"/>
  <c r="D17" i="4" s="1"/>
  <c r="R6" i="3"/>
  <c r="E17" i="4" s="1"/>
  <c r="P7" i="3"/>
  <c r="Q7" i="3"/>
  <c r="D17" i="5" s="1"/>
  <c r="R7" i="3"/>
  <c r="E17" i="5"/>
  <c r="P8" i="3"/>
  <c r="C17" i="6" s="1"/>
  <c r="Q8" i="3"/>
  <c r="D17" i="6"/>
  <c r="R8" i="3"/>
  <c r="E17" i="6" s="1"/>
  <c r="P9" i="3"/>
  <c r="C17" i="7" s="1"/>
  <c r="Q9" i="3"/>
  <c r="D17" i="7" s="1"/>
  <c r="R9" i="3"/>
  <c r="E17" i="7" s="1"/>
  <c r="F17" i="7" s="1"/>
  <c r="P10" i="3"/>
  <c r="C17" i="8" s="1"/>
  <c r="Q10" i="3"/>
  <c r="D17" i="8"/>
  <c r="R10" i="3"/>
  <c r="E17" i="8" s="1"/>
  <c r="P11" i="3"/>
  <c r="C17" i="9" s="1"/>
  <c r="Q11" i="3"/>
  <c r="D17" i="9" s="1"/>
  <c r="R11" i="3"/>
  <c r="E17" i="9" s="1"/>
  <c r="F17" i="9" s="1"/>
  <c r="P12" i="3"/>
  <c r="C17" i="11" s="1"/>
  <c r="Q12" i="3"/>
  <c r="D17" i="11" s="1"/>
  <c r="R12" i="3"/>
  <c r="E17" i="11" s="1"/>
  <c r="P13" i="3"/>
  <c r="C17" i="12"/>
  <c r="Q13" i="3"/>
  <c r="D17" i="12" s="1"/>
  <c r="R13" i="3"/>
  <c r="E17" i="12"/>
  <c r="P14" i="3"/>
  <c r="C17" i="13" s="1"/>
  <c r="Q14" i="3"/>
  <c r="D17" i="13" s="1"/>
  <c r="R14" i="3"/>
  <c r="E17" i="13" s="1"/>
  <c r="P15" i="3"/>
  <c r="C17" i="14" s="1"/>
  <c r="Q15" i="3"/>
  <c r="D17" i="14" s="1"/>
  <c r="R15" i="3"/>
  <c r="E17" i="14"/>
  <c r="P16" i="3"/>
  <c r="C17" i="15" s="1"/>
  <c r="Q16" i="3"/>
  <c r="D17" i="15" s="1"/>
  <c r="R16" i="3"/>
  <c r="E17" i="15" s="1"/>
  <c r="P17" i="3"/>
  <c r="C17" i="16" s="1"/>
  <c r="Q17" i="3"/>
  <c r="D17" i="16" s="1"/>
  <c r="R17" i="3"/>
  <c r="E17" i="16" s="1"/>
  <c r="P18" i="3"/>
  <c r="C17" i="17" s="1"/>
  <c r="Q18" i="3"/>
  <c r="D17" i="17"/>
  <c r="R18" i="3"/>
  <c r="E17" i="17" s="1"/>
  <c r="P19" i="3"/>
  <c r="C17" i="18" s="1"/>
  <c r="Q19" i="3"/>
  <c r="D17" i="18" s="1"/>
  <c r="R19" i="3"/>
  <c r="E17" i="18" s="1"/>
  <c r="P20" i="3"/>
  <c r="C17" i="19" s="1"/>
  <c r="Q20" i="3"/>
  <c r="D17" i="19" s="1"/>
  <c r="R20" i="3"/>
  <c r="E17" i="19" s="1"/>
  <c r="P21" i="3"/>
  <c r="C17" i="20"/>
  <c r="Q21" i="3"/>
  <c r="D17" i="20" s="1"/>
  <c r="R21" i="3"/>
  <c r="E17" i="20"/>
  <c r="P22" i="3"/>
  <c r="C17" i="21" s="1"/>
  <c r="F17" i="21" s="1"/>
  <c r="Q22" i="3"/>
  <c r="D17" i="21" s="1"/>
  <c r="R22" i="3"/>
  <c r="E17" i="21" s="1"/>
  <c r="P23" i="3"/>
  <c r="C17" i="22" s="1"/>
  <c r="Q23" i="3"/>
  <c r="D17" i="22" s="1"/>
  <c r="R23" i="3"/>
  <c r="E17" i="22" s="1"/>
  <c r="P24" i="3"/>
  <c r="C17" i="23" s="1"/>
  <c r="Q24" i="3"/>
  <c r="D17" i="23" s="1"/>
  <c r="R24" i="3"/>
  <c r="E17" i="23" s="1"/>
  <c r="F17" i="23" s="1"/>
  <c r="P25" i="3"/>
  <c r="C17" i="24" s="1"/>
  <c r="Q25" i="3"/>
  <c r="D17" i="24" s="1"/>
  <c r="R25" i="3"/>
  <c r="E17" i="24" s="1"/>
  <c r="P26" i="3"/>
  <c r="C17" i="25" s="1"/>
  <c r="Q26" i="3"/>
  <c r="D17" i="25" s="1"/>
  <c r="R26" i="3"/>
  <c r="E17" i="25" s="1"/>
  <c r="P27" i="3"/>
  <c r="C17" i="26" s="1"/>
  <c r="Q27" i="3"/>
  <c r="D17" i="26" s="1"/>
  <c r="R27" i="3"/>
  <c r="E17" i="26" s="1"/>
  <c r="P28" i="3"/>
  <c r="C17" i="27" s="1"/>
  <c r="Q28" i="3"/>
  <c r="D17" i="27" s="1"/>
  <c r="R28" i="3"/>
  <c r="E17" i="27" s="1"/>
  <c r="P29" i="3"/>
  <c r="C17" i="28" s="1"/>
  <c r="Q29" i="3"/>
  <c r="D17" i="28" s="1"/>
  <c r="R29" i="3"/>
  <c r="E17" i="28" s="1"/>
  <c r="P30" i="3"/>
  <c r="C17" i="29" s="1"/>
  <c r="F17" i="29" s="1"/>
  <c r="Q30" i="3"/>
  <c r="D17" i="29" s="1"/>
  <c r="R30" i="3"/>
  <c r="E17" i="29" s="1"/>
  <c r="P31" i="3"/>
  <c r="C17" i="30" s="1"/>
  <c r="Q31" i="3"/>
  <c r="D17" i="30" s="1"/>
  <c r="R31" i="3"/>
  <c r="E17" i="30" s="1"/>
  <c r="P32" i="3"/>
  <c r="C17" i="10"/>
  <c r="Q32" i="3"/>
  <c r="D17" i="10" s="1"/>
  <c r="R32" i="3"/>
  <c r="E17" i="10" s="1"/>
  <c r="F17" i="10" s="1"/>
  <c r="O32" i="3"/>
  <c r="B17" i="10" s="1"/>
  <c r="O31" i="3"/>
  <c r="B17" i="30" s="1"/>
  <c r="O30" i="3"/>
  <c r="B17" i="29" s="1"/>
  <c r="O29" i="3"/>
  <c r="B17" i="28"/>
  <c r="O28" i="3"/>
  <c r="B17" i="27" s="1"/>
  <c r="O27" i="3"/>
  <c r="B17" i="26"/>
  <c r="O26" i="3"/>
  <c r="B17" i="25" s="1"/>
  <c r="O25" i="3"/>
  <c r="B17" i="24" s="1"/>
  <c r="O24" i="3"/>
  <c r="B17" i="23" s="1"/>
  <c r="O23" i="3"/>
  <c r="B17" i="22" s="1"/>
  <c r="O22" i="3"/>
  <c r="B17" i="21" s="1"/>
  <c r="O21" i="3"/>
  <c r="B17" i="20"/>
  <c r="O20" i="3"/>
  <c r="B17" i="19" s="1"/>
  <c r="O19" i="3"/>
  <c r="B17" i="18"/>
  <c r="O18" i="3"/>
  <c r="B17" i="17" s="1"/>
  <c r="O17" i="3"/>
  <c r="B17" i="16" s="1"/>
  <c r="O16" i="3"/>
  <c r="B17" i="15" s="1"/>
  <c r="O15" i="3"/>
  <c r="B17" i="14" s="1"/>
  <c r="O14" i="3"/>
  <c r="B17" i="13" s="1"/>
  <c r="O13" i="3"/>
  <c r="B17" i="12"/>
  <c r="O12" i="3"/>
  <c r="B17" i="11" s="1"/>
  <c r="O11" i="3"/>
  <c r="B17" i="9" s="1"/>
  <c r="O10" i="3"/>
  <c r="B17" i="8" s="1"/>
  <c r="O9" i="3"/>
  <c r="B17" i="7" s="1"/>
  <c r="O8" i="3"/>
  <c r="B17" i="6" s="1"/>
  <c r="O7" i="3"/>
  <c r="B17" i="5" s="1"/>
  <c r="O6" i="3"/>
  <c r="B17" i="4" s="1"/>
  <c r="O5" i="3"/>
  <c r="B17" i="2"/>
  <c r="L5" i="3"/>
  <c r="C13" i="2" s="1"/>
  <c r="M5" i="3"/>
  <c r="M33" i="3" s="1"/>
  <c r="D13" i="2"/>
  <c r="N5" i="3"/>
  <c r="E13" i="2" s="1"/>
  <c r="L6" i="3"/>
  <c r="C13" i="4"/>
  <c r="M6" i="3"/>
  <c r="D13" i="4" s="1"/>
  <c r="N6" i="3"/>
  <c r="E13" i="4" s="1"/>
  <c r="L7" i="3"/>
  <c r="M7" i="3"/>
  <c r="D13" i="5" s="1"/>
  <c r="N7" i="3"/>
  <c r="E13" i="5" s="1"/>
  <c r="L8" i="3"/>
  <c r="C13" i="6"/>
  <c r="M8" i="3"/>
  <c r="D13" i="6" s="1"/>
  <c r="N8" i="3"/>
  <c r="E13" i="6" s="1"/>
  <c r="L9" i="3"/>
  <c r="C13" i="7" s="1"/>
  <c r="M9" i="3"/>
  <c r="D13" i="7" s="1"/>
  <c r="N9" i="3"/>
  <c r="E13" i="7" s="1"/>
  <c r="L10" i="3"/>
  <c r="C13" i="8" s="1"/>
  <c r="M10" i="3"/>
  <c r="D13" i="8" s="1"/>
  <c r="N10" i="3"/>
  <c r="E13" i="8"/>
  <c r="L11" i="3"/>
  <c r="C13" i="9" s="1"/>
  <c r="M11" i="3"/>
  <c r="D13" i="9" s="1"/>
  <c r="N11" i="3"/>
  <c r="E13" i="9" s="1"/>
  <c r="F13" i="9" s="1"/>
  <c r="L12" i="3"/>
  <c r="C13" i="11" s="1"/>
  <c r="M12" i="3"/>
  <c r="D13" i="11" s="1"/>
  <c r="N12" i="3"/>
  <c r="E13" i="11" s="1"/>
  <c r="L13" i="3"/>
  <c r="C13" i="12" s="1"/>
  <c r="M13" i="3"/>
  <c r="D13" i="12"/>
  <c r="N13" i="3"/>
  <c r="E13" i="12" s="1"/>
  <c r="L14" i="3"/>
  <c r="C13" i="13" s="1"/>
  <c r="M14" i="3"/>
  <c r="D13" i="13" s="1"/>
  <c r="N14" i="3"/>
  <c r="E13" i="13" s="1"/>
  <c r="L15" i="3"/>
  <c r="C13" i="14" s="1"/>
  <c r="M15" i="3"/>
  <c r="D13" i="14" s="1"/>
  <c r="N15" i="3"/>
  <c r="E13" i="14" s="1"/>
  <c r="L16" i="3"/>
  <c r="C13" i="15"/>
  <c r="F13" i="15" s="1"/>
  <c r="M16" i="3"/>
  <c r="D13" i="15" s="1"/>
  <c r="N16" i="3"/>
  <c r="E13" i="15"/>
  <c r="L17" i="3"/>
  <c r="C13" i="16" s="1"/>
  <c r="M17" i="3"/>
  <c r="D13" i="16" s="1"/>
  <c r="N17" i="3"/>
  <c r="E13" i="16" s="1"/>
  <c r="L18" i="3"/>
  <c r="C13" i="17" s="1"/>
  <c r="M18" i="3"/>
  <c r="D13" i="17" s="1"/>
  <c r="N18" i="3"/>
  <c r="E13" i="17"/>
  <c r="L19" i="3"/>
  <c r="C13" i="18" s="1"/>
  <c r="M19" i="3"/>
  <c r="D13" i="18"/>
  <c r="N19" i="3"/>
  <c r="E13" i="18" s="1"/>
  <c r="L20" i="3"/>
  <c r="C13" i="19" s="1"/>
  <c r="M20" i="3"/>
  <c r="D13" i="19" s="1"/>
  <c r="N20" i="3"/>
  <c r="E13" i="19" s="1"/>
  <c r="F13" i="19" s="1"/>
  <c r="L21" i="3"/>
  <c r="C13" i="20" s="1"/>
  <c r="M21" i="3"/>
  <c r="D13" i="20"/>
  <c r="N21" i="3"/>
  <c r="E13" i="20" s="1"/>
  <c r="L22" i="3"/>
  <c r="C13" i="21"/>
  <c r="M22" i="3"/>
  <c r="D13" i="21" s="1"/>
  <c r="N22" i="3"/>
  <c r="E13" i="21" s="1"/>
  <c r="L23" i="3"/>
  <c r="C13" i="22" s="1"/>
  <c r="M23" i="3"/>
  <c r="D13" i="22" s="1"/>
  <c r="N23" i="3"/>
  <c r="E13" i="22" s="1"/>
  <c r="L24" i="3"/>
  <c r="C13" i="23"/>
  <c r="M24" i="3"/>
  <c r="D13" i="23" s="1"/>
  <c r="N24" i="3"/>
  <c r="E13" i="23"/>
  <c r="L25" i="3"/>
  <c r="C13" i="24" s="1"/>
  <c r="M25" i="3"/>
  <c r="D13" i="24" s="1"/>
  <c r="N25" i="3"/>
  <c r="E13" i="24" s="1"/>
  <c r="L26" i="3"/>
  <c r="C13" i="25" s="1"/>
  <c r="M26" i="3"/>
  <c r="D13" i="25" s="1"/>
  <c r="N26" i="3"/>
  <c r="E13" i="25" s="1"/>
  <c r="L27" i="3"/>
  <c r="C13" i="26" s="1"/>
  <c r="M27" i="3"/>
  <c r="D13" i="26" s="1"/>
  <c r="N27" i="3"/>
  <c r="E13" i="26"/>
  <c r="L28" i="3"/>
  <c r="C13" i="27" s="1"/>
  <c r="M28" i="3"/>
  <c r="D13" i="27"/>
  <c r="N28" i="3"/>
  <c r="E13" i="27" s="1"/>
  <c r="L29" i="3"/>
  <c r="C13" i="28"/>
  <c r="M29" i="3"/>
  <c r="D13" i="28" s="1"/>
  <c r="N29" i="3"/>
  <c r="E13" i="28" s="1"/>
  <c r="L30" i="3"/>
  <c r="C13" i="29" s="1"/>
  <c r="M30" i="3"/>
  <c r="D13" i="29"/>
  <c r="N30" i="3"/>
  <c r="E13" i="29" s="1"/>
  <c r="L31" i="3"/>
  <c r="C13" i="30"/>
  <c r="M31" i="3"/>
  <c r="D13" i="30" s="1"/>
  <c r="N31" i="3"/>
  <c r="E13" i="30"/>
  <c r="L32" i="3"/>
  <c r="C13" i="10" s="1"/>
  <c r="M32" i="3"/>
  <c r="D13" i="10" s="1"/>
  <c r="N32" i="3"/>
  <c r="E13" i="10" s="1"/>
  <c r="K32" i="3"/>
  <c r="B13" i="10"/>
  <c r="K31" i="3"/>
  <c r="B13" i="30" s="1"/>
  <c r="K30" i="3"/>
  <c r="B13" i="29"/>
  <c r="K29" i="3"/>
  <c r="B13" i="28" s="1"/>
  <c r="K28" i="3"/>
  <c r="B13" i="27"/>
  <c r="K27" i="3"/>
  <c r="B13" i="26" s="1"/>
  <c r="K26" i="3"/>
  <c r="B13" i="25" s="1"/>
  <c r="K25" i="3"/>
  <c r="B13" i="24" s="1"/>
  <c r="K24" i="3"/>
  <c r="B13" i="23"/>
  <c r="K23" i="3"/>
  <c r="B13" i="22" s="1"/>
  <c r="K22" i="3"/>
  <c r="B13" i="21"/>
  <c r="K21" i="3"/>
  <c r="B13" i="20" s="1"/>
  <c r="K20" i="3"/>
  <c r="B13" i="19"/>
  <c r="K19" i="3"/>
  <c r="B13" i="18" s="1"/>
  <c r="K18" i="3"/>
  <c r="B13" i="17" s="1"/>
  <c r="K17" i="3"/>
  <c r="B13" i="16" s="1"/>
  <c r="K16" i="3"/>
  <c r="B13" i="15"/>
  <c r="K15" i="3"/>
  <c r="B13" i="14" s="1"/>
  <c r="K14" i="3"/>
  <c r="B13" i="13"/>
  <c r="K13" i="3"/>
  <c r="B13" i="12" s="1"/>
  <c r="K12" i="3"/>
  <c r="B13" i="11"/>
  <c r="K11" i="3"/>
  <c r="B13" i="9" s="1"/>
  <c r="K10" i="3"/>
  <c r="B13" i="8" s="1"/>
  <c r="K9" i="3"/>
  <c r="B13" i="7" s="1"/>
  <c r="K8" i="3"/>
  <c r="B13" i="6"/>
  <c r="K7" i="3"/>
  <c r="K6" i="3"/>
  <c r="K5" i="3"/>
  <c r="B13" i="2" s="1"/>
  <c r="H5" i="3"/>
  <c r="C9" i="2" s="1"/>
  <c r="I5" i="3"/>
  <c r="I33" i="3" s="1"/>
  <c r="J5" i="3"/>
  <c r="E9" i="2"/>
  <c r="H6" i="3"/>
  <c r="C9" i="4" s="1"/>
  <c r="I6" i="3"/>
  <c r="D9" i="4"/>
  <c r="J6" i="3"/>
  <c r="E9" i="4" s="1"/>
  <c r="H7" i="3"/>
  <c r="I7" i="3"/>
  <c r="D9" i="5"/>
  <c r="J7" i="3"/>
  <c r="E9" i="5" s="1"/>
  <c r="H8" i="3"/>
  <c r="I8" i="3"/>
  <c r="D9" i="6" s="1"/>
  <c r="J8" i="3"/>
  <c r="H9" i="3"/>
  <c r="C9" i="7" s="1"/>
  <c r="I9" i="3"/>
  <c r="D9" i="7" s="1"/>
  <c r="J9" i="3"/>
  <c r="E9" i="7"/>
  <c r="H10" i="3"/>
  <c r="C9" i="8" s="1"/>
  <c r="I10" i="3"/>
  <c r="D9" i="8"/>
  <c r="J10" i="3"/>
  <c r="E9" i="8" s="1"/>
  <c r="H11" i="3"/>
  <c r="C9" i="9"/>
  <c r="I11" i="3"/>
  <c r="D9" i="9" s="1"/>
  <c r="J11" i="3"/>
  <c r="E9" i="9" s="1"/>
  <c r="H12" i="3"/>
  <c r="C9" i="11" s="1"/>
  <c r="I12" i="3"/>
  <c r="D9" i="11"/>
  <c r="J12" i="3"/>
  <c r="E9" i="11" s="1"/>
  <c r="H13" i="3"/>
  <c r="C9" i="12" s="1"/>
  <c r="I13" i="3"/>
  <c r="D9" i="12" s="1"/>
  <c r="J13" i="3"/>
  <c r="E9" i="12"/>
  <c r="H14" i="3"/>
  <c r="C9" i="13" s="1"/>
  <c r="I14" i="3"/>
  <c r="D9" i="13" s="1"/>
  <c r="J14" i="3"/>
  <c r="E9" i="13" s="1"/>
  <c r="H15" i="3"/>
  <c r="C9" i="14"/>
  <c r="I15" i="3"/>
  <c r="D9" i="14" s="1"/>
  <c r="J15" i="3"/>
  <c r="E9" i="14" s="1"/>
  <c r="H16" i="3"/>
  <c r="C9" i="15" s="1"/>
  <c r="I16" i="3"/>
  <c r="D9" i="15"/>
  <c r="J16" i="3"/>
  <c r="E9" i="15" s="1"/>
  <c r="H17" i="3"/>
  <c r="C9" i="16" s="1"/>
  <c r="I17" i="3"/>
  <c r="D9" i="16" s="1"/>
  <c r="J17" i="3"/>
  <c r="E9" i="16"/>
  <c r="H18" i="3"/>
  <c r="C9" i="17" s="1"/>
  <c r="I18" i="3"/>
  <c r="D9" i="17"/>
  <c r="J18" i="3"/>
  <c r="E9" i="17" s="1"/>
  <c r="H19" i="3"/>
  <c r="C9" i="18" s="1"/>
  <c r="I19" i="3"/>
  <c r="D9" i="18" s="1"/>
  <c r="J19" i="3"/>
  <c r="E9" i="18" s="1"/>
  <c r="H20" i="3"/>
  <c r="C9" i="19" s="1"/>
  <c r="I20" i="3"/>
  <c r="D9" i="19"/>
  <c r="J20" i="3"/>
  <c r="E9" i="19" s="1"/>
  <c r="H21" i="3"/>
  <c r="C9" i="20"/>
  <c r="I21" i="3"/>
  <c r="D9" i="20" s="1"/>
  <c r="J21" i="3"/>
  <c r="E9" i="20"/>
  <c r="H22" i="3"/>
  <c r="C9" i="21" s="1"/>
  <c r="I22" i="3"/>
  <c r="D9" i="21" s="1"/>
  <c r="J22" i="3"/>
  <c r="E9" i="21" s="1"/>
  <c r="H23" i="3"/>
  <c r="C9" i="22"/>
  <c r="I23" i="3"/>
  <c r="D9" i="22" s="1"/>
  <c r="J23" i="3"/>
  <c r="E9" i="22"/>
  <c r="H24" i="3"/>
  <c r="C9" i="23" s="1"/>
  <c r="I24" i="3"/>
  <c r="D9" i="23"/>
  <c r="J24" i="3"/>
  <c r="E9" i="23" s="1"/>
  <c r="H25" i="3"/>
  <c r="C9" i="24" s="1"/>
  <c r="I25" i="3"/>
  <c r="D9" i="24"/>
  <c r="J25" i="3"/>
  <c r="E9" i="24" s="1"/>
  <c r="H26" i="3"/>
  <c r="C9" i="25" s="1"/>
  <c r="I26" i="3"/>
  <c r="D9" i="25" s="1"/>
  <c r="J26" i="3"/>
  <c r="E9" i="25"/>
  <c r="H27" i="3"/>
  <c r="C9" i="26" s="1"/>
  <c r="I27" i="3"/>
  <c r="D9" i="26"/>
  <c r="J27" i="3"/>
  <c r="E9" i="26" s="1"/>
  <c r="H28" i="3"/>
  <c r="C9" i="27"/>
  <c r="I28" i="3"/>
  <c r="D9" i="27" s="1"/>
  <c r="J28" i="3"/>
  <c r="E9" i="27" s="1"/>
  <c r="H29" i="3"/>
  <c r="C9" i="28" s="1"/>
  <c r="I29" i="3"/>
  <c r="D9" i="28"/>
  <c r="J29" i="3"/>
  <c r="E9" i="28" s="1"/>
  <c r="H30" i="3"/>
  <c r="C9" i="29"/>
  <c r="I30" i="3"/>
  <c r="D9" i="29" s="1"/>
  <c r="J30" i="3"/>
  <c r="E9" i="29"/>
  <c r="H31" i="3"/>
  <c r="C9" i="30" s="1"/>
  <c r="I31" i="3"/>
  <c r="D9" i="30" s="1"/>
  <c r="J31" i="3"/>
  <c r="E9" i="30" s="1"/>
  <c r="H32" i="3"/>
  <c r="C9" i="10"/>
  <c r="I32" i="3"/>
  <c r="D9" i="10" s="1"/>
  <c r="J32" i="3"/>
  <c r="E9" i="10"/>
  <c r="G32" i="3"/>
  <c r="B9" i="10" s="1"/>
  <c r="G31" i="3"/>
  <c r="B9" i="30"/>
  <c r="G30" i="3"/>
  <c r="B9" i="29" s="1"/>
  <c r="G29" i="3"/>
  <c r="B9" i="28" s="1"/>
  <c r="G28" i="3"/>
  <c r="B9" i="27" s="1"/>
  <c r="G27" i="3"/>
  <c r="B9" i="26"/>
  <c r="G26" i="3"/>
  <c r="B9" i="25" s="1"/>
  <c r="G25" i="3"/>
  <c r="B9" i="24"/>
  <c r="G24" i="3"/>
  <c r="B9" i="23" s="1"/>
  <c r="G23" i="3"/>
  <c r="B9" i="22"/>
  <c r="G22" i="3"/>
  <c r="B9" i="21" s="1"/>
  <c r="G21" i="3"/>
  <c r="B9" i="20" s="1"/>
  <c r="B10" i="20" s="1"/>
  <c r="G20" i="3"/>
  <c r="B9" i="19" s="1"/>
  <c r="G19" i="3"/>
  <c r="B9" i="18"/>
  <c r="G18" i="3"/>
  <c r="B9" i="17" s="1"/>
  <c r="G17" i="3"/>
  <c r="B9" i="16"/>
  <c r="G16" i="3"/>
  <c r="B9" i="15" s="1"/>
  <c r="G15" i="3"/>
  <c r="B9" i="14"/>
  <c r="G14" i="3"/>
  <c r="B9" i="13" s="1"/>
  <c r="G13" i="3"/>
  <c r="B9" i="12" s="1"/>
  <c r="G12" i="3"/>
  <c r="B9" i="11" s="1"/>
  <c r="G11" i="3"/>
  <c r="B9" i="9"/>
  <c r="G10" i="3"/>
  <c r="B9" i="8" s="1"/>
  <c r="G9" i="3"/>
  <c r="B9" i="7"/>
  <c r="G8" i="3"/>
  <c r="B9" i="6" s="1"/>
  <c r="G7" i="3"/>
  <c r="B9" i="5"/>
  <c r="G6" i="3"/>
  <c r="B9" i="4" s="1"/>
  <c r="G5" i="3"/>
  <c r="B9" i="2" s="1"/>
  <c r="F5" i="3"/>
  <c r="E20" i="2" s="1"/>
  <c r="F6" i="3"/>
  <c r="F7" i="3"/>
  <c r="E20" i="5" s="1"/>
  <c r="F8" i="3"/>
  <c r="E20" i="6" s="1"/>
  <c r="F9" i="3"/>
  <c r="E20" i="7"/>
  <c r="F10" i="3"/>
  <c r="E20" i="8" s="1"/>
  <c r="F11" i="3"/>
  <c r="E20" i="9" s="1"/>
  <c r="F12" i="3"/>
  <c r="E20" i="11" s="1"/>
  <c r="F13" i="3"/>
  <c r="E20" i="12" s="1"/>
  <c r="F14" i="3"/>
  <c r="E20" i="13" s="1"/>
  <c r="F15" i="3"/>
  <c r="E20" i="14"/>
  <c r="F16" i="3"/>
  <c r="E20" i="15" s="1"/>
  <c r="F17" i="3"/>
  <c r="E20" i="16"/>
  <c r="F18" i="3"/>
  <c r="E20" i="17" s="1"/>
  <c r="F19" i="3"/>
  <c r="E20" i="18" s="1"/>
  <c r="F20" i="3"/>
  <c r="E20" i="19" s="1"/>
  <c r="F21" i="3"/>
  <c r="E20" i="20" s="1"/>
  <c r="F22" i="3"/>
  <c r="E20" i="21" s="1"/>
  <c r="F23" i="3"/>
  <c r="E20" i="22" s="1"/>
  <c r="F24" i="3"/>
  <c r="E20" i="23" s="1"/>
  <c r="F25" i="3"/>
  <c r="E20" i="24"/>
  <c r="F26" i="3"/>
  <c r="E20" i="25" s="1"/>
  <c r="F27" i="3"/>
  <c r="E20" i="26" s="1"/>
  <c r="F28" i="3"/>
  <c r="E20" i="27" s="1"/>
  <c r="F29" i="3"/>
  <c r="E20" i="28"/>
  <c r="F30" i="3"/>
  <c r="E20" i="29" s="1"/>
  <c r="F31" i="3"/>
  <c r="E20" i="30" s="1"/>
  <c r="F32" i="3"/>
  <c r="E20" i="10" s="1"/>
  <c r="E5" i="3"/>
  <c r="E6" i="3"/>
  <c r="D20" i="4" s="1"/>
  <c r="E7" i="3"/>
  <c r="D20" i="5" s="1"/>
  <c r="E8" i="3"/>
  <c r="D20" i="6"/>
  <c r="E9" i="3"/>
  <c r="D20" i="7" s="1"/>
  <c r="E10" i="3"/>
  <c r="D20" i="8" s="1"/>
  <c r="E11" i="3"/>
  <c r="D20" i="9" s="1"/>
  <c r="E12" i="3"/>
  <c r="D20" i="11"/>
  <c r="E13" i="3"/>
  <c r="D20" i="12" s="1"/>
  <c r="E14" i="3"/>
  <c r="D20" i="13" s="1"/>
  <c r="E15" i="3"/>
  <c r="D20" i="14" s="1"/>
  <c r="E16" i="3"/>
  <c r="D20" i="15"/>
  <c r="E17" i="3"/>
  <c r="D20" i="16" s="1"/>
  <c r="E18" i="3"/>
  <c r="D20" i="17" s="1"/>
  <c r="E19" i="3"/>
  <c r="D20" i="18" s="1"/>
  <c r="E20" i="3"/>
  <c r="D20" i="19"/>
  <c r="E21" i="3"/>
  <c r="D20" i="20" s="1"/>
  <c r="E22" i="3"/>
  <c r="D20" i="21" s="1"/>
  <c r="E23" i="3"/>
  <c r="D20" i="22" s="1"/>
  <c r="E24" i="3"/>
  <c r="D20" i="23"/>
  <c r="E25" i="3"/>
  <c r="D20" i="24" s="1"/>
  <c r="E26" i="3"/>
  <c r="D20" i="25" s="1"/>
  <c r="E27" i="3"/>
  <c r="D20" i="26" s="1"/>
  <c r="E28" i="3"/>
  <c r="D20" i="27" s="1"/>
  <c r="E29" i="3"/>
  <c r="D20" i="28" s="1"/>
  <c r="E30" i="3"/>
  <c r="D20" i="29" s="1"/>
  <c r="E31" i="3"/>
  <c r="D20" i="30" s="1"/>
  <c r="E32" i="3"/>
  <c r="D20" i="10"/>
  <c r="D5" i="3"/>
  <c r="C20" i="2" s="1"/>
  <c r="D6" i="3"/>
  <c r="D7" i="3"/>
  <c r="C20" i="5" s="1"/>
  <c r="D8" i="3"/>
  <c r="C20" i="6" s="1"/>
  <c r="D9" i="3"/>
  <c r="C20" i="7" s="1"/>
  <c r="D10" i="3"/>
  <c r="C20" i="8" s="1"/>
  <c r="F20" i="8" s="1"/>
  <c r="D11" i="3"/>
  <c r="C20" i="9" s="1"/>
  <c r="D12" i="3"/>
  <c r="C20" i="11" s="1"/>
  <c r="D13" i="3"/>
  <c r="C20" i="12" s="1"/>
  <c r="D14" i="3"/>
  <c r="C20" i="13" s="1"/>
  <c r="F20" i="13" s="1"/>
  <c r="D15" i="3"/>
  <c r="C20" i="14" s="1"/>
  <c r="F20" i="14" s="1"/>
  <c r="D16" i="3"/>
  <c r="C20" i="15" s="1"/>
  <c r="D17" i="3"/>
  <c r="C20" i="16" s="1"/>
  <c r="D18" i="3"/>
  <c r="C20" i="17"/>
  <c r="F20" i="17" s="1"/>
  <c r="D19" i="3"/>
  <c r="C20" i="18" s="1"/>
  <c r="D20" i="3"/>
  <c r="C20" i="19" s="1"/>
  <c r="F20" i="19" s="1"/>
  <c r="D21" i="3"/>
  <c r="C20" i="20" s="1"/>
  <c r="D22" i="3"/>
  <c r="C20" i="21" s="1"/>
  <c r="D23" i="3"/>
  <c r="C20" i="22" s="1"/>
  <c r="D24" i="3"/>
  <c r="C20" i="23" s="1"/>
  <c r="F20" i="23" s="1"/>
  <c r="D25" i="3"/>
  <c r="C20" i="24" s="1"/>
  <c r="D26" i="3"/>
  <c r="C20" i="25"/>
  <c r="D27" i="3"/>
  <c r="C20" i="26" s="1"/>
  <c r="D28" i="3"/>
  <c r="C20" i="27" s="1"/>
  <c r="D29" i="3"/>
  <c r="C20" i="28" s="1"/>
  <c r="F20" i="28" s="1"/>
  <c r="D30" i="3"/>
  <c r="C20" i="29" s="1"/>
  <c r="D31" i="3"/>
  <c r="C20" i="30" s="1"/>
  <c r="D32" i="3"/>
  <c r="C20" i="10" s="1"/>
  <c r="C32" i="3"/>
  <c r="B20" i="10" s="1"/>
  <c r="C13" i="3"/>
  <c r="B20" i="12"/>
  <c r="B14" i="12" s="1"/>
  <c r="C14" i="3"/>
  <c r="B20" i="13" s="1"/>
  <c r="C15" i="3"/>
  <c r="B20" i="14" s="1"/>
  <c r="C16" i="3"/>
  <c r="B20" i="15" s="1"/>
  <c r="C17" i="3"/>
  <c r="B20" i="16" s="1"/>
  <c r="C18" i="3"/>
  <c r="B20" i="17" s="1"/>
  <c r="C19" i="3"/>
  <c r="B20" i="18" s="1"/>
  <c r="C20" i="3"/>
  <c r="B20" i="19" s="1"/>
  <c r="C21" i="3"/>
  <c r="B20" i="20"/>
  <c r="B14" i="20" s="1"/>
  <c r="C22" i="3"/>
  <c r="B20" i="21" s="1"/>
  <c r="C23" i="3"/>
  <c r="B20" i="22"/>
  <c r="C24" i="3"/>
  <c r="B20" i="23" s="1"/>
  <c r="C25" i="3"/>
  <c r="B20" i="24" s="1"/>
  <c r="C26" i="3"/>
  <c r="B20" i="25"/>
  <c r="C27" i="3"/>
  <c r="B20" i="26" s="1"/>
  <c r="C28" i="3"/>
  <c r="B20" i="27" s="1"/>
  <c r="C29" i="3"/>
  <c r="B20" i="28" s="1"/>
  <c r="C30" i="3"/>
  <c r="B20" i="29" s="1"/>
  <c r="C31" i="3"/>
  <c r="B20" i="30" s="1"/>
  <c r="C12" i="3"/>
  <c r="B20" i="11"/>
  <c r="B18" i="11" s="1"/>
  <c r="C7" i="3"/>
  <c r="B20" i="5" s="1"/>
  <c r="C8" i="3"/>
  <c r="B20" i="6" s="1"/>
  <c r="B18" i="6" s="1"/>
  <c r="C9" i="3"/>
  <c r="B20" i="7"/>
  <c r="B10" i="7" s="1"/>
  <c r="C10" i="3"/>
  <c r="B20" i="8" s="1"/>
  <c r="C11" i="3"/>
  <c r="B20" i="9"/>
  <c r="C6" i="3"/>
  <c r="B20" i="4" s="1"/>
  <c r="C5" i="3"/>
  <c r="B20" i="2" s="1"/>
  <c r="W30" i="3"/>
  <c r="G9" i="29" s="1"/>
  <c r="G10" i="29" s="1"/>
  <c r="W28" i="3"/>
  <c r="G9" i="27" s="1"/>
  <c r="G10" i="27" s="1"/>
  <c r="S25" i="3"/>
  <c r="G20" i="24" s="1"/>
  <c r="S24" i="3"/>
  <c r="G20" i="23" s="1"/>
  <c r="G10" i="23" s="1"/>
  <c r="S18" i="3"/>
  <c r="G20" i="17" s="1"/>
  <c r="W13" i="3"/>
  <c r="G9" i="12" s="1"/>
  <c r="G10" i="12" s="1"/>
  <c r="W10" i="3"/>
  <c r="G9" i="8" s="1"/>
  <c r="X9" i="3"/>
  <c r="H9" i="7" s="1"/>
  <c r="AA7" i="3"/>
  <c r="G13" i="5" s="1"/>
  <c r="C87" i="31"/>
  <c r="D87" i="31" s="1"/>
  <c r="E87" i="31" s="1"/>
  <c r="F13" i="14"/>
  <c r="F17" i="25"/>
  <c r="F17" i="19"/>
  <c r="F17" i="11"/>
  <c r="F17" i="6"/>
  <c r="C17" i="5"/>
  <c r="C20" i="4"/>
  <c r="C13" i="5"/>
  <c r="F13" i="5" s="1"/>
  <c r="F17" i="27"/>
  <c r="F17" i="8"/>
  <c r="C9" i="5"/>
  <c r="AH8" i="3"/>
  <c r="J17" i="6" s="1"/>
  <c r="AA17" i="3"/>
  <c r="G13" i="16" s="1"/>
  <c r="AA18" i="3"/>
  <c r="G13" i="17" s="1"/>
  <c r="X7" i="3"/>
  <c r="H9" i="5" s="1"/>
  <c r="X10" i="3"/>
  <c r="H9" i="8" s="1"/>
  <c r="AL20" i="32"/>
  <c r="E72" i="3"/>
  <c r="AL20" i="31" s="1"/>
  <c r="AP20" i="32"/>
  <c r="AJ20" i="40"/>
  <c r="AW20" i="40" s="1"/>
  <c r="O80" i="3"/>
  <c r="F72" i="3"/>
  <c r="AM20" i="31" s="1"/>
  <c r="AJ20" i="32"/>
  <c r="AW20" i="32" s="1"/>
  <c r="O73" i="3"/>
  <c r="N72" i="3"/>
  <c r="AU20" i="31" s="1"/>
  <c r="G72" i="3"/>
  <c r="AN20" i="31" s="1"/>
  <c r="C104" i="3"/>
  <c r="AZ20" i="31" s="1"/>
  <c r="O109" i="3"/>
  <c r="I104" i="3"/>
  <c r="BF20" i="31" s="1"/>
  <c r="G104" i="3"/>
  <c r="BD20" i="31" s="1"/>
  <c r="C86" i="32"/>
  <c r="D86" i="32" s="1"/>
  <c r="E86" i="32" s="1"/>
  <c r="F86" i="32" s="1"/>
  <c r="C87" i="43"/>
  <c r="D87" i="43" s="1"/>
  <c r="E87" i="43" s="1"/>
  <c r="C87" i="49"/>
  <c r="D87" i="49" s="1"/>
  <c r="E87" i="49" s="1"/>
  <c r="F87" i="49" s="1"/>
  <c r="G87" i="49" s="1"/>
  <c r="H87" i="49" s="1"/>
  <c r="I87" i="49" s="1"/>
  <c r="J87" i="49" s="1"/>
  <c r="K87" i="49" s="1"/>
  <c r="L87" i="49" s="1"/>
  <c r="M87" i="49" s="1"/>
  <c r="N87" i="49" s="1"/>
  <c r="AL66" i="41"/>
  <c r="AL66" i="45"/>
  <c r="N66" i="53"/>
  <c r="AJ66" i="57"/>
  <c r="L104" i="3"/>
  <c r="BI20" i="31" s="1"/>
  <c r="AJ66" i="48"/>
  <c r="N66" i="48"/>
  <c r="AK66" i="50"/>
  <c r="C87" i="54"/>
  <c r="D87" i="54" s="1"/>
  <c r="E87" i="54" s="1"/>
  <c r="F87" i="54" s="1"/>
  <c r="G87" i="54" s="1"/>
  <c r="H87" i="54" s="1"/>
  <c r="I87" i="54" s="1"/>
  <c r="J87" i="54" s="1"/>
  <c r="K87" i="54" s="1"/>
  <c r="L87" i="54" s="1"/>
  <c r="M87" i="54" s="1"/>
  <c r="N87" i="54" s="1"/>
  <c r="N66" i="58"/>
  <c r="C87" i="58"/>
  <c r="D87" i="58" s="1"/>
  <c r="E87" i="58" s="1"/>
  <c r="F87" i="58" s="1"/>
  <c r="G87" i="58" s="1"/>
  <c r="H87" i="58" s="1"/>
  <c r="I87" i="58" s="1"/>
  <c r="J87" i="58" s="1"/>
  <c r="K87" i="58" s="1"/>
  <c r="L87" i="58" s="1"/>
  <c r="M87" i="58" s="1"/>
  <c r="N87" i="58" s="1"/>
  <c r="O169" i="3"/>
  <c r="C87" i="33"/>
  <c r="D87" i="33" s="1"/>
  <c r="C86" i="54"/>
  <c r="D86" i="54" s="1"/>
  <c r="E86" i="54" s="1"/>
  <c r="F86" i="54" s="1"/>
  <c r="G86" i="54" s="1"/>
  <c r="H86" i="54" s="1"/>
  <c r="C86" i="33"/>
  <c r="AJ65" i="51"/>
  <c r="N64" i="32"/>
  <c r="AL65" i="52"/>
  <c r="C84" i="32"/>
  <c r="D84" i="32" s="1"/>
  <c r="U87" i="41"/>
  <c r="V87" i="41" s="1"/>
  <c r="W87" i="41" s="1"/>
  <c r="X87" i="41" s="1"/>
  <c r="Y87" i="41" s="1"/>
  <c r="Z87" i="41" s="1"/>
  <c r="AA87" i="41" s="1"/>
  <c r="AB87" i="41" s="1"/>
  <c r="AC87" i="41" s="1"/>
  <c r="AD87" i="41" s="1"/>
  <c r="AE87" i="41" s="1"/>
  <c r="AF87" i="41" s="1"/>
  <c r="AF66" i="39"/>
  <c r="O205" i="3"/>
  <c r="U87" i="36"/>
  <c r="V87" i="36" s="1"/>
  <c r="W87" i="36" s="1"/>
  <c r="O221" i="3"/>
  <c r="U87" i="39"/>
  <c r="O219" i="3"/>
  <c r="BO40" i="34"/>
  <c r="BO40" i="38"/>
  <c r="AZ44" i="38"/>
  <c r="BE40" i="48"/>
  <c r="BN40" i="48"/>
  <c r="BN40" i="50"/>
  <c r="BB40" i="34"/>
  <c r="BA40" i="38"/>
  <c r="AK18" i="34"/>
  <c r="AU75" i="3"/>
  <c r="AK18" i="39"/>
  <c r="AU79" i="3"/>
  <c r="AK18" i="41"/>
  <c r="AU81" i="3"/>
  <c r="AK18" i="45"/>
  <c r="AU85" i="3"/>
  <c r="AK18" i="51"/>
  <c r="AU91" i="3"/>
  <c r="AU42" i="3"/>
  <c r="AU88" i="3"/>
  <c r="AU78" i="3"/>
  <c r="AN72" i="3"/>
  <c r="AO18" i="31" s="1"/>
  <c r="AP18" i="32"/>
  <c r="AM18" i="33"/>
  <c r="AL72" i="3"/>
  <c r="AM18" i="31" s="1"/>
  <c r="AU47" i="3"/>
  <c r="AU87" i="3"/>
  <c r="AU77" i="3"/>
  <c r="AJ18" i="32"/>
  <c r="AI72" i="3"/>
  <c r="AJ18" i="31" s="1"/>
  <c r="AK18" i="33"/>
  <c r="AK18" i="35"/>
  <c r="AU76" i="3"/>
  <c r="AK18" i="40"/>
  <c r="AU80" i="3"/>
  <c r="AK18" i="44"/>
  <c r="AU84" i="3"/>
  <c r="AK18" i="46"/>
  <c r="AU86" i="3"/>
  <c r="AK18" i="50"/>
  <c r="AU90" i="3"/>
  <c r="AJ18" i="55"/>
  <c r="AJ18" i="56"/>
  <c r="AU96" i="3"/>
  <c r="AJ18" i="38"/>
  <c r="AW18" i="38" s="1"/>
  <c r="AU49" i="3"/>
  <c r="AU67" i="3"/>
  <c r="AU44" i="3"/>
  <c r="AU73" i="3"/>
  <c r="AU93" i="3"/>
  <c r="AU83" i="3"/>
  <c r="AU74" i="3"/>
  <c r="AR72" i="3"/>
  <c r="AS18" i="31" s="1"/>
  <c r="AU18" i="32"/>
  <c r="AT72" i="3"/>
  <c r="C86" i="43"/>
  <c r="C87" i="56"/>
  <c r="AE168" i="3"/>
  <c r="AK65" i="31"/>
  <c r="C86" i="55"/>
  <c r="D86" i="55" s="1"/>
  <c r="E86" i="55" s="1"/>
  <c r="F86" i="55" s="1"/>
  <c r="G86" i="55" s="1"/>
  <c r="H86" i="55" s="1"/>
  <c r="I86" i="55" s="1"/>
  <c r="J86" i="55" s="1"/>
  <c r="AE203" i="3"/>
  <c r="AD65" i="34"/>
  <c r="AC65" i="41"/>
  <c r="AE209" i="3"/>
  <c r="AE213" i="3"/>
  <c r="AB65" i="45"/>
  <c r="AR65" i="45" s="1"/>
  <c r="AE222" i="3"/>
  <c r="T65" i="54"/>
  <c r="AZ39" i="46"/>
  <c r="C86" i="40"/>
  <c r="D86" i="40" s="1"/>
  <c r="E86" i="40" s="1"/>
  <c r="F86" i="40" s="1"/>
  <c r="G86" i="40" s="1"/>
  <c r="AE224" i="3"/>
  <c r="T66" i="56"/>
  <c r="AG66" i="56" s="1"/>
  <c r="AK64" i="32"/>
  <c r="T65" i="39"/>
  <c r="AE207" i="3"/>
  <c r="U86" i="53"/>
  <c r="C86" i="51"/>
  <c r="D86" i="51" s="1"/>
  <c r="AJ65" i="53"/>
  <c r="C86" i="53"/>
  <c r="D86" i="53" s="1"/>
  <c r="E86" i="53" s="1"/>
  <c r="F86" i="53" s="1"/>
  <c r="G86" i="53" s="1"/>
  <c r="H86" i="53" s="1"/>
  <c r="I86" i="53" s="1"/>
  <c r="J86" i="53" s="1"/>
  <c r="K86" i="53" s="1"/>
  <c r="AN65" i="42"/>
  <c r="Y65" i="43"/>
  <c r="AO65" i="43" s="1"/>
  <c r="Y65" i="53"/>
  <c r="AO65" i="53" s="1"/>
  <c r="W65" i="57"/>
  <c r="AE65" i="35"/>
  <c r="AU65" i="35" s="1"/>
  <c r="V65" i="49"/>
  <c r="AL65" i="49" s="1"/>
  <c r="AT65" i="33"/>
  <c r="AU65" i="33"/>
  <c r="AM65" i="43"/>
  <c r="AN65" i="45"/>
  <c r="AP65" i="51"/>
  <c r="AS65" i="47"/>
  <c r="AJ65" i="41"/>
  <c r="AO65" i="54"/>
  <c r="AJ65" i="34"/>
  <c r="AJ65" i="43"/>
  <c r="AS65" i="42"/>
  <c r="AL65" i="58"/>
  <c r="AP65" i="47"/>
  <c r="AQ65" i="41"/>
  <c r="AQ65" i="47"/>
  <c r="AT65" i="50"/>
  <c r="AS65" i="38"/>
  <c r="AN65" i="40"/>
  <c r="AL65" i="47"/>
  <c r="AO65" i="36"/>
  <c r="AP65" i="45"/>
  <c r="AQ65" i="52"/>
  <c r="AN65" i="52"/>
  <c r="AN65" i="57"/>
  <c r="U85" i="31"/>
  <c r="V85" i="31" s="1"/>
  <c r="W85" i="31" s="1"/>
  <c r="U85" i="45"/>
  <c r="U85" i="51"/>
  <c r="U85" i="48"/>
  <c r="V85" i="48" s="1"/>
  <c r="W85" i="48" s="1"/>
  <c r="AU64" i="55"/>
  <c r="BE40" i="40"/>
  <c r="BN40" i="40"/>
  <c r="BI40" i="40"/>
  <c r="AU64" i="38"/>
  <c r="Z9" i="3"/>
  <c r="J9" i="7" s="1"/>
  <c r="X19" i="3"/>
  <c r="H9" i="18" s="1"/>
  <c r="O51" i="3"/>
  <c r="AK39" i="33"/>
  <c r="AK39" i="35"/>
  <c r="O98" i="3"/>
  <c r="O89" i="3"/>
  <c r="AK41" i="53"/>
  <c r="O74" i="3"/>
  <c r="O79" i="3"/>
  <c r="BD40" i="31"/>
  <c r="AM66" i="37"/>
  <c r="AJ66" i="44"/>
  <c r="C87" i="44"/>
  <c r="AZ20" i="33"/>
  <c r="BM20" i="33" s="1"/>
  <c r="AK66" i="36"/>
  <c r="N66" i="45"/>
  <c r="C87" i="45"/>
  <c r="D87" i="45" s="1"/>
  <c r="E87" i="45" s="1"/>
  <c r="F87" i="45" s="1"/>
  <c r="G87" i="45" s="1"/>
  <c r="H87" i="45" s="1"/>
  <c r="I87" i="45" s="1"/>
  <c r="J87" i="45" s="1"/>
  <c r="K87" i="45" s="1"/>
  <c r="L87" i="45" s="1"/>
  <c r="M87" i="45" s="1"/>
  <c r="N87" i="45" s="1"/>
  <c r="O170" i="3"/>
  <c r="O181" i="3"/>
  <c r="AJ66" i="54"/>
  <c r="AN65" i="31"/>
  <c r="C86" i="36"/>
  <c r="AJ65" i="36"/>
  <c r="C86" i="48"/>
  <c r="D86" i="48" s="1"/>
  <c r="E86" i="48" s="1"/>
  <c r="F86" i="48" s="1"/>
  <c r="G86" i="48" s="1"/>
  <c r="H86" i="48" s="1"/>
  <c r="AJ65" i="48"/>
  <c r="U85" i="32"/>
  <c r="V85" i="32" s="1"/>
  <c r="O173" i="3"/>
  <c r="V66" i="33"/>
  <c r="O202" i="3"/>
  <c r="U87" i="35"/>
  <c r="V87" i="35" s="1"/>
  <c r="V66" i="44"/>
  <c r="O212" i="3"/>
  <c r="T66" i="47"/>
  <c r="O215" i="3"/>
  <c r="X66" i="48"/>
  <c r="AN66" i="48" s="1"/>
  <c r="O216" i="3"/>
  <c r="V66" i="52"/>
  <c r="O220" i="3"/>
  <c r="AM65" i="41"/>
  <c r="C86" i="41"/>
  <c r="U86" i="51"/>
  <c r="AR65" i="47"/>
  <c r="AO65" i="33"/>
  <c r="C85" i="35"/>
  <c r="D85" i="35" s="1"/>
  <c r="AJ64" i="35"/>
  <c r="AQ65" i="44"/>
  <c r="AT65" i="38"/>
  <c r="AL65" i="56"/>
  <c r="AM64" i="57"/>
  <c r="AM65" i="37"/>
  <c r="AU65" i="50"/>
  <c r="AT65" i="41"/>
  <c r="AM63" i="32"/>
  <c r="AO64" i="39"/>
  <c r="AK64" i="40"/>
  <c r="AK64" i="49"/>
  <c r="N64" i="41"/>
  <c r="U87" i="33"/>
  <c r="V87" i="33" s="1"/>
  <c r="T66" i="34"/>
  <c r="AG66" i="34" s="1"/>
  <c r="T67" i="56"/>
  <c r="AG67" i="56" s="1"/>
  <c r="O224" i="3"/>
  <c r="U66" i="57"/>
  <c r="O225" i="3"/>
  <c r="V66" i="35"/>
  <c r="O204" i="3"/>
  <c r="U85" i="35"/>
  <c r="V85" i="35" s="1"/>
  <c r="W85" i="35" s="1"/>
  <c r="X85" i="35" s="1"/>
  <c r="O207" i="3"/>
  <c r="T66" i="55"/>
  <c r="AG66" i="55" s="1"/>
  <c r="O223" i="3"/>
  <c r="U87" i="51"/>
  <c r="AF66" i="51"/>
  <c r="T66" i="40"/>
  <c r="AG66" i="40" s="1"/>
  <c r="T66" i="42"/>
  <c r="AG66" i="42" s="1"/>
  <c r="BA40" i="57"/>
  <c r="X17" i="3"/>
  <c r="H9" i="16" s="1"/>
  <c r="X15" i="3"/>
  <c r="H9" i="14" s="1"/>
  <c r="O66" i="3"/>
  <c r="B20" i="52"/>
  <c r="BL18" i="38"/>
  <c r="F20" i="48"/>
  <c r="H20" i="32"/>
  <c r="AK39" i="43"/>
  <c r="AK39" i="50"/>
  <c r="F20" i="49"/>
  <c r="AK39" i="46"/>
  <c r="AK39" i="57"/>
  <c r="AZ20" i="46"/>
  <c r="AZ20" i="47"/>
  <c r="BM20" i="47" s="1"/>
  <c r="J104" i="3"/>
  <c r="BG20" i="31" s="1"/>
  <c r="N66" i="50"/>
  <c r="N66" i="37"/>
  <c r="AN66" i="46"/>
  <c r="N66" i="46"/>
  <c r="AN66" i="51"/>
  <c r="AL66" i="57"/>
  <c r="N66" i="57"/>
  <c r="C87" i="38"/>
  <c r="D87" i="38" s="1"/>
  <c r="E87" i="38" s="1"/>
  <c r="F87" i="38" s="1"/>
  <c r="G87" i="38" s="1"/>
  <c r="H87" i="38" s="1"/>
  <c r="I87" i="38" s="1"/>
  <c r="J87" i="38" s="1"/>
  <c r="K87" i="38" s="1"/>
  <c r="L87" i="38" s="1"/>
  <c r="M87" i="38" s="1"/>
  <c r="N87" i="38" s="1"/>
  <c r="AJ65" i="31"/>
  <c r="U86" i="31"/>
  <c r="V86" i="31" s="1"/>
  <c r="W86" i="31" s="1"/>
  <c r="AJ20" i="37"/>
  <c r="AW20" i="37" s="1"/>
  <c r="O106" i="3"/>
  <c r="N66" i="47"/>
  <c r="N66" i="49"/>
  <c r="N66" i="54"/>
  <c r="AL66" i="55"/>
  <c r="AN65" i="54"/>
  <c r="U86" i="48"/>
  <c r="C86" i="49"/>
  <c r="AL65" i="37"/>
  <c r="AT65" i="55"/>
  <c r="AR65" i="35"/>
  <c r="C86" i="44"/>
  <c r="D86" i="44" s="1"/>
  <c r="E86" i="44" s="1"/>
  <c r="U86" i="58"/>
  <c r="V86" i="58" s="1"/>
  <c r="W86" i="58" s="1"/>
  <c r="X86" i="58" s="1"/>
  <c r="Y86" i="58" s="1"/>
  <c r="Z86" i="58" s="1"/>
  <c r="AK65" i="55"/>
  <c r="AL65" i="35"/>
  <c r="AL65" i="54"/>
  <c r="AP65" i="42"/>
  <c r="AU65" i="55"/>
  <c r="T65" i="57"/>
  <c r="C85" i="40"/>
  <c r="D85" i="40" s="1"/>
  <c r="C85" i="47"/>
  <c r="D85" i="47" s="1"/>
  <c r="E85" i="47" s="1"/>
  <c r="F85" i="47" s="1"/>
  <c r="G85" i="47" s="1"/>
  <c r="H85" i="47" s="1"/>
  <c r="I85" i="47" s="1"/>
  <c r="J85" i="47" s="1"/>
  <c r="K85" i="47" s="1"/>
  <c r="L85" i="47" s="1"/>
  <c r="M85" i="47" s="1"/>
  <c r="C85" i="38"/>
  <c r="D85" i="38" s="1"/>
  <c r="C85" i="45"/>
  <c r="D85" i="45" s="1"/>
  <c r="E85" i="45" s="1"/>
  <c r="F85" i="45" s="1"/>
  <c r="G85" i="45" s="1"/>
  <c r="H85" i="45" s="1"/>
  <c r="AJ64" i="45"/>
  <c r="C85" i="42"/>
  <c r="D85" i="42" s="1"/>
  <c r="E85" i="42" s="1"/>
  <c r="C85" i="44"/>
  <c r="AF65" i="32"/>
  <c r="O206" i="3"/>
  <c r="O201" i="3"/>
  <c r="O213" i="3"/>
  <c r="T66" i="45"/>
  <c r="U87" i="52"/>
  <c r="V87" i="52" s="1"/>
  <c r="U87" i="53"/>
  <c r="O209" i="3"/>
  <c r="O208" i="3"/>
  <c r="U85" i="33"/>
  <c r="V85" i="33" s="1"/>
  <c r="W85" i="33" s="1"/>
  <c r="X85" i="33" s="1"/>
  <c r="C40" i="36"/>
  <c r="D40" i="36" s="1"/>
  <c r="E40" i="36" s="1"/>
  <c r="F40" i="36" s="1"/>
  <c r="G40" i="36" s="1"/>
  <c r="H40" i="36" s="1"/>
  <c r="I40" i="36" s="1"/>
  <c r="J40" i="36" s="1"/>
  <c r="K40" i="36" s="1"/>
  <c r="L40" i="36" s="1"/>
  <c r="M40" i="36" s="1"/>
  <c r="N40" i="36" s="1"/>
  <c r="C40" i="37"/>
  <c r="D40" i="37" s="1"/>
  <c r="E40" i="37" s="1"/>
  <c r="F40" i="37" s="1"/>
  <c r="G40" i="37" s="1"/>
  <c r="H40" i="37" s="1"/>
  <c r="I40" i="37" s="1"/>
  <c r="J40" i="37" s="1"/>
  <c r="K40" i="37" s="1"/>
  <c r="L40" i="37" s="1"/>
  <c r="M40" i="37" s="1"/>
  <c r="N40" i="37" s="1"/>
  <c r="C40" i="38"/>
  <c r="D40" i="38" s="1"/>
  <c r="E40" i="38" s="1"/>
  <c r="F40" i="38" s="1"/>
  <c r="G40" i="38" s="1"/>
  <c r="H40" i="38" s="1"/>
  <c r="I40" i="38" s="1"/>
  <c r="J40" i="38" s="1"/>
  <c r="K40" i="38" s="1"/>
  <c r="L40" i="38" s="1"/>
  <c r="M40" i="38" s="1"/>
  <c r="N40" i="38" s="1"/>
  <c r="AK40" i="42"/>
  <c r="AL40" i="42" s="1"/>
  <c r="AM40" i="42" s="1"/>
  <c r="AN40" i="42" s="1"/>
  <c r="AO40" i="42" s="1"/>
  <c r="AP40" i="42" s="1"/>
  <c r="AQ40" i="42" s="1"/>
  <c r="AR40" i="42" s="1"/>
  <c r="AS40" i="42" s="1"/>
  <c r="AT40" i="42" s="1"/>
  <c r="AU40" i="42" s="1"/>
  <c r="AV40" i="42" s="1"/>
  <c r="BL19" i="43"/>
  <c r="AV19" i="36"/>
  <c r="C40" i="33"/>
  <c r="D40" i="33" s="1"/>
  <c r="E40" i="33" s="1"/>
  <c r="F40" i="33" s="1"/>
  <c r="G40" i="33" s="1"/>
  <c r="H40" i="33" s="1"/>
  <c r="I40" i="33" s="1"/>
  <c r="J40" i="33" s="1"/>
  <c r="K40" i="33" s="1"/>
  <c r="L40" i="33" s="1"/>
  <c r="M40" i="33" s="1"/>
  <c r="N40" i="33" s="1"/>
  <c r="C40" i="47"/>
  <c r="D40" i="47" s="1"/>
  <c r="E40" i="47" s="1"/>
  <c r="F40" i="47" s="1"/>
  <c r="G40" i="47" s="1"/>
  <c r="H40" i="47" s="1"/>
  <c r="I40" i="47" s="1"/>
  <c r="J40" i="47" s="1"/>
  <c r="K40" i="47" s="1"/>
  <c r="L40" i="47" s="1"/>
  <c r="M40" i="47" s="1"/>
  <c r="N40" i="47" s="1"/>
  <c r="AK40" i="47"/>
  <c r="AL40" i="47" s="1"/>
  <c r="AM40" i="47" s="1"/>
  <c r="AN40" i="47" s="1"/>
  <c r="AO40" i="47" s="1"/>
  <c r="AP40" i="47" s="1"/>
  <c r="AQ40" i="47" s="1"/>
  <c r="AR40" i="47" s="1"/>
  <c r="AS40" i="47" s="1"/>
  <c r="AT40" i="47" s="1"/>
  <c r="AU40" i="47" s="1"/>
  <c r="AV40" i="47" s="1"/>
  <c r="C40" i="48"/>
  <c r="D40" i="48" s="1"/>
  <c r="E40" i="48" s="1"/>
  <c r="F40" i="48" s="1"/>
  <c r="G40" i="48" s="1"/>
  <c r="H40" i="48" s="1"/>
  <c r="I40" i="48" s="1"/>
  <c r="J40" i="48" s="1"/>
  <c r="K40" i="48" s="1"/>
  <c r="L40" i="48" s="1"/>
  <c r="M40" i="48" s="1"/>
  <c r="N40" i="48" s="1"/>
  <c r="C40" i="52"/>
  <c r="D40" i="52" s="1"/>
  <c r="E40" i="52" s="1"/>
  <c r="F40" i="52" s="1"/>
  <c r="G40" i="52" s="1"/>
  <c r="H40" i="52" s="1"/>
  <c r="I40" i="52" s="1"/>
  <c r="J40" i="52" s="1"/>
  <c r="K40" i="52" s="1"/>
  <c r="L40" i="52" s="1"/>
  <c r="M40" i="52" s="1"/>
  <c r="N40" i="52" s="1"/>
  <c r="AK40" i="52"/>
  <c r="AL40" i="52" s="1"/>
  <c r="AM40" i="52" s="1"/>
  <c r="AN40" i="52" s="1"/>
  <c r="AO40" i="52" s="1"/>
  <c r="AP40" i="52" s="1"/>
  <c r="AQ40" i="52" s="1"/>
  <c r="AR40" i="52" s="1"/>
  <c r="AS40" i="52" s="1"/>
  <c r="AT40" i="52" s="1"/>
  <c r="AU40" i="52" s="1"/>
  <c r="AV40" i="52" s="1"/>
  <c r="BL19" i="53"/>
  <c r="AK40" i="54"/>
  <c r="AL40" i="54" s="1"/>
  <c r="AM40" i="54" s="1"/>
  <c r="AN40" i="54" s="1"/>
  <c r="AO40" i="54" s="1"/>
  <c r="AP40" i="54" s="1"/>
  <c r="AQ40" i="54" s="1"/>
  <c r="AR40" i="54" s="1"/>
  <c r="AS40" i="54" s="1"/>
  <c r="AT40" i="54" s="1"/>
  <c r="AU40" i="54" s="1"/>
  <c r="AV40" i="54" s="1"/>
  <c r="C40" i="44"/>
  <c r="D40" i="44" s="1"/>
  <c r="E40" i="44" s="1"/>
  <c r="F40" i="44" s="1"/>
  <c r="G40" i="44" s="1"/>
  <c r="H40" i="44" s="1"/>
  <c r="I40" i="44" s="1"/>
  <c r="J40" i="44" s="1"/>
  <c r="K40" i="44" s="1"/>
  <c r="L40" i="44" s="1"/>
  <c r="M40" i="44" s="1"/>
  <c r="N40" i="44" s="1"/>
  <c r="AK40" i="44"/>
  <c r="AL40" i="44" s="1"/>
  <c r="AM40" i="44" s="1"/>
  <c r="AN40" i="44" s="1"/>
  <c r="AO40" i="44" s="1"/>
  <c r="AP40" i="44" s="1"/>
  <c r="AQ40" i="44" s="1"/>
  <c r="AR40" i="44" s="1"/>
  <c r="AS40" i="44" s="1"/>
  <c r="AT40" i="44" s="1"/>
  <c r="AU40" i="44" s="1"/>
  <c r="AV40" i="44" s="1"/>
  <c r="AK40" i="49"/>
  <c r="AL40" i="49" s="1"/>
  <c r="AM40" i="49" s="1"/>
  <c r="AN40" i="49" s="1"/>
  <c r="AO40" i="49" s="1"/>
  <c r="AP40" i="49" s="1"/>
  <c r="AQ40" i="49" s="1"/>
  <c r="AR40" i="49" s="1"/>
  <c r="AS40" i="49" s="1"/>
  <c r="AT40" i="49" s="1"/>
  <c r="AU40" i="49" s="1"/>
  <c r="AV40" i="49" s="1"/>
  <c r="C40" i="53"/>
  <c r="D40" i="53" s="1"/>
  <c r="E40" i="53" s="1"/>
  <c r="F40" i="53" s="1"/>
  <c r="G40" i="53" s="1"/>
  <c r="H40" i="53" s="1"/>
  <c r="I40" i="53" s="1"/>
  <c r="J40" i="53" s="1"/>
  <c r="K40" i="53" s="1"/>
  <c r="L40" i="53" s="1"/>
  <c r="M40" i="53" s="1"/>
  <c r="N40" i="53" s="1"/>
  <c r="AK40" i="53"/>
  <c r="AL40" i="53" s="1"/>
  <c r="AM40" i="53" s="1"/>
  <c r="AN40" i="53" s="1"/>
  <c r="AO40" i="53" s="1"/>
  <c r="AP40" i="53" s="1"/>
  <c r="AQ40" i="53" s="1"/>
  <c r="AR40" i="53" s="1"/>
  <c r="AS40" i="53" s="1"/>
  <c r="AT40" i="53" s="1"/>
  <c r="AU40" i="53" s="1"/>
  <c r="AV40" i="53" s="1"/>
  <c r="AO20" i="33"/>
  <c r="O75" i="3"/>
  <c r="B20" i="36"/>
  <c r="O82" i="3"/>
  <c r="BL18" i="56"/>
  <c r="O97" i="3"/>
  <c r="BA43" i="54"/>
  <c r="AZ39" i="54"/>
  <c r="C87" i="46"/>
  <c r="D87" i="46" s="1"/>
  <c r="E87" i="46" s="1"/>
  <c r="F87" i="46" s="1"/>
  <c r="G87" i="46" s="1"/>
  <c r="H87" i="46" s="1"/>
  <c r="I87" i="46" s="1"/>
  <c r="J87" i="46" s="1"/>
  <c r="K87" i="46" s="1"/>
  <c r="L87" i="46" s="1"/>
  <c r="M87" i="46" s="1"/>
  <c r="N87" i="46" s="1"/>
  <c r="AJ66" i="37"/>
  <c r="C87" i="37"/>
  <c r="D87" i="37" s="1"/>
  <c r="E87" i="37" s="1"/>
  <c r="F87" i="37" s="1"/>
  <c r="G87" i="37" s="1"/>
  <c r="H87" i="37" s="1"/>
  <c r="I87" i="37" s="1"/>
  <c r="J87" i="37" s="1"/>
  <c r="K87" i="37" s="1"/>
  <c r="L87" i="37" s="1"/>
  <c r="M87" i="37" s="1"/>
  <c r="N87" i="37" s="1"/>
  <c r="C66" i="40"/>
  <c r="AK66" i="40" s="1"/>
  <c r="O176" i="3"/>
  <c r="BJ40" i="31"/>
  <c r="BG40" i="31"/>
  <c r="AZ39" i="33"/>
  <c r="BA43" i="33"/>
  <c r="C66" i="44"/>
  <c r="AK66" i="44" s="1"/>
  <c r="O180" i="3"/>
  <c r="C86" i="37"/>
  <c r="D86" i="37" s="1"/>
  <c r="E86" i="37" s="1"/>
  <c r="F86" i="37" s="1"/>
  <c r="G86" i="37" s="1"/>
  <c r="AJ65" i="37"/>
  <c r="AJ20" i="42"/>
  <c r="AZ39" i="34"/>
  <c r="BA43" i="34"/>
  <c r="BA43" i="50"/>
  <c r="AZ39" i="50"/>
  <c r="AJ66" i="51"/>
  <c r="C87" i="51"/>
  <c r="D66" i="34"/>
  <c r="AL66" i="34" s="1"/>
  <c r="O171" i="3"/>
  <c r="O174" i="3"/>
  <c r="C66" i="41"/>
  <c r="O177" i="3"/>
  <c r="B66" i="42"/>
  <c r="O178" i="3"/>
  <c r="E66" i="43"/>
  <c r="O179" i="3"/>
  <c r="AJ66" i="52"/>
  <c r="C87" i="52"/>
  <c r="D87" i="52" s="1"/>
  <c r="Y65" i="48"/>
  <c r="AO65" i="48" s="1"/>
  <c r="AE216" i="3"/>
  <c r="BL19" i="37"/>
  <c r="O168" i="3"/>
  <c r="O195" i="3"/>
  <c r="AE169" i="3"/>
  <c r="AE171" i="3"/>
  <c r="AE179" i="3"/>
  <c r="AE181" i="3"/>
  <c r="AE195" i="3"/>
  <c r="O182" i="3"/>
  <c r="AE200" i="3"/>
  <c r="W65" i="52"/>
  <c r="AE220" i="3"/>
  <c r="AE212" i="3"/>
  <c r="AS65" i="51"/>
  <c r="O192" i="3"/>
  <c r="O194" i="3"/>
  <c r="O193" i="3"/>
  <c r="AU169" i="3"/>
  <c r="AU177" i="3"/>
  <c r="AU179" i="3"/>
  <c r="AU181" i="3"/>
  <c r="AE206" i="3"/>
  <c r="AE201" i="3"/>
  <c r="U65" i="51"/>
  <c r="AK65" i="51" s="1"/>
  <c r="AC65" i="43"/>
  <c r="AS65" i="43" s="1"/>
  <c r="AE211" i="3"/>
  <c r="AQ65" i="42"/>
  <c r="AQ65" i="43"/>
  <c r="AO65" i="51"/>
  <c r="O188" i="3"/>
  <c r="O190" i="3"/>
  <c r="O189" i="3"/>
  <c r="O183" i="3"/>
  <c r="AE170" i="3"/>
  <c r="AE174" i="3"/>
  <c r="AE178" i="3"/>
  <c r="AE182" i="3"/>
  <c r="AE184" i="3"/>
  <c r="AE190" i="3"/>
  <c r="AE194" i="3"/>
  <c r="AE214" i="3"/>
  <c r="AJ64" i="32"/>
  <c r="AE223" i="3"/>
  <c r="T65" i="55"/>
  <c r="AN65" i="38"/>
  <c r="AT65" i="51"/>
  <c r="AS64" i="32"/>
  <c r="Y65" i="47"/>
  <c r="AE215" i="3"/>
  <c r="AT65" i="52"/>
  <c r="AL65" i="55"/>
  <c r="AS65" i="40"/>
  <c r="AT65" i="45"/>
  <c r="AR65" i="49"/>
  <c r="AP65" i="37"/>
  <c r="AR66" i="56"/>
  <c r="AM65" i="40"/>
  <c r="AR65" i="37"/>
  <c r="AM65" i="35"/>
  <c r="AU65" i="52"/>
  <c r="C85" i="37"/>
  <c r="AJ64" i="37"/>
  <c r="C85" i="51"/>
  <c r="D85" i="51" s="1"/>
  <c r="AJ64" i="51"/>
  <c r="T66" i="46"/>
  <c r="O214" i="3"/>
  <c r="T63" i="32"/>
  <c r="AJ63" i="32" s="1"/>
  <c r="AK84" i="32" s="1"/>
  <c r="AU201" i="3"/>
  <c r="T64" i="41"/>
  <c r="AG64" i="41" s="1"/>
  <c r="AU209" i="3"/>
  <c r="C85" i="34"/>
  <c r="AK64" i="46"/>
  <c r="O222" i="3"/>
  <c r="T64" i="34"/>
  <c r="AG64" i="34" s="1"/>
  <c r="AU203" i="3"/>
  <c r="T64" i="49"/>
  <c r="AG64" i="49" s="1"/>
  <c r="AU217" i="3"/>
  <c r="Z64" i="45"/>
  <c r="AU213" i="3"/>
  <c r="Z64" i="53"/>
  <c r="AU221" i="3"/>
  <c r="C85" i="33"/>
  <c r="D85" i="33" s="1"/>
  <c r="AL64" i="52"/>
  <c r="T64" i="52"/>
  <c r="AG64" i="52" s="1"/>
  <c r="AU220" i="3"/>
  <c r="T64" i="57"/>
  <c r="AU225" i="3"/>
  <c r="V66" i="50"/>
  <c r="AL66" i="50" s="1"/>
  <c r="O218" i="3"/>
  <c r="AV19" i="37"/>
  <c r="BL19" i="38"/>
  <c r="AV19" i="35"/>
  <c r="AK40" i="36"/>
  <c r="AL40" i="36" s="1"/>
  <c r="AM40" i="36" s="1"/>
  <c r="AN40" i="36" s="1"/>
  <c r="AO40" i="36" s="1"/>
  <c r="AP40" i="36" s="1"/>
  <c r="AQ40" i="36" s="1"/>
  <c r="AR40" i="36" s="1"/>
  <c r="AS40" i="36" s="1"/>
  <c r="AT40" i="36" s="1"/>
  <c r="AU40" i="36" s="1"/>
  <c r="AV40" i="36" s="1"/>
  <c r="N19" i="38"/>
  <c r="BC40" i="37"/>
  <c r="BJ40" i="37"/>
  <c r="BK40" i="37"/>
  <c r="BM40" i="37"/>
  <c r="BI40" i="37"/>
  <c r="BO40" i="37"/>
  <c r="AZ44" i="37"/>
  <c r="BL40" i="37"/>
  <c r="BE40" i="37"/>
  <c r="BF40" i="37"/>
  <c r="BG40" i="37"/>
  <c r="BH40" i="37"/>
  <c r="B13" i="4"/>
  <c r="E33" i="3"/>
  <c r="D20" i="2"/>
  <c r="D9" i="2"/>
  <c r="Z7" i="3"/>
  <c r="J9" i="5" s="1"/>
  <c r="K9" i="5" s="1"/>
  <c r="W11" i="3"/>
  <c r="G9" i="9" s="1"/>
  <c r="W18" i="3"/>
  <c r="G9" i="17" s="1"/>
  <c r="W22" i="3"/>
  <c r="G9" i="21" s="1"/>
  <c r="W16" i="3"/>
  <c r="G9" i="15" s="1"/>
  <c r="X8" i="3"/>
  <c r="H9" i="6"/>
  <c r="W17" i="3"/>
  <c r="G9" i="16" s="1"/>
  <c r="W25" i="3"/>
  <c r="G9" i="24" s="1"/>
  <c r="C39" i="32"/>
  <c r="D39" i="32" s="1"/>
  <c r="E39" i="32" s="1"/>
  <c r="F39" i="32" s="1"/>
  <c r="G39" i="32" s="1"/>
  <c r="H39" i="32" s="1"/>
  <c r="I39" i="32" s="1"/>
  <c r="J39" i="32" s="1"/>
  <c r="K39" i="32" s="1"/>
  <c r="L39" i="32" s="1"/>
  <c r="M39" i="32" s="1"/>
  <c r="N39" i="32" s="1"/>
  <c r="C39" i="36"/>
  <c r="D39" i="36" s="1"/>
  <c r="E39" i="36" s="1"/>
  <c r="F39" i="36" s="1"/>
  <c r="G39" i="36" s="1"/>
  <c r="H39" i="36" s="1"/>
  <c r="I39" i="36" s="1"/>
  <c r="J39" i="36" s="1"/>
  <c r="K39" i="36" s="1"/>
  <c r="L39" i="36" s="1"/>
  <c r="M39" i="36" s="1"/>
  <c r="N39" i="36" s="1"/>
  <c r="D87" i="36"/>
  <c r="AP65" i="39"/>
  <c r="AN65" i="37"/>
  <c r="AU65" i="51"/>
  <c r="AQ65" i="50"/>
  <c r="AR65" i="48"/>
  <c r="AT65" i="35"/>
  <c r="AP65" i="55"/>
  <c r="C40" i="32"/>
  <c r="D40" i="32" s="1"/>
  <c r="E40" i="32" s="1"/>
  <c r="F40" i="32" s="1"/>
  <c r="G40" i="32" s="1"/>
  <c r="H40" i="32" s="1"/>
  <c r="I40" i="32" s="1"/>
  <c r="J40" i="32" s="1"/>
  <c r="K40" i="32" s="1"/>
  <c r="L40" i="32" s="1"/>
  <c r="M40" i="32" s="1"/>
  <c r="N40" i="32" s="1"/>
  <c r="BL19" i="50"/>
  <c r="N19" i="51"/>
  <c r="BL19" i="57"/>
  <c r="BL19" i="51"/>
  <c r="BL19" i="56"/>
  <c r="BL19" i="35"/>
  <c r="N19" i="40"/>
  <c r="AV19" i="48"/>
  <c r="AV19" i="55"/>
  <c r="B20" i="35"/>
  <c r="B20" i="47"/>
  <c r="O46" i="3"/>
  <c r="C39" i="41"/>
  <c r="D39" i="41" s="1"/>
  <c r="E39" i="41" s="1"/>
  <c r="F39" i="41" s="1"/>
  <c r="H20" i="54"/>
  <c r="O94" i="3"/>
  <c r="O77" i="3"/>
  <c r="H72" i="3"/>
  <c r="AO20" i="31" s="1"/>
  <c r="O108" i="3"/>
  <c r="AJ66" i="50"/>
  <c r="C87" i="50"/>
  <c r="D87" i="50" s="1"/>
  <c r="E87" i="50" s="1"/>
  <c r="F87" i="50" s="1"/>
  <c r="G87" i="50" s="1"/>
  <c r="H87" i="50" s="1"/>
  <c r="I87" i="50" s="1"/>
  <c r="J87" i="50" s="1"/>
  <c r="K87" i="50" s="1"/>
  <c r="L87" i="50" s="1"/>
  <c r="M87" i="50" s="1"/>
  <c r="N87" i="50" s="1"/>
  <c r="AK67" i="56"/>
  <c r="D88" i="56"/>
  <c r="O112" i="3"/>
  <c r="O120" i="3"/>
  <c r="O113" i="3"/>
  <c r="AZ20" i="42"/>
  <c r="BA20" i="53"/>
  <c r="BL20" i="53" s="1"/>
  <c r="BA20" i="56"/>
  <c r="AK66" i="47"/>
  <c r="B66" i="35"/>
  <c r="AJ65" i="38"/>
  <c r="T66" i="49"/>
  <c r="O227" i="3"/>
  <c r="T66" i="38"/>
  <c r="T66" i="58"/>
  <c r="O226" i="3"/>
  <c r="N19" i="58"/>
  <c r="BE40" i="34"/>
  <c r="N19" i="37"/>
  <c r="BL19" i="47"/>
  <c r="BL19" i="52"/>
  <c r="BE40" i="57"/>
  <c r="BJ40" i="57"/>
  <c r="AV19" i="43"/>
  <c r="AV19" i="50"/>
  <c r="BJ40" i="34"/>
  <c r="BF40" i="34"/>
  <c r="BB40" i="36"/>
  <c r="N19" i="57"/>
  <c r="N19" i="33"/>
  <c r="N19" i="56"/>
  <c r="C40" i="56"/>
  <c r="D40" i="56" s="1"/>
  <c r="E40" i="56" s="1"/>
  <c r="F40" i="56" s="1"/>
  <c r="G40" i="56" s="1"/>
  <c r="H40" i="56" s="1"/>
  <c r="I40" i="56" s="1"/>
  <c r="J40" i="56" s="1"/>
  <c r="K40" i="56" s="1"/>
  <c r="L40" i="56" s="1"/>
  <c r="M40" i="56" s="1"/>
  <c r="N40" i="56" s="1"/>
  <c r="AK40" i="58"/>
  <c r="AL40" i="58" s="1"/>
  <c r="AM40" i="58" s="1"/>
  <c r="AN40" i="58" s="1"/>
  <c r="AO40" i="58" s="1"/>
  <c r="AP40" i="58" s="1"/>
  <c r="AQ40" i="58" s="1"/>
  <c r="AR40" i="58" s="1"/>
  <c r="AS40" i="58" s="1"/>
  <c r="AT40" i="58" s="1"/>
  <c r="AU40" i="58" s="1"/>
  <c r="AV40" i="58" s="1"/>
  <c r="AV19" i="58"/>
  <c r="AD32" i="3"/>
  <c r="J13" i="10" s="1"/>
  <c r="Z16" i="3"/>
  <c r="J9" i="15" s="1"/>
  <c r="K9" i="15" s="1"/>
  <c r="Z12" i="3"/>
  <c r="J9" i="11" s="1"/>
  <c r="AD11" i="3"/>
  <c r="J13" i="9" s="1"/>
  <c r="Z19" i="3"/>
  <c r="J9" i="18" s="1"/>
  <c r="Z18" i="3"/>
  <c r="J9" i="17" s="1"/>
  <c r="Z11" i="3"/>
  <c r="J9" i="9" s="1"/>
  <c r="V12" i="3"/>
  <c r="J20" i="11" s="1"/>
  <c r="S21" i="3"/>
  <c r="G20" i="20" s="1"/>
  <c r="G14" i="20" s="1"/>
  <c r="S27" i="3"/>
  <c r="G20" i="26" s="1"/>
  <c r="S12" i="3"/>
  <c r="G20" i="11" s="1"/>
  <c r="G20" i="18"/>
  <c r="AH9" i="3"/>
  <c r="J17" i="7" s="1"/>
  <c r="G20" i="7"/>
  <c r="S10" i="3"/>
  <c r="G20" i="8" s="1"/>
  <c r="V15" i="3"/>
  <c r="J20" i="14" s="1"/>
  <c r="T18" i="3"/>
  <c r="H20" i="17" s="1"/>
  <c r="V14" i="3"/>
  <c r="J20" i="13" s="1"/>
  <c r="T17" i="3"/>
  <c r="H20" i="16" s="1"/>
  <c r="S22" i="3"/>
  <c r="G20" i="21" s="1"/>
  <c r="S26" i="3"/>
  <c r="G20" i="25" s="1"/>
  <c r="V19" i="3"/>
  <c r="J20" i="18" s="1"/>
  <c r="V20" i="3"/>
  <c r="J20" i="19" s="1"/>
  <c r="V18" i="3"/>
  <c r="J20" i="17" s="1"/>
  <c r="T20" i="3"/>
  <c r="H20" i="19" s="1"/>
  <c r="V17" i="3"/>
  <c r="J20" i="16" s="1"/>
  <c r="S8" i="3"/>
  <c r="G20" i="6" s="1"/>
  <c r="S11" i="3"/>
  <c r="G20" i="9" s="1"/>
  <c r="V7" i="3"/>
  <c r="J20" i="5" s="1"/>
  <c r="K20" i="5" s="1"/>
  <c r="V11" i="3"/>
  <c r="J20" i="9" s="1"/>
  <c r="V10" i="3"/>
  <c r="J20" i="8" s="1"/>
  <c r="T9" i="3"/>
  <c r="H20" i="7" s="1"/>
  <c r="T32" i="3"/>
  <c r="H20" i="10" s="1"/>
  <c r="T16" i="3"/>
  <c r="H20" i="15" s="1"/>
  <c r="E9" i="6"/>
  <c r="F9" i="6" s="1"/>
  <c r="J33" i="3"/>
  <c r="E20" i="4"/>
  <c r="F20" i="4" s="1"/>
  <c r="C9" i="6"/>
  <c r="H33" i="3"/>
  <c r="F13" i="29"/>
  <c r="AB13" i="3"/>
  <c r="H13" i="12" s="1"/>
  <c r="F17" i="2"/>
  <c r="AH7" i="3"/>
  <c r="J17" i="5" s="1"/>
  <c r="AB21" i="3"/>
  <c r="H13" i="20" s="1"/>
  <c r="Z21" i="3"/>
  <c r="J9" i="20" s="1"/>
  <c r="Z28" i="3"/>
  <c r="J9" i="27" s="1"/>
  <c r="Z29" i="3"/>
  <c r="J9" i="28" s="1"/>
  <c r="X32" i="3"/>
  <c r="H9" i="10" s="1"/>
  <c r="AA31" i="3"/>
  <c r="G13" i="30" s="1"/>
  <c r="G14" i="30" s="1"/>
  <c r="G14" i="19"/>
  <c r="AB18" i="3"/>
  <c r="H13" i="17" s="1"/>
  <c r="T12" i="3"/>
  <c r="H20" i="11" s="1"/>
  <c r="Z13" i="3"/>
  <c r="J9" i="12"/>
  <c r="Z17" i="3"/>
  <c r="J9" i="16" s="1"/>
  <c r="T22" i="3"/>
  <c r="H20" i="21" s="1"/>
  <c r="T19" i="3"/>
  <c r="H20" i="18" s="1"/>
  <c r="W31" i="3"/>
  <c r="G9" i="30" s="1"/>
  <c r="G10" i="30" s="1"/>
  <c r="O60" i="3"/>
  <c r="F20" i="32"/>
  <c r="O62" i="3"/>
  <c r="B18" i="55"/>
  <c r="O18" i="55" s="1"/>
  <c r="AO66" i="45"/>
  <c r="C87" i="53"/>
  <c r="D87" i="53" s="1"/>
  <c r="E87" i="53" s="1"/>
  <c r="F87" i="53" s="1"/>
  <c r="G87" i="53" s="1"/>
  <c r="H87" i="53" s="1"/>
  <c r="I87" i="53" s="1"/>
  <c r="J87" i="53" s="1"/>
  <c r="K87" i="53" s="1"/>
  <c r="L87" i="53" s="1"/>
  <c r="M87" i="53" s="1"/>
  <c r="N87" i="53" s="1"/>
  <c r="AJ66" i="53"/>
  <c r="AR65" i="44"/>
  <c r="O123" i="3"/>
  <c r="AZ20" i="37"/>
  <c r="BA20" i="50"/>
  <c r="O125" i="3"/>
  <c r="O128" i="3"/>
  <c r="AE226" i="3"/>
  <c r="C40" i="34"/>
  <c r="D40" i="34" s="1"/>
  <c r="E40" i="34" s="1"/>
  <c r="F40" i="34" s="1"/>
  <c r="G40" i="34" s="1"/>
  <c r="H40" i="34" s="1"/>
  <c r="I40" i="34" s="1"/>
  <c r="J40" i="34" s="1"/>
  <c r="K40" i="34" s="1"/>
  <c r="L40" i="34" s="1"/>
  <c r="M40" i="34" s="1"/>
  <c r="N40" i="34" s="1"/>
  <c r="AZ44" i="42"/>
  <c r="BA40" i="42"/>
  <c r="BG40" i="42"/>
  <c r="AV19" i="33"/>
  <c r="BN40" i="44"/>
  <c r="BE40" i="44"/>
  <c r="BK40" i="44"/>
  <c r="BI40" i="44"/>
  <c r="BD40" i="44"/>
  <c r="BF40" i="44"/>
  <c r="BO40" i="44"/>
  <c r="BL40" i="44"/>
  <c r="BJ40" i="42"/>
  <c r="BM40" i="42"/>
  <c r="BL40" i="42"/>
  <c r="BC40" i="42"/>
  <c r="BF40" i="42"/>
  <c r="BI40" i="42"/>
  <c r="BH40" i="42"/>
  <c r="BO40" i="42"/>
  <c r="T23" i="3"/>
  <c r="H20" i="22" s="1"/>
  <c r="T30" i="3"/>
  <c r="H20" i="29" s="1"/>
  <c r="AF16" i="3"/>
  <c r="H17" i="15" s="1"/>
  <c r="AF13" i="3"/>
  <c r="H17" i="12"/>
  <c r="AF12" i="3"/>
  <c r="H17" i="11" s="1"/>
  <c r="AF26" i="3"/>
  <c r="H17" i="25" s="1"/>
  <c r="Z22" i="3"/>
  <c r="J9" i="21" s="1"/>
  <c r="AB12" i="3"/>
  <c r="H13" i="11" s="1"/>
  <c r="T28" i="3"/>
  <c r="H20" i="27" s="1"/>
  <c r="Z23" i="3"/>
  <c r="J9" i="22" s="1"/>
  <c r="T31" i="3"/>
  <c r="H20" i="30" s="1"/>
  <c r="T21" i="3"/>
  <c r="H20" i="20" s="1"/>
  <c r="AD9" i="3"/>
  <c r="J13" i="7" s="1"/>
  <c r="AD10" i="3"/>
  <c r="J13" i="8" s="1"/>
  <c r="AD7" i="3"/>
  <c r="J13" i="5" s="1"/>
  <c r="AL64" i="31"/>
  <c r="BL19" i="31"/>
  <c r="T27" i="3"/>
  <c r="H20" i="26"/>
  <c r="AU18" i="31"/>
  <c r="N18" i="36"/>
  <c r="N18" i="53"/>
  <c r="AK39" i="39"/>
  <c r="C39" i="42"/>
  <c r="D39" i="42" s="1"/>
  <c r="E39" i="42" s="1"/>
  <c r="F39" i="42" s="1"/>
  <c r="G39" i="42" s="1"/>
  <c r="H39" i="42" s="1"/>
  <c r="I39" i="42" s="1"/>
  <c r="J39" i="42" s="1"/>
  <c r="K39" i="42" s="1"/>
  <c r="L39" i="42" s="1"/>
  <c r="M39" i="42" s="1"/>
  <c r="N39" i="42" s="1"/>
  <c r="N18" i="46"/>
  <c r="C39" i="50"/>
  <c r="N18" i="41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C39" i="49"/>
  <c r="D39" i="49" s="1"/>
  <c r="E39" i="49" s="1"/>
  <c r="F39" i="49" s="1"/>
  <c r="G39" i="49" s="1"/>
  <c r="H39" i="49" s="1"/>
  <c r="I39" i="49" s="1"/>
  <c r="J39" i="49" s="1"/>
  <c r="K39" i="49" s="1"/>
  <c r="L39" i="49" s="1"/>
  <c r="M39" i="49" s="1"/>
  <c r="C39" i="35"/>
  <c r="D39" i="35" s="1"/>
  <c r="E39" i="35" s="1"/>
  <c r="F39" i="35" s="1"/>
  <c r="G39" i="35" s="1"/>
  <c r="H39" i="35" s="1"/>
  <c r="I39" i="35" s="1"/>
  <c r="J39" i="35" s="1"/>
  <c r="K39" i="35" s="1"/>
  <c r="L39" i="35" s="1"/>
  <c r="M39" i="35" s="1"/>
  <c r="N39" i="35" s="1"/>
  <c r="C39" i="52"/>
  <c r="D39" i="52" s="1"/>
  <c r="E39" i="52" s="1"/>
  <c r="F39" i="52" s="1"/>
  <c r="G39" i="52" s="1"/>
  <c r="H39" i="52" s="1"/>
  <c r="I39" i="52" s="1"/>
  <c r="J39" i="52" s="1"/>
  <c r="K39" i="52" s="1"/>
  <c r="L39" i="52" s="1"/>
  <c r="M39" i="52" s="1"/>
  <c r="AT65" i="31"/>
  <c r="AQ65" i="31"/>
  <c r="AP65" i="36"/>
  <c r="AU46" i="3"/>
  <c r="C39" i="38"/>
  <c r="C85" i="50"/>
  <c r="AK65" i="34"/>
  <c r="AU41" i="3"/>
  <c r="C86" i="56"/>
  <c r="D86" i="56" s="1"/>
  <c r="E86" i="56" s="1"/>
  <c r="F86" i="56" s="1"/>
  <c r="AK65" i="40"/>
  <c r="D85" i="53"/>
  <c r="E85" i="53" s="1"/>
  <c r="F85" i="53" s="1"/>
  <c r="G85" i="53" s="1"/>
  <c r="H85" i="53" s="1"/>
  <c r="I85" i="53" s="1"/>
  <c r="J85" i="53" s="1"/>
  <c r="K85" i="53" s="1"/>
  <c r="AV19" i="40"/>
  <c r="C40" i="35"/>
  <c r="D40" i="35" s="1"/>
  <c r="E40" i="35" s="1"/>
  <c r="F40" i="35" s="1"/>
  <c r="G40" i="35" s="1"/>
  <c r="H40" i="35" s="1"/>
  <c r="I40" i="35" s="1"/>
  <c r="J40" i="35" s="1"/>
  <c r="K40" i="35" s="1"/>
  <c r="L40" i="35" s="1"/>
  <c r="M40" i="35" s="1"/>
  <c r="N40" i="35" s="1"/>
  <c r="AK40" i="41"/>
  <c r="AL40" i="41" s="1"/>
  <c r="AM40" i="41" s="1"/>
  <c r="AN40" i="41" s="1"/>
  <c r="AO40" i="41" s="1"/>
  <c r="AP40" i="41" s="1"/>
  <c r="AQ40" i="41" s="1"/>
  <c r="AR40" i="41" s="1"/>
  <c r="AS40" i="41" s="1"/>
  <c r="AT40" i="41" s="1"/>
  <c r="AU40" i="41" s="1"/>
  <c r="AV40" i="41" s="1"/>
  <c r="C40" i="54"/>
  <c r="D40" i="54" s="1"/>
  <c r="E40" i="54" s="1"/>
  <c r="F40" i="54" s="1"/>
  <c r="G40" i="54" s="1"/>
  <c r="H40" i="54" s="1"/>
  <c r="I40" i="54" s="1"/>
  <c r="J40" i="54" s="1"/>
  <c r="K40" i="54" s="1"/>
  <c r="L40" i="54" s="1"/>
  <c r="M40" i="54" s="1"/>
  <c r="N40" i="54" s="1"/>
  <c r="AK40" i="45"/>
  <c r="AL40" i="45" s="1"/>
  <c r="AM40" i="45" s="1"/>
  <c r="AN40" i="45" s="1"/>
  <c r="AO40" i="45" s="1"/>
  <c r="AP40" i="45" s="1"/>
  <c r="AQ40" i="45" s="1"/>
  <c r="AR40" i="45" s="1"/>
  <c r="AS40" i="45" s="1"/>
  <c r="AT40" i="45" s="1"/>
  <c r="AU40" i="45" s="1"/>
  <c r="AV40" i="45" s="1"/>
  <c r="AJ66" i="35"/>
  <c r="AK87" i="54"/>
  <c r="AL87" i="54" s="1"/>
  <c r="U87" i="55"/>
  <c r="V87" i="55" s="1"/>
  <c r="W87" i="55" s="1"/>
  <c r="X87" i="55" s="1"/>
  <c r="Y87" i="55" s="1"/>
  <c r="Z87" i="55" s="1"/>
  <c r="AA87" i="55" s="1"/>
  <c r="AK87" i="44"/>
  <c r="AK86" i="41"/>
  <c r="C41" i="54"/>
  <c r="C86" i="38"/>
  <c r="D86" i="38" s="1"/>
  <c r="E86" i="38" s="1"/>
  <c r="F86" i="38" s="1"/>
  <c r="G86" i="38" s="1"/>
  <c r="C87" i="48"/>
  <c r="D87" i="48" s="1"/>
  <c r="E87" i="48" s="1"/>
  <c r="F87" i="48" s="1"/>
  <c r="G87" i="48" s="1"/>
  <c r="H87" i="48" s="1"/>
  <c r="I87" i="48" s="1"/>
  <c r="J87" i="48" s="1"/>
  <c r="K87" i="48" s="1"/>
  <c r="L87" i="48" s="1"/>
  <c r="M87" i="48" s="1"/>
  <c r="N87" i="48" s="1"/>
  <c r="C86" i="34"/>
  <c r="D86" i="34" s="1"/>
  <c r="E86" i="34" s="1"/>
  <c r="F86" i="34" s="1"/>
  <c r="G86" i="34" s="1"/>
  <c r="H86" i="34" s="1"/>
  <c r="C40" i="31"/>
  <c r="D40" i="31" s="1"/>
  <c r="E40" i="31" s="1"/>
  <c r="F40" i="31" s="1"/>
  <c r="G40" i="31" s="1"/>
  <c r="H40" i="31" s="1"/>
  <c r="I40" i="31" s="1"/>
  <c r="J40" i="31" s="1"/>
  <c r="K40" i="31" s="1"/>
  <c r="L40" i="31" s="1"/>
  <c r="M40" i="31" s="1"/>
  <c r="N40" i="31" s="1"/>
  <c r="C87" i="57"/>
  <c r="D87" i="57" s="1"/>
  <c r="E87" i="57" s="1"/>
  <c r="F87" i="57" s="1"/>
  <c r="G87" i="57" s="1"/>
  <c r="H87" i="57" s="1"/>
  <c r="I87" i="57" s="1"/>
  <c r="J87" i="57" s="1"/>
  <c r="K87" i="57" s="1"/>
  <c r="L87" i="57" s="1"/>
  <c r="M87" i="57" s="1"/>
  <c r="N87" i="57" s="1"/>
  <c r="C86" i="39"/>
  <c r="D86" i="39" s="1"/>
  <c r="E86" i="39" s="1"/>
  <c r="F86" i="39" s="1"/>
  <c r="G86" i="39" s="1"/>
  <c r="H86" i="39" s="1"/>
  <c r="I86" i="39" s="1"/>
  <c r="J86" i="39" s="1"/>
  <c r="K86" i="39" s="1"/>
  <c r="L86" i="39" s="1"/>
  <c r="M86" i="39" s="1"/>
  <c r="N86" i="39" s="1"/>
  <c r="AR65" i="36"/>
  <c r="O87" i="3"/>
  <c r="AK41" i="57"/>
  <c r="AK41" i="54"/>
  <c r="AJ20" i="50"/>
  <c r="O129" i="3"/>
  <c r="K104" i="3"/>
  <c r="BH20" i="31" s="1"/>
  <c r="T65" i="35"/>
  <c r="U86" i="52"/>
  <c r="V86" i="52" s="1"/>
  <c r="W86" i="52" s="1"/>
  <c r="X86" i="52" s="1"/>
  <c r="Y86" i="52" s="1"/>
  <c r="Z86" i="52" s="1"/>
  <c r="AA86" i="52" s="1"/>
  <c r="AB86" i="52" s="1"/>
  <c r="AC86" i="52" s="1"/>
  <c r="AD86" i="52" s="1"/>
  <c r="AE86" i="52" s="1"/>
  <c r="AF86" i="52" s="1"/>
  <c r="AU65" i="38"/>
  <c r="I66" i="51"/>
  <c r="O95" i="3"/>
  <c r="O130" i="3"/>
  <c r="O131" i="3"/>
  <c r="AZ20" i="45"/>
  <c r="AK65" i="58"/>
  <c r="AL64" i="54"/>
  <c r="AK64" i="58"/>
  <c r="C85" i="36"/>
  <c r="D85" i="36" s="1"/>
  <c r="E85" i="36" s="1"/>
  <c r="F85" i="36" s="1"/>
  <c r="U87" i="57"/>
  <c r="U85" i="46"/>
  <c r="V85" i="46" s="1"/>
  <c r="W85" i="46" s="1"/>
  <c r="U87" i="48"/>
  <c r="V87" i="48" s="1"/>
  <c r="W87" i="48" s="1"/>
  <c r="X87" i="48" s="1"/>
  <c r="Y87" i="48" s="1"/>
  <c r="Z87" i="48" s="1"/>
  <c r="AA87" i="48" s="1"/>
  <c r="AB87" i="48" s="1"/>
  <c r="AC87" i="48" s="1"/>
  <c r="AD87" i="48" s="1"/>
  <c r="AE87" i="48" s="1"/>
  <c r="AF87" i="48" s="1"/>
  <c r="U87" i="50"/>
  <c r="V87" i="50" s="1"/>
  <c r="W87" i="50" s="1"/>
  <c r="X87" i="50" s="1"/>
  <c r="Y87" i="50" s="1"/>
  <c r="Z87" i="50" s="1"/>
  <c r="AA87" i="50" s="1"/>
  <c r="AB87" i="50" s="1"/>
  <c r="AC87" i="50" s="1"/>
  <c r="AD87" i="50" s="1"/>
  <c r="AE87" i="50" s="1"/>
  <c r="AF87" i="50" s="1"/>
  <c r="T66" i="43"/>
  <c r="BL19" i="33"/>
  <c r="C40" i="43"/>
  <c r="D40" i="43" s="1"/>
  <c r="E40" i="43" s="1"/>
  <c r="F40" i="43" s="1"/>
  <c r="G40" i="43" s="1"/>
  <c r="H40" i="43" s="1"/>
  <c r="I40" i="43" s="1"/>
  <c r="J40" i="43" s="1"/>
  <c r="K40" i="43" s="1"/>
  <c r="L40" i="43" s="1"/>
  <c r="M40" i="43" s="1"/>
  <c r="N40" i="43" s="1"/>
  <c r="AK40" i="35"/>
  <c r="AL40" i="35" s="1"/>
  <c r="AM40" i="35" s="1"/>
  <c r="AN40" i="35" s="1"/>
  <c r="AO40" i="35" s="1"/>
  <c r="AP40" i="35" s="1"/>
  <c r="AQ40" i="35" s="1"/>
  <c r="AR40" i="35" s="1"/>
  <c r="AS40" i="35" s="1"/>
  <c r="AT40" i="35" s="1"/>
  <c r="AU40" i="35" s="1"/>
  <c r="AV40" i="35" s="1"/>
  <c r="BL19" i="40"/>
  <c r="C40" i="45"/>
  <c r="D40" i="45" s="1"/>
  <c r="E40" i="45" s="1"/>
  <c r="F40" i="45" s="1"/>
  <c r="G40" i="45" s="1"/>
  <c r="H40" i="45" s="1"/>
  <c r="I40" i="45" s="1"/>
  <c r="J40" i="45" s="1"/>
  <c r="K40" i="45" s="1"/>
  <c r="L40" i="45" s="1"/>
  <c r="M40" i="45" s="1"/>
  <c r="N40" i="45" s="1"/>
  <c r="AK40" i="46"/>
  <c r="AL40" i="46" s="1"/>
  <c r="AM40" i="46" s="1"/>
  <c r="AN40" i="46" s="1"/>
  <c r="AO40" i="46" s="1"/>
  <c r="AP40" i="46" s="1"/>
  <c r="AQ40" i="46" s="1"/>
  <c r="AR40" i="46" s="1"/>
  <c r="AS40" i="46" s="1"/>
  <c r="AT40" i="46" s="1"/>
  <c r="AU40" i="46" s="1"/>
  <c r="AV40" i="46" s="1"/>
  <c r="AK40" i="57"/>
  <c r="AL40" i="57" s="1"/>
  <c r="AM40" i="57" s="1"/>
  <c r="AN40" i="57" s="1"/>
  <c r="AO40" i="57" s="1"/>
  <c r="AP40" i="57" s="1"/>
  <c r="AQ40" i="57" s="1"/>
  <c r="AR40" i="57" s="1"/>
  <c r="AS40" i="57" s="1"/>
  <c r="AT40" i="57" s="1"/>
  <c r="AU40" i="57" s="1"/>
  <c r="AV40" i="57" s="1"/>
  <c r="AK40" i="43"/>
  <c r="AL40" i="43" s="1"/>
  <c r="AM40" i="43" s="1"/>
  <c r="AN40" i="43" s="1"/>
  <c r="AO40" i="43" s="1"/>
  <c r="AP40" i="43" s="1"/>
  <c r="AQ40" i="43" s="1"/>
  <c r="AR40" i="43" s="1"/>
  <c r="AS40" i="43" s="1"/>
  <c r="AT40" i="43" s="1"/>
  <c r="AU40" i="43" s="1"/>
  <c r="AV40" i="43" s="1"/>
  <c r="AK40" i="50"/>
  <c r="AL40" i="50" s="1"/>
  <c r="AM40" i="50" s="1"/>
  <c r="AN40" i="50" s="1"/>
  <c r="AO40" i="50" s="1"/>
  <c r="AP40" i="50" s="1"/>
  <c r="AQ40" i="50" s="1"/>
  <c r="AR40" i="50" s="1"/>
  <c r="AS40" i="50" s="1"/>
  <c r="AT40" i="50" s="1"/>
  <c r="AU40" i="50" s="1"/>
  <c r="AV40" i="50" s="1"/>
  <c r="AK40" i="51"/>
  <c r="AL40" i="51" s="1"/>
  <c r="AM40" i="51" s="1"/>
  <c r="AN40" i="51" s="1"/>
  <c r="AO40" i="51" s="1"/>
  <c r="AP40" i="51" s="1"/>
  <c r="AQ40" i="51" s="1"/>
  <c r="AR40" i="51" s="1"/>
  <c r="AS40" i="51" s="1"/>
  <c r="AT40" i="51" s="1"/>
  <c r="AU40" i="51" s="1"/>
  <c r="AV40" i="51" s="1"/>
  <c r="AK40" i="39"/>
  <c r="AL40" i="39" s="1"/>
  <c r="AM40" i="39" s="1"/>
  <c r="AN40" i="39" s="1"/>
  <c r="AO40" i="39" s="1"/>
  <c r="AP40" i="39" s="1"/>
  <c r="AQ40" i="39" s="1"/>
  <c r="AR40" i="39" s="1"/>
  <c r="AS40" i="39" s="1"/>
  <c r="AT40" i="39" s="1"/>
  <c r="AU40" i="39" s="1"/>
  <c r="AV40" i="39" s="1"/>
  <c r="AV19" i="39"/>
  <c r="AV19" i="44"/>
  <c r="BL19" i="44"/>
  <c r="V31" i="3"/>
  <c r="J20" i="30" s="1"/>
  <c r="K20" i="30" s="1"/>
  <c r="AD13" i="3"/>
  <c r="J13" i="12" s="1"/>
  <c r="AL65" i="34"/>
  <c r="AF66" i="34"/>
  <c r="AQ65" i="34"/>
  <c r="AV19" i="34"/>
  <c r="BL19" i="34"/>
  <c r="N19" i="34"/>
  <c r="C87" i="34"/>
  <c r="AJ66" i="34"/>
  <c r="BL20" i="33"/>
  <c r="X23" i="31"/>
  <c r="AL65" i="31"/>
  <c r="AK41" i="37"/>
  <c r="AL41" i="37" s="1"/>
  <c r="AK39" i="44"/>
  <c r="AL39" i="44" s="1"/>
  <c r="B20" i="34"/>
  <c r="B20" i="40"/>
  <c r="B20" i="42"/>
  <c r="B20" i="44"/>
  <c r="B20" i="46"/>
  <c r="B20" i="50"/>
  <c r="C20" i="43"/>
  <c r="C20" i="49"/>
  <c r="C20" i="53"/>
  <c r="C20" i="55"/>
  <c r="C20" i="57"/>
  <c r="C20" i="38"/>
  <c r="D20" i="35"/>
  <c r="D20" i="37"/>
  <c r="D20" i="42"/>
  <c r="D20" i="44"/>
  <c r="D20" i="46"/>
  <c r="D20" i="48"/>
  <c r="D20" i="52"/>
  <c r="D20" i="54"/>
  <c r="D20" i="58"/>
  <c r="E20" i="32"/>
  <c r="E20" i="34"/>
  <c r="E20" i="36"/>
  <c r="E20" i="41"/>
  <c r="E20" i="43"/>
  <c r="E20" i="47"/>
  <c r="E20" i="49"/>
  <c r="E20" i="51"/>
  <c r="E20" i="53"/>
  <c r="E20" i="57"/>
  <c r="E20" i="38"/>
  <c r="H20" i="35"/>
  <c r="H20" i="37"/>
  <c r="H20" i="40"/>
  <c r="H20" i="44"/>
  <c r="H20" i="46"/>
  <c r="H20" i="48"/>
  <c r="H20" i="52"/>
  <c r="AK39" i="45"/>
  <c r="AL39" i="45" s="1"/>
  <c r="B20" i="33"/>
  <c r="B20" i="39"/>
  <c r="B20" i="43"/>
  <c r="B20" i="45"/>
  <c r="C20" i="44"/>
  <c r="C20" i="48"/>
  <c r="C20" i="50"/>
  <c r="C20" i="52"/>
  <c r="C20" i="56"/>
  <c r="C20" i="58"/>
  <c r="D20" i="34"/>
  <c r="D20" i="36"/>
  <c r="D20" i="39"/>
  <c r="D20" i="41"/>
  <c r="D20" i="45"/>
  <c r="D20" i="47"/>
  <c r="D20" i="51"/>
  <c r="D20" i="53"/>
  <c r="D20" i="55"/>
  <c r="D20" i="57"/>
  <c r="E20" i="33"/>
  <c r="E20" i="35"/>
  <c r="E20" i="40"/>
  <c r="E20" i="42"/>
  <c r="E20" i="44"/>
  <c r="E20" i="46"/>
  <c r="E20" i="50"/>
  <c r="E20" i="52"/>
  <c r="E20" i="56"/>
  <c r="E20" i="58"/>
  <c r="H20" i="34"/>
  <c r="H20" i="36"/>
  <c r="H20" i="41"/>
  <c r="H20" i="43"/>
  <c r="H20" i="45"/>
  <c r="H20" i="49"/>
  <c r="H20" i="51"/>
  <c r="H20" i="53"/>
  <c r="N40" i="3"/>
  <c r="M20" i="31" s="1"/>
  <c r="AZ39" i="35"/>
  <c r="O238" i="3"/>
  <c r="AC22" i="37" s="1"/>
  <c r="AE22" i="37" s="1"/>
  <c r="O244" i="3"/>
  <c r="AC22" i="44" s="1"/>
  <c r="AE22" i="44" s="1"/>
  <c r="O252" i="3"/>
  <c r="AC22" i="52" s="1"/>
  <c r="Q233" i="3"/>
  <c r="Y22" i="32" s="1"/>
  <c r="R234" i="3"/>
  <c r="AA22" i="33" s="1"/>
  <c r="AD22" i="33" s="1"/>
  <c r="P236" i="3"/>
  <c r="W22" i="35" s="1"/>
  <c r="Q237" i="3"/>
  <c r="Y22" i="36" s="1"/>
  <c r="R238" i="3"/>
  <c r="AA22" i="37" s="1"/>
  <c r="AD22" i="37" s="1"/>
  <c r="P240" i="3"/>
  <c r="W22" i="40"/>
  <c r="Q241" i="3"/>
  <c r="Y22" i="41" s="1"/>
  <c r="R242" i="3"/>
  <c r="AA22" i="42" s="1"/>
  <c r="AD22" i="42" s="1"/>
  <c r="P244" i="3"/>
  <c r="W22" i="44" s="1"/>
  <c r="Q245" i="3"/>
  <c r="Y22" i="45" s="1"/>
  <c r="Y23" i="45" s="1"/>
  <c r="R246" i="3"/>
  <c r="AA22" i="46" s="1"/>
  <c r="AD22" i="46" s="1"/>
  <c r="P248" i="3"/>
  <c r="W22" i="48" s="1"/>
  <c r="Q249" i="3"/>
  <c r="Y22" i="49" s="1"/>
  <c r="R250" i="3"/>
  <c r="AA22" i="50" s="1"/>
  <c r="AD22" i="50" s="1"/>
  <c r="P252" i="3"/>
  <c r="W22" i="52" s="1"/>
  <c r="Q253" i="3"/>
  <c r="Y22" i="53" s="1"/>
  <c r="R254" i="3"/>
  <c r="AA22" i="54" s="1"/>
  <c r="AD22" i="54" s="1"/>
  <c r="P256" i="3"/>
  <c r="W22" i="56" s="1"/>
  <c r="Q257" i="3"/>
  <c r="Y22" i="57" s="1"/>
  <c r="R258" i="3"/>
  <c r="AA22" i="58" s="1"/>
  <c r="AD22" i="58" s="1"/>
  <c r="O247" i="3"/>
  <c r="AC22" i="47" s="1"/>
  <c r="O255" i="3"/>
  <c r="AC22" i="55" s="1"/>
  <c r="R233" i="3"/>
  <c r="AA22" i="32" s="1"/>
  <c r="AD22" i="32" s="1"/>
  <c r="P235" i="3"/>
  <c r="W22" i="34"/>
  <c r="Q236" i="3"/>
  <c r="Y22" i="35" s="1"/>
  <c r="R237" i="3"/>
  <c r="AA22" i="36" s="1"/>
  <c r="AD22" i="36" s="1"/>
  <c r="P239" i="3"/>
  <c r="W22" i="39" s="1"/>
  <c r="Q240" i="3"/>
  <c r="Y22" i="40" s="1"/>
  <c r="R241" i="3"/>
  <c r="AA22" i="41" s="1"/>
  <c r="P243" i="3"/>
  <c r="W22" i="43" s="1"/>
  <c r="Q244" i="3"/>
  <c r="Y22" i="44" s="1"/>
  <c r="R245" i="3"/>
  <c r="AA22" i="45" s="1"/>
  <c r="AD22" i="45" s="1"/>
  <c r="P247" i="3"/>
  <c r="W22" i="47" s="1"/>
  <c r="Q248" i="3"/>
  <c r="Y22" i="48" s="1"/>
  <c r="R249" i="3"/>
  <c r="AA22" i="49"/>
  <c r="AD22" i="49" s="1"/>
  <c r="P251" i="3"/>
  <c r="W22" i="51" s="1"/>
  <c r="Q252" i="3"/>
  <c r="Y22" i="52" s="1"/>
  <c r="Y23" i="52" s="1"/>
  <c r="R253" i="3"/>
  <c r="AA22" i="53" s="1"/>
  <c r="AD22" i="53" s="1"/>
  <c r="P255" i="3"/>
  <c r="W22" i="55" s="1"/>
  <c r="Q256" i="3"/>
  <c r="Y22" i="56" s="1"/>
  <c r="R257" i="3"/>
  <c r="AA22" i="57" s="1"/>
  <c r="AD22" i="57" s="1"/>
  <c r="P259" i="3"/>
  <c r="W22" i="38" s="1"/>
  <c r="O240" i="3"/>
  <c r="AC22" i="40" s="1"/>
  <c r="AE22" i="40" s="1"/>
  <c r="P234" i="3"/>
  <c r="W22" i="33" s="1"/>
  <c r="Q235" i="3"/>
  <c r="Y22" i="34" s="1"/>
  <c r="R236" i="3"/>
  <c r="AA22" i="35"/>
  <c r="P238" i="3"/>
  <c r="W22" i="37" s="1"/>
  <c r="Q239" i="3"/>
  <c r="Y22" i="39" s="1"/>
  <c r="P242" i="3"/>
  <c r="W22" i="42" s="1"/>
  <c r="Q243" i="3"/>
  <c r="Y22" i="43" s="1"/>
  <c r="P246" i="3"/>
  <c r="W22" i="46" s="1"/>
  <c r="Q247" i="3"/>
  <c r="Y22" i="47" s="1"/>
  <c r="P250" i="3"/>
  <c r="W22" i="50" s="1"/>
  <c r="Q251" i="3"/>
  <c r="Y22" i="51" s="1"/>
  <c r="P254" i="3"/>
  <c r="W22" i="54" s="1"/>
  <c r="Q255" i="3"/>
  <c r="Y22" i="55" s="1"/>
  <c r="P258" i="3"/>
  <c r="W22" i="58" s="1"/>
  <c r="Q259" i="3"/>
  <c r="Y22" i="38" s="1"/>
  <c r="C232" i="3"/>
  <c r="AA13" i="3"/>
  <c r="G13" i="12" s="1"/>
  <c r="G14" i="12" s="1"/>
  <c r="AV19" i="54"/>
  <c r="AK87" i="53"/>
  <c r="AR65" i="52"/>
  <c r="BB43" i="51"/>
  <c r="AF66" i="50"/>
  <c r="AM64" i="47"/>
  <c r="AL66" i="47"/>
  <c r="AP66" i="47"/>
  <c r="AN64" i="47"/>
  <c r="X23" i="46"/>
  <c r="AB23" i="46"/>
  <c r="BB43" i="44"/>
  <c r="AL66" i="44"/>
  <c r="AU65" i="42"/>
  <c r="AQ66" i="42"/>
  <c r="AL64" i="42"/>
  <c r="N19" i="42"/>
  <c r="AF66" i="42"/>
  <c r="U87" i="42"/>
  <c r="V87" i="42" s="1"/>
  <c r="W87" i="42" s="1"/>
  <c r="X87" i="42" s="1"/>
  <c r="Y87" i="42" s="1"/>
  <c r="Z87" i="42" s="1"/>
  <c r="AA87" i="42" s="1"/>
  <c r="AB87" i="42" s="1"/>
  <c r="AC87" i="42" s="1"/>
  <c r="AD87" i="42" s="1"/>
  <c r="AE87" i="42" s="1"/>
  <c r="AF87" i="42" s="1"/>
  <c r="AK64" i="42"/>
  <c r="AM66" i="42"/>
  <c r="BB43" i="41"/>
  <c r="AU65" i="37"/>
  <c r="AQ66" i="51"/>
  <c r="AH31" i="3"/>
  <c r="J17" i="30" s="1"/>
  <c r="AF20" i="3"/>
  <c r="G18" i="18"/>
  <c r="C286" i="3"/>
  <c r="C290" i="3"/>
  <c r="D267" i="3"/>
  <c r="G267" i="3"/>
  <c r="G271" i="3"/>
  <c r="G275" i="3"/>
  <c r="G285" i="3"/>
  <c r="G289" i="3"/>
  <c r="H279" i="3"/>
  <c r="G20" i="47"/>
  <c r="J271" i="3"/>
  <c r="J275" i="3"/>
  <c r="I20" i="43"/>
  <c r="J279" i="3"/>
  <c r="J283" i="3"/>
  <c r="I20" i="51"/>
  <c r="J287" i="3"/>
  <c r="I20" i="55"/>
  <c r="J291" i="3"/>
  <c r="I20" i="38"/>
  <c r="H283" i="3"/>
  <c r="G20" i="51"/>
  <c r="J20" i="32"/>
  <c r="K265" i="3"/>
  <c r="K269" i="3"/>
  <c r="J20" i="36"/>
  <c r="K273" i="3"/>
  <c r="J20" i="41"/>
  <c r="K277" i="3"/>
  <c r="J20" i="45"/>
  <c r="K281" i="3"/>
  <c r="J20" i="49"/>
  <c r="K285" i="3"/>
  <c r="J20" i="53"/>
  <c r="J20" i="57"/>
  <c r="H287" i="3"/>
  <c r="G20" i="55"/>
  <c r="I290" i="3"/>
  <c r="H20" i="58"/>
  <c r="AK39" i="42"/>
  <c r="H275" i="3"/>
  <c r="G20" i="43"/>
  <c r="H291" i="3"/>
  <c r="G20" i="38"/>
  <c r="J267" i="3"/>
  <c r="I20" i="34"/>
  <c r="BL20" i="39"/>
  <c r="AK20" i="50"/>
  <c r="O111" i="3"/>
  <c r="BB20" i="49"/>
  <c r="BA20" i="42"/>
  <c r="BA20" i="46"/>
  <c r="AZ20" i="50"/>
  <c r="BM20" i="50" s="1"/>
  <c r="AZ39" i="31"/>
  <c r="BA39" i="32"/>
  <c r="AZ39" i="58"/>
  <c r="D66" i="35"/>
  <c r="AL66" i="35" s="1"/>
  <c r="AO65" i="50"/>
  <c r="AK65" i="39"/>
  <c r="C85" i="55"/>
  <c r="D85" i="55" s="1"/>
  <c r="AE9" i="3"/>
  <c r="G17" i="7" s="1"/>
  <c r="O237" i="3"/>
  <c r="AC22" i="36" s="1"/>
  <c r="AE22" i="36" s="1"/>
  <c r="O239" i="3"/>
  <c r="AC22" i="39" s="1"/>
  <c r="AE22" i="39" s="1"/>
  <c r="O242" i="3"/>
  <c r="AC22" i="42" s="1"/>
  <c r="AH32" i="3"/>
  <c r="J17" i="10" s="1"/>
  <c r="H17" i="19"/>
  <c r="AH11" i="3"/>
  <c r="J17" i="9" s="1"/>
  <c r="G10" i="8"/>
  <c r="K13" i="11"/>
  <c r="AF65" i="52"/>
  <c r="AJ64" i="41"/>
  <c r="U87" i="46"/>
  <c r="V87" i="46" s="1"/>
  <c r="W87" i="46" s="1"/>
  <c r="X87" i="46" s="1"/>
  <c r="Y87" i="46" s="1"/>
  <c r="Z87" i="46" s="1"/>
  <c r="AA87" i="46" s="1"/>
  <c r="AB87" i="46" s="1"/>
  <c r="AC87" i="46" s="1"/>
  <c r="AD87" i="46" s="1"/>
  <c r="AE87" i="46" s="1"/>
  <c r="AF87" i="46" s="1"/>
  <c r="AJ67" i="56"/>
  <c r="AK88" i="56" s="1"/>
  <c r="AL88" i="56" s="1"/>
  <c r="AK41" i="40"/>
  <c r="AL41" i="40" s="1"/>
  <c r="C39" i="54"/>
  <c r="D39" i="54" s="1"/>
  <c r="E39" i="54" s="1"/>
  <c r="F39" i="54" s="1"/>
  <c r="G39" i="54" s="1"/>
  <c r="H39" i="54" s="1"/>
  <c r="I39" i="54" s="1"/>
  <c r="J39" i="54" s="1"/>
  <c r="K39" i="54" s="1"/>
  <c r="L39" i="54" s="1"/>
  <c r="M39" i="54" s="1"/>
  <c r="N39" i="54" s="1"/>
  <c r="N18" i="54"/>
  <c r="F13" i="2"/>
  <c r="C39" i="58"/>
  <c r="D39" i="58" s="1"/>
  <c r="E39" i="58" s="1"/>
  <c r="F39" i="58" s="1"/>
  <c r="G39" i="58" s="1"/>
  <c r="H39" i="58" s="1"/>
  <c r="I39" i="58" s="1"/>
  <c r="J39" i="58" s="1"/>
  <c r="K39" i="58" s="1"/>
  <c r="L39" i="58" s="1"/>
  <c r="M39" i="58" s="1"/>
  <c r="N39" i="58" s="1"/>
  <c r="N18" i="58"/>
  <c r="AF66" i="40"/>
  <c r="C39" i="48"/>
  <c r="D39" i="48" s="1"/>
  <c r="E39" i="48" s="1"/>
  <c r="F39" i="48" s="1"/>
  <c r="G39" i="48" s="1"/>
  <c r="H39" i="48" s="1"/>
  <c r="I39" i="48" s="1"/>
  <c r="J39" i="48" s="1"/>
  <c r="K39" i="48" s="1"/>
  <c r="L39" i="48" s="1"/>
  <c r="M39" i="48" s="1"/>
  <c r="N39" i="48" s="1"/>
  <c r="C39" i="56"/>
  <c r="D39" i="56" s="1"/>
  <c r="E39" i="56" s="1"/>
  <c r="F39" i="56" s="1"/>
  <c r="G39" i="56" s="1"/>
  <c r="H39" i="56" s="1"/>
  <c r="I39" i="56" s="1"/>
  <c r="J39" i="56" s="1"/>
  <c r="K39" i="56" s="1"/>
  <c r="L39" i="56" s="1"/>
  <c r="M39" i="56" s="1"/>
  <c r="J40" i="3"/>
  <c r="I20" i="31" s="1"/>
  <c r="G266" i="3"/>
  <c r="F20" i="36"/>
  <c r="F20" i="40"/>
  <c r="F20" i="55"/>
  <c r="F20" i="58"/>
  <c r="G20" i="34"/>
  <c r="G20" i="37"/>
  <c r="G20" i="42"/>
  <c r="G20" i="44"/>
  <c r="G20" i="50"/>
  <c r="G20" i="52"/>
  <c r="G20" i="58"/>
  <c r="H20" i="55"/>
  <c r="I20" i="33"/>
  <c r="I20" i="35"/>
  <c r="I20" i="42"/>
  <c r="J276" i="3"/>
  <c r="I20" i="50"/>
  <c r="J284" i="3"/>
  <c r="I20" i="58"/>
  <c r="J20" i="34"/>
  <c r="J20" i="43"/>
  <c r="J20" i="51"/>
  <c r="J20" i="38"/>
  <c r="AV20" i="51"/>
  <c r="AZ39" i="44"/>
  <c r="BA43" i="44"/>
  <c r="AO66" i="47"/>
  <c r="AR18" i="32"/>
  <c r="O119" i="3"/>
  <c r="AZ39" i="48"/>
  <c r="BA43" i="42"/>
  <c r="AZ39" i="42"/>
  <c r="BA43" i="47"/>
  <c r="AZ39" i="47"/>
  <c r="AZ20" i="49"/>
  <c r="BA43" i="43"/>
  <c r="AZ39" i="43"/>
  <c r="BA43" i="53"/>
  <c r="AZ39" i="53"/>
  <c r="AK65" i="37"/>
  <c r="AU65" i="43"/>
  <c r="AO64" i="32"/>
  <c r="D66" i="39"/>
  <c r="N66" i="39" s="1"/>
  <c r="T65" i="50"/>
  <c r="AG65" i="50" s="1"/>
  <c r="AV19" i="32"/>
  <c r="AK40" i="32"/>
  <c r="AL40" i="32" s="1"/>
  <c r="AM40" i="32" s="1"/>
  <c r="AN40" i="32" s="1"/>
  <c r="AO40" i="32" s="1"/>
  <c r="AP40" i="32" s="1"/>
  <c r="AQ40" i="32" s="1"/>
  <c r="AR40" i="32" s="1"/>
  <c r="AS40" i="32" s="1"/>
  <c r="AT40" i="32" s="1"/>
  <c r="AU40" i="32" s="1"/>
  <c r="AV40" i="32" s="1"/>
  <c r="BF40" i="45"/>
  <c r="AV19" i="46"/>
  <c r="BC40" i="46"/>
  <c r="BA40" i="46"/>
  <c r="AZ44" i="46"/>
  <c r="BO40" i="46"/>
  <c r="BL40" i="46"/>
  <c r="BM40" i="46"/>
  <c r="BJ40" i="46"/>
  <c r="N19" i="49"/>
  <c r="AK40" i="33"/>
  <c r="AL40" i="33" s="1"/>
  <c r="AM40" i="33" s="1"/>
  <c r="AN40" i="33" s="1"/>
  <c r="AO40" i="33" s="1"/>
  <c r="AP40" i="33" s="1"/>
  <c r="AQ40" i="33" s="1"/>
  <c r="AR40" i="33" s="1"/>
  <c r="AS40" i="33" s="1"/>
  <c r="AT40" i="33" s="1"/>
  <c r="AU40" i="33" s="1"/>
  <c r="AV40" i="33" s="1"/>
  <c r="C40" i="39"/>
  <c r="D40" i="39" s="1"/>
  <c r="E40" i="39" s="1"/>
  <c r="F40" i="39" s="1"/>
  <c r="G40" i="39" s="1"/>
  <c r="H40" i="39" s="1"/>
  <c r="I40" i="39" s="1"/>
  <c r="J40" i="39" s="1"/>
  <c r="K40" i="39" s="1"/>
  <c r="L40" i="39" s="1"/>
  <c r="M40" i="39" s="1"/>
  <c r="N40" i="39" s="1"/>
  <c r="N19" i="39"/>
  <c r="BA40" i="44"/>
  <c r="BB40" i="44"/>
  <c r="BM40" i="44"/>
  <c r="BG40" i="44"/>
  <c r="BH40" i="44"/>
  <c r="BO40" i="48"/>
  <c r="BL40" i="48"/>
  <c r="BA40" i="48"/>
  <c r="BM40" i="48"/>
  <c r="BK40" i="48"/>
  <c r="BH40" i="48"/>
  <c r="BJ40" i="48"/>
  <c r="BL40" i="35"/>
  <c r="BM40" i="35"/>
  <c r="BJ40" i="35"/>
  <c r="BK40" i="35"/>
  <c r="BO40" i="35"/>
  <c r="BH40" i="35"/>
  <c r="BI40" i="35"/>
  <c r="BF40" i="35"/>
  <c r="BG40" i="35"/>
  <c r="N19" i="41"/>
  <c r="BL19" i="48"/>
  <c r="BK40" i="40"/>
  <c r="BL40" i="40"/>
  <c r="BF40" i="40"/>
  <c r="BG40" i="40"/>
  <c r="BH40" i="40"/>
  <c r="BB40" i="40"/>
  <c r="BD40" i="49"/>
  <c r="BI40" i="51"/>
  <c r="BJ40" i="51"/>
  <c r="O250" i="3"/>
  <c r="AC22" i="50" s="1"/>
  <c r="D232" i="3"/>
  <c r="R235" i="3"/>
  <c r="AA22" i="34" s="1"/>
  <c r="AD22" i="34" s="1"/>
  <c r="X23" i="35"/>
  <c r="X23" i="36"/>
  <c r="X23" i="37"/>
  <c r="Z23" i="41"/>
  <c r="AB23" i="42"/>
  <c r="O246" i="3"/>
  <c r="AC22" i="46" s="1"/>
  <c r="AE22" i="46" s="1"/>
  <c r="AA9" i="3"/>
  <c r="X21" i="3"/>
  <c r="H9" i="20" s="1"/>
  <c r="AB16" i="3"/>
  <c r="H13" i="15" s="1"/>
  <c r="AJ66" i="47"/>
  <c r="AF66" i="47"/>
  <c r="AJ66" i="56"/>
  <c r="U87" i="56"/>
  <c r="V87" i="56" s="1"/>
  <c r="T29" i="3"/>
  <c r="C39" i="39"/>
  <c r="D39" i="39" s="1"/>
  <c r="E39" i="39" s="1"/>
  <c r="F39" i="39" s="1"/>
  <c r="G39" i="39" s="1"/>
  <c r="H39" i="39" s="1"/>
  <c r="I39" i="39" s="1"/>
  <c r="J39" i="39" s="1"/>
  <c r="K39" i="39" s="1"/>
  <c r="L39" i="39" s="1"/>
  <c r="M39" i="39" s="1"/>
  <c r="N39" i="39" s="1"/>
  <c r="N18" i="39"/>
  <c r="Z30" i="3"/>
  <c r="J9" i="29" s="1"/>
  <c r="AJ66" i="46"/>
  <c r="AJ66" i="45"/>
  <c r="AF67" i="56"/>
  <c r="G14" i="18"/>
  <c r="C39" i="40"/>
  <c r="D39" i="40" s="1"/>
  <c r="E39" i="40" s="1"/>
  <c r="F39" i="40" s="1"/>
  <c r="G39" i="40" s="1"/>
  <c r="H39" i="40" s="1"/>
  <c r="I39" i="40" s="1"/>
  <c r="J39" i="40" s="1"/>
  <c r="K39" i="40" s="1"/>
  <c r="L39" i="40" s="1"/>
  <c r="M39" i="40" s="1"/>
  <c r="N39" i="40" s="1"/>
  <c r="N18" i="40"/>
  <c r="N18" i="35"/>
  <c r="BA43" i="51"/>
  <c r="AZ39" i="51"/>
  <c r="BA43" i="52"/>
  <c r="AZ39" i="52"/>
  <c r="AA65" i="36"/>
  <c r="AE205" i="3"/>
  <c r="Z65" i="35"/>
  <c r="AP65" i="35" s="1"/>
  <c r="AE204" i="3"/>
  <c r="AK66" i="56"/>
  <c r="AS65" i="41"/>
  <c r="AJ65" i="46"/>
  <c r="AJ65" i="33"/>
  <c r="D87" i="56"/>
  <c r="E87" i="56" s="1"/>
  <c r="F87" i="56" s="1"/>
  <c r="G87" i="56" s="1"/>
  <c r="AU59" i="3"/>
  <c r="AU50" i="3"/>
  <c r="AU99" i="3"/>
  <c r="AO40" i="3"/>
  <c r="H18" i="31" s="1"/>
  <c r="AU54" i="3"/>
  <c r="AU61" i="3"/>
  <c r="AP40" i="3"/>
  <c r="I18" i="31" s="1"/>
  <c r="AJ40" i="3"/>
  <c r="C18" i="31" s="1"/>
  <c r="AU58" i="3"/>
  <c r="AR40" i="3"/>
  <c r="K18" i="31" s="1"/>
  <c r="AT18" i="35"/>
  <c r="AS72" i="3"/>
  <c r="AT18" i="31" s="1"/>
  <c r="AE225" i="3"/>
  <c r="AM40" i="3"/>
  <c r="F18" i="31" s="1"/>
  <c r="AU60" i="3"/>
  <c r="AU66" i="3"/>
  <c r="AU95" i="3"/>
  <c r="AJ72" i="3"/>
  <c r="AK18" i="31" s="1"/>
  <c r="AQ40" i="3"/>
  <c r="J18" i="31" s="1"/>
  <c r="AO72" i="3"/>
  <c r="AP18" i="31" s="1"/>
  <c r="AU53" i="3"/>
  <c r="AU48" i="3"/>
  <c r="N18" i="42"/>
  <c r="AQ18" i="32"/>
  <c r="AP72" i="3"/>
  <c r="AQ18" i="31" s="1"/>
  <c r="N18" i="33"/>
  <c r="AE219" i="3"/>
  <c r="AE217" i="3"/>
  <c r="AU64" i="3"/>
  <c r="AU43" i="3"/>
  <c r="AU57" i="3"/>
  <c r="AN40" i="3"/>
  <c r="G18" i="31" s="1"/>
  <c r="AU45" i="3"/>
  <c r="AS40" i="3"/>
  <c r="L18" i="31" s="1"/>
  <c r="AT40" i="3"/>
  <c r="M18" i="31" s="1"/>
  <c r="AU55" i="3"/>
  <c r="AL40" i="3"/>
  <c r="E18" i="31" s="1"/>
  <c r="AU62" i="3"/>
  <c r="AK40" i="3"/>
  <c r="D18" i="31" s="1"/>
  <c r="AN18" i="32"/>
  <c r="AM72" i="3"/>
  <c r="AN18" i="31" s="1"/>
  <c r="AR18" i="35"/>
  <c r="AQ72" i="3"/>
  <c r="AR18" i="31" s="1"/>
  <c r="AK18" i="42"/>
  <c r="AU82" i="3"/>
  <c r="T65" i="40"/>
  <c r="AG65" i="40" s="1"/>
  <c r="AE208" i="3"/>
  <c r="U65" i="53"/>
  <c r="AE221" i="3"/>
  <c r="T64" i="54"/>
  <c r="AG64" i="54" s="1"/>
  <c r="AU222" i="3"/>
  <c r="Z64" i="47"/>
  <c r="AU215" i="3"/>
  <c r="Z64" i="51"/>
  <c r="AU219" i="3"/>
  <c r="AE173" i="3"/>
  <c r="AU189" i="3"/>
  <c r="AE192" i="3"/>
  <c r="AK65" i="32"/>
  <c r="AN66" i="34"/>
  <c r="AM64" i="35"/>
  <c r="AU173" i="3"/>
  <c r="AU183" i="3"/>
  <c r="AU190" i="3"/>
  <c r="AO65" i="32"/>
  <c r="AR66" i="34"/>
  <c r="AP66" i="39"/>
  <c r="AL66" i="40"/>
  <c r="AN66" i="42"/>
  <c r="AP66" i="42"/>
  <c r="AR66" i="42"/>
  <c r="AL66" i="49"/>
  <c r="AN66" i="49"/>
  <c r="AM66" i="50"/>
  <c r="AP66" i="52"/>
  <c r="AO66" i="53"/>
  <c r="AM65" i="48"/>
  <c r="U65" i="42"/>
  <c r="AE210" i="3"/>
  <c r="AQ65" i="54"/>
  <c r="AL65" i="38"/>
  <c r="AU188" i="3"/>
  <c r="AM66" i="36"/>
  <c r="AN66" i="40"/>
  <c r="AR66" i="40"/>
  <c r="AL66" i="42"/>
  <c r="AK66" i="53"/>
  <c r="AM66" i="53"/>
  <c r="AQ66" i="53"/>
  <c r="AK65" i="48"/>
  <c r="AP64" i="32"/>
  <c r="AE202" i="3"/>
  <c r="AL64" i="37"/>
  <c r="AN64" i="42"/>
  <c r="AN67" i="56"/>
  <c r="AQ66" i="57"/>
  <c r="AM64" i="33"/>
  <c r="AO64" i="33"/>
  <c r="AM64" i="37"/>
  <c r="AK64" i="48"/>
  <c r="AL64" i="50"/>
  <c r="AM65" i="56"/>
  <c r="BE40" i="32"/>
  <c r="BI40" i="48"/>
  <c r="AZ44" i="48"/>
  <c r="BC40" i="48"/>
  <c r="BB40" i="48"/>
  <c r="BD40" i="48"/>
  <c r="BE40" i="50"/>
  <c r="BK40" i="50"/>
  <c r="BA40" i="50"/>
  <c r="BH40" i="50"/>
  <c r="BF40" i="50"/>
  <c r="BG40" i="50"/>
  <c r="AZ44" i="50"/>
  <c r="BD40" i="50"/>
  <c r="BC40" i="50"/>
  <c r="BO40" i="50"/>
  <c r="BB40" i="50"/>
  <c r="BN40" i="52"/>
  <c r="BE40" i="52"/>
  <c r="BI40" i="52"/>
  <c r="BL40" i="52"/>
  <c r="BM40" i="52"/>
  <c r="BG40" i="52"/>
  <c r="BD40" i="52"/>
  <c r="BF40" i="52"/>
  <c r="BC40" i="52"/>
  <c r="AZ44" i="52"/>
  <c r="BB40" i="52"/>
  <c r="AO65" i="39"/>
  <c r="AL64" i="35"/>
  <c r="AK64" i="52"/>
  <c r="AK65" i="56"/>
  <c r="AL64" i="58"/>
  <c r="AU205" i="3"/>
  <c r="T64" i="36"/>
  <c r="T65" i="56"/>
  <c r="AU224" i="3"/>
  <c r="AK66" i="45"/>
  <c r="AL66" i="48"/>
  <c r="AR66" i="49"/>
  <c r="AR67" i="56"/>
  <c r="AM66" i="57"/>
  <c r="AO64" i="37"/>
  <c r="AL64" i="44"/>
  <c r="AL64" i="48"/>
  <c r="AO64" i="50"/>
  <c r="AL64" i="57"/>
  <c r="N19" i="32"/>
  <c r="N19" i="35"/>
  <c r="AO64" i="53"/>
  <c r="AN64" i="55"/>
  <c r="AN64" i="57"/>
  <c r="AM64" i="38"/>
  <c r="AK64" i="31"/>
  <c r="T64" i="42"/>
  <c r="AG64" i="42" s="1"/>
  <c r="AU210" i="3"/>
  <c r="AZ44" i="33"/>
  <c r="BL40" i="55"/>
  <c r="N19" i="43"/>
  <c r="AN64" i="38"/>
  <c r="T64" i="50"/>
  <c r="AG64" i="50" s="1"/>
  <c r="AU218" i="3"/>
  <c r="BN40" i="33"/>
  <c r="BF40" i="33"/>
  <c r="BB40" i="33"/>
  <c r="BH40" i="33"/>
  <c r="BL40" i="33"/>
  <c r="BC40" i="33"/>
  <c r="BJ40" i="33"/>
  <c r="BK40" i="33"/>
  <c r="BM40" i="33"/>
  <c r="C40" i="55"/>
  <c r="D40" i="55" s="1"/>
  <c r="E40" i="55" s="1"/>
  <c r="F40" i="55" s="1"/>
  <c r="G40" i="55" s="1"/>
  <c r="H40" i="55" s="1"/>
  <c r="I40" i="55" s="1"/>
  <c r="J40" i="55" s="1"/>
  <c r="K40" i="55" s="1"/>
  <c r="L40" i="55" s="1"/>
  <c r="M40" i="55" s="1"/>
  <c r="N40" i="55" s="1"/>
  <c r="N19" i="55"/>
  <c r="BN40" i="55"/>
  <c r="BK40" i="55"/>
  <c r="BH40" i="55"/>
  <c r="BF40" i="55"/>
  <c r="BM40" i="55"/>
  <c r="BC40" i="55"/>
  <c r="AZ44" i="55"/>
  <c r="AV19" i="57"/>
  <c r="AZ44" i="34"/>
  <c r="BN19" i="32"/>
  <c r="N19" i="47"/>
  <c r="AA15" i="3"/>
  <c r="G13" i="14" s="1"/>
  <c r="N19" i="46"/>
  <c r="AF63" i="32"/>
  <c r="C289" i="3"/>
  <c r="G270" i="3"/>
  <c r="K268" i="3"/>
  <c r="J20" i="37"/>
  <c r="M40" i="3"/>
  <c r="L20" i="31" s="1"/>
  <c r="C20" i="40"/>
  <c r="F20" i="50"/>
  <c r="G20" i="33"/>
  <c r="G20" i="39"/>
  <c r="G20" i="49"/>
  <c r="H285" i="3"/>
  <c r="I20" i="36"/>
  <c r="J20" i="54"/>
  <c r="F66" i="35"/>
  <c r="AN66" i="35" s="1"/>
  <c r="R243" i="3"/>
  <c r="AA22" i="43" s="1"/>
  <c r="P241" i="3"/>
  <c r="W22" i="41" s="1"/>
  <c r="R256" i="3"/>
  <c r="AA22" i="56" s="1"/>
  <c r="AD22" i="56" s="1"/>
  <c r="R259" i="3"/>
  <c r="AA22" i="38" s="1"/>
  <c r="AH10" i="3"/>
  <c r="J17" i="8" s="1"/>
  <c r="H20" i="28"/>
  <c r="G13" i="7"/>
  <c r="G14" i="7" s="1"/>
  <c r="AH13" i="3"/>
  <c r="J17" i="12" s="1"/>
  <c r="K17" i="12" s="1"/>
  <c r="P273" i="3"/>
  <c r="W21" i="41" s="1"/>
  <c r="Q286" i="3"/>
  <c r="Y21" i="54" s="1"/>
  <c r="E87" i="36"/>
  <c r="F87" i="36" s="1"/>
  <c r="G87" i="36" s="1"/>
  <c r="H87" i="36" s="1"/>
  <c r="I87" i="36" s="1"/>
  <c r="J87" i="36" s="1"/>
  <c r="K87" i="36" s="1"/>
  <c r="L87" i="36" s="1"/>
  <c r="M87" i="36" s="1"/>
  <c r="N87" i="36" s="1"/>
  <c r="N66" i="36"/>
  <c r="C87" i="55"/>
  <c r="D87" i="55" s="1"/>
  <c r="E87" i="55" s="1"/>
  <c r="F87" i="55" s="1"/>
  <c r="G87" i="55" s="1"/>
  <c r="H87" i="55" s="1"/>
  <c r="I87" i="55" s="1"/>
  <c r="J87" i="55" s="1"/>
  <c r="K87" i="55" s="1"/>
  <c r="L87" i="55" s="1"/>
  <c r="M87" i="55" s="1"/>
  <c r="N87" i="55" s="1"/>
  <c r="N66" i="55"/>
  <c r="AJ66" i="55"/>
  <c r="AK66" i="34"/>
  <c r="N66" i="34"/>
  <c r="N66" i="40"/>
  <c r="C87" i="40"/>
  <c r="D87" i="40" s="1"/>
  <c r="E87" i="40" s="1"/>
  <c r="F87" i="40" s="1"/>
  <c r="G87" i="40" s="1"/>
  <c r="H87" i="40" s="1"/>
  <c r="I87" i="40" s="1"/>
  <c r="J87" i="40" s="1"/>
  <c r="K87" i="40" s="1"/>
  <c r="L87" i="40" s="1"/>
  <c r="M87" i="40" s="1"/>
  <c r="N87" i="40" s="1"/>
  <c r="AJ66" i="40"/>
  <c r="AL66" i="38"/>
  <c r="N66" i="38"/>
  <c r="Q278" i="3"/>
  <c r="Y21" i="46" s="1"/>
  <c r="AJ20" i="31"/>
  <c r="N66" i="33"/>
  <c r="AL66" i="33"/>
  <c r="AL66" i="52"/>
  <c r="N66" i="52"/>
  <c r="AV20" i="45"/>
  <c r="AK41" i="45"/>
  <c r="AL41" i="45" s="1"/>
  <c r="AM41" i="45" s="1"/>
  <c r="BL20" i="41"/>
  <c r="C87" i="39"/>
  <c r="D87" i="39" s="1"/>
  <c r="E87" i="39" s="1"/>
  <c r="F87" i="39" s="1"/>
  <c r="G87" i="39" s="1"/>
  <c r="H87" i="39" s="1"/>
  <c r="I87" i="39" s="1"/>
  <c r="J87" i="39" s="1"/>
  <c r="K87" i="39" s="1"/>
  <c r="L87" i="39" s="1"/>
  <c r="M87" i="39" s="1"/>
  <c r="N87" i="39" s="1"/>
  <c r="N67" i="56"/>
  <c r="E88" i="56"/>
  <c r="F88" i="56" s="1"/>
  <c r="G88" i="56" s="1"/>
  <c r="H88" i="56" s="1"/>
  <c r="I88" i="56" s="1"/>
  <c r="J88" i="56" s="1"/>
  <c r="K88" i="56" s="1"/>
  <c r="L88" i="56" s="1"/>
  <c r="M88" i="56" s="1"/>
  <c r="N88" i="56" s="1"/>
  <c r="O67" i="56"/>
  <c r="N66" i="41"/>
  <c r="C39" i="55"/>
  <c r="D39" i="55" s="1"/>
  <c r="E39" i="55" s="1"/>
  <c r="F39" i="55" s="1"/>
  <c r="G39" i="55" s="1"/>
  <c r="H39" i="55" s="1"/>
  <c r="I39" i="55" s="1"/>
  <c r="J39" i="55" s="1"/>
  <c r="K39" i="55" s="1"/>
  <c r="L39" i="55" s="1"/>
  <c r="M39" i="55" s="1"/>
  <c r="N39" i="55" s="1"/>
  <c r="G284" i="3"/>
  <c r="C20" i="35"/>
  <c r="R273" i="3"/>
  <c r="AA21" i="41" s="1"/>
  <c r="G279" i="3"/>
  <c r="U85" i="34"/>
  <c r="V85" i="34" s="1"/>
  <c r="W85" i="34" s="1"/>
  <c r="AJ65" i="54"/>
  <c r="H20" i="47"/>
  <c r="H20" i="39"/>
  <c r="E20" i="48"/>
  <c r="D20" i="38"/>
  <c r="D20" i="43"/>
  <c r="C20" i="54"/>
  <c r="D41" i="54" s="1"/>
  <c r="E41" i="54" s="1"/>
  <c r="B20" i="51"/>
  <c r="P278" i="3"/>
  <c r="W21" i="46" s="1"/>
  <c r="W23" i="46" s="1"/>
  <c r="E20" i="55"/>
  <c r="E20" i="39"/>
  <c r="D20" i="50"/>
  <c r="D20" i="33"/>
  <c r="C20" i="41"/>
  <c r="P265" i="3"/>
  <c r="W21" i="32" s="1"/>
  <c r="D87" i="34"/>
  <c r="E87" i="34" s="1"/>
  <c r="F87" i="34" s="1"/>
  <c r="G87" i="34" s="1"/>
  <c r="H87" i="34" s="1"/>
  <c r="I87" i="34" s="1"/>
  <c r="J87" i="34" s="1"/>
  <c r="K87" i="34" s="1"/>
  <c r="L87" i="34" s="1"/>
  <c r="M87" i="34" s="1"/>
  <c r="N87" i="34" s="1"/>
  <c r="O96" i="3"/>
  <c r="AL41" i="57"/>
  <c r="AM41" i="57" s="1"/>
  <c r="AN41" i="57" s="1"/>
  <c r="AO41" i="57" s="1"/>
  <c r="AP41" i="57" s="1"/>
  <c r="AQ41" i="57" s="1"/>
  <c r="AR41" i="57" s="1"/>
  <c r="AS41" i="57" s="1"/>
  <c r="AT41" i="57" s="1"/>
  <c r="AU41" i="57" s="1"/>
  <c r="AV41" i="57" s="1"/>
  <c r="O84" i="3"/>
  <c r="D39" i="38"/>
  <c r="E39" i="38" s="1"/>
  <c r="F39" i="38" s="1"/>
  <c r="G39" i="38" s="1"/>
  <c r="H39" i="38" s="1"/>
  <c r="I39" i="38" s="1"/>
  <c r="J39" i="38" s="1"/>
  <c r="K39" i="38" s="1"/>
  <c r="L39" i="38" s="1"/>
  <c r="M39" i="38" s="1"/>
  <c r="N39" i="38" s="1"/>
  <c r="N66" i="43"/>
  <c r="L40" i="3"/>
  <c r="K20" i="31" s="1"/>
  <c r="G40" i="3"/>
  <c r="F20" i="31" s="1"/>
  <c r="O93" i="3"/>
  <c r="G39" i="41"/>
  <c r="H39" i="41" s="1"/>
  <c r="I39" i="41" s="1"/>
  <c r="J39" i="41" s="1"/>
  <c r="K39" i="41" s="1"/>
  <c r="L39" i="41" s="1"/>
  <c r="M39" i="41" s="1"/>
  <c r="N39" i="41" s="1"/>
  <c r="O55" i="3"/>
  <c r="AV20" i="40"/>
  <c r="C20" i="47"/>
  <c r="O43" i="3"/>
  <c r="O57" i="3"/>
  <c r="O52" i="3"/>
  <c r="I40" i="3"/>
  <c r="H20" i="31" s="1"/>
  <c r="O53" i="3"/>
  <c r="O41" i="3"/>
  <c r="O65" i="3"/>
  <c r="N18" i="37"/>
  <c r="H104" i="3"/>
  <c r="BE20" i="31" s="1"/>
  <c r="F104" i="3"/>
  <c r="BC20" i="31" s="1"/>
  <c r="M72" i="3"/>
  <c r="AT20" i="31" s="1"/>
  <c r="O76" i="3"/>
  <c r="D72" i="3"/>
  <c r="AK20" i="31" s="1"/>
  <c r="C20" i="32"/>
  <c r="F20" i="46"/>
  <c r="I20" i="37"/>
  <c r="J272" i="3"/>
  <c r="J20" i="56"/>
  <c r="J20" i="58"/>
  <c r="O88" i="3"/>
  <c r="O91" i="3"/>
  <c r="AV20" i="52"/>
  <c r="AV20" i="38"/>
  <c r="O124" i="3"/>
  <c r="BL20" i="54"/>
  <c r="BL20" i="58"/>
  <c r="BL20" i="38"/>
  <c r="AS66" i="34"/>
  <c r="AS66" i="37"/>
  <c r="AT66" i="39"/>
  <c r="AS66" i="41"/>
  <c r="AT66" i="44"/>
  <c r="AS66" i="47"/>
  <c r="AT66" i="49"/>
  <c r="AS66" i="50"/>
  <c r="AT66" i="51"/>
  <c r="AS66" i="52"/>
  <c r="AT66" i="53"/>
  <c r="AS66" i="55"/>
  <c r="AS66" i="57"/>
  <c r="AP66" i="38"/>
  <c r="AT66" i="38"/>
  <c r="E232" i="3"/>
  <c r="K232" i="3"/>
  <c r="AS66" i="31"/>
  <c r="AN66" i="31"/>
  <c r="AK66" i="41"/>
  <c r="N18" i="55"/>
  <c r="BL20" i="42"/>
  <c r="AV20" i="50"/>
  <c r="G20" i="36"/>
  <c r="D271" i="3"/>
  <c r="P271" i="3" s="1"/>
  <c r="W21" i="39" s="1"/>
  <c r="W23" i="39" s="1"/>
  <c r="C281" i="3"/>
  <c r="Q281" i="3" s="1"/>
  <c r="Y21" i="49" s="1"/>
  <c r="Y23" i="49" s="1"/>
  <c r="E20" i="54"/>
  <c r="E20" i="37"/>
  <c r="D20" i="49"/>
  <c r="D20" i="32"/>
  <c r="C20" i="42"/>
  <c r="B20" i="41"/>
  <c r="P272" i="3"/>
  <c r="W21" i="40" s="1"/>
  <c r="H20" i="50"/>
  <c r="H20" i="42"/>
  <c r="H20" i="33"/>
  <c r="E20" i="45"/>
  <c r="D20" i="56"/>
  <c r="D20" i="40"/>
  <c r="C20" i="51"/>
  <c r="B20" i="37"/>
  <c r="K72" i="3"/>
  <c r="AR20" i="31" s="1"/>
  <c r="AL41" i="54"/>
  <c r="AM41" i="54" s="1"/>
  <c r="AN41" i="54" s="1"/>
  <c r="AO41" i="54" s="1"/>
  <c r="AP41" i="54" s="1"/>
  <c r="AQ41" i="54" s="1"/>
  <c r="AR41" i="54" s="1"/>
  <c r="AS41" i="54" s="1"/>
  <c r="AT41" i="54" s="1"/>
  <c r="AU41" i="54" s="1"/>
  <c r="AV41" i="54" s="1"/>
  <c r="D39" i="50"/>
  <c r="E39" i="50" s="1"/>
  <c r="F39" i="50" s="1"/>
  <c r="G39" i="50" s="1"/>
  <c r="H39" i="50" s="1"/>
  <c r="I39" i="50" s="1"/>
  <c r="J39" i="50" s="1"/>
  <c r="K39" i="50" s="1"/>
  <c r="L39" i="50" s="1"/>
  <c r="M39" i="50" s="1"/>
  <c r="AL39" i="39"/>
  <c r="AM39" i="39" s="1"/>
  <c r="AN39" i="39" s="1"/>
  <c r="AO39" i="39" s="1"/>
  <c r="AP39" i="39" s="1"/>
  <c r="AQ39" i="39" s="1"/>
  <c r="AR39" i="39" s="1"/>
  <c r="N66" i="44"/>
  <c r="D87" i="44"/>
  <c r="E87" i="44" s="1"/>
  <c r="F87" i="44" s="1"/>
  <c r="G87" i="44" s="1"/>
  <c r="H87" i="44" s="1"/>
  <c r="I87" i="44" s="1"/>
  <c r="J87" i="44" s="1"/>
  <c r="K87" i="44" s="1"/>
  <c r="L87" i="44" s="1"/>
  <c r="M87" i="44" s="1"/>
  <c r="N87" i="44" s="1"/>
  <c r="O45" i="3"/>
  <c r="O67" i="3"/>
  <c r="F40" i="3"/>
  <c r="E20" i="31" s="1"/>
  <c r="O78" i="3"/>
  <c r="O86" i="3"/>
  <c r="O47" i="3"/>
  <c r="O44" i="3"/>
  <c r="C39" i="34"/>
  <c r="D39" i="34" s="1"/>
  <c r="E39" i="34" s="1"/>
  <c r="F39" i="34" s="1"/>
  <c r="G39" i="34" s="1"/>
  <c r="H39" i="34" s="1"/>
  <c r="I39" i="34" s="1"/>
  <c r="J39" i="34" s="1"/>
  <c r="K39" i="34" s="1"/>
  <c r="L39" i="34" s="1"/>
  <c r="M39" i="34" s="1"/>
  <c r="N39" i="34" s="1"/>
  <c r="O63" i="3"/>
  <c r="H40" i="3"/>
  <c r="G20" i="31" s="1"/>
  <c r="AL39" i="43"/>
  <c r="AM39" i="43" s="1"/>
  <c r="O42" i="3"/>
  <c r="O59" i="3"/>
  <c r="O115" i="3"/>
  <c r="O81" i="3"/>
  <c r="O83" i="3"/>
  <c r="O50" i="3"/>
  <c r="E87" i="33"/>
  <c r="F87" i="33" s="1"/>
  <c r="G87" i="33" s="1"/>
  <c r="H87" i="33" s="1"/>
  <c r="I87" i="33" s="1"/>
  <c r="J87" i="33" s="1"/>
  <c r="K87" i="33" s="1"/>
  <c r="L87" i="33" s="1"/>
  <c r="M87" i="33" s="1"/>
  <c r="N87" i="33" s="1"/>
  <c r="O105" i="3"/>
  <c r="E104" i="3"/>
  <c r="BB20" i="31" s="1"/>
  <c r="O107" i="3"/>
  <c r="D104" i="3"/>
  <c r="BA20" i="31" s="1"/>
  <c r="J72" i="3"/>
  <c r="AQ20" i="31" s="1"/>
  <c r="I72" i="3"/>
  <c r="AP20" i="31" s="1"/>
  <c r="B20" i="56"/>
  <c r="G20" i="32"/>
  <c r="G20" i="35"/>
  <c r="I20" i="32"/>
  <c r="J288" i="3"/>
  <c r="J20" i="47"/>
  <c r="L265" i="3"/>
  <c r="L267" i="3"/>
  <c r="L269" i="3"/>
  <c r="L271" i="3"/>
  <c r="L273" i="3"/>
  <c r="L275" i="3"/>
  <c r="L277" i="3"/>
  <c r="L279" i="3"/>
  <c r="L281" i="3"/>
  <c r="L283" i="3"/>
  <c r="L285" i="3"/>
  <c r="L287" i="3"/>
  <c r="L289" i="3"/>
  <c r="L291" i="3"/>
  <c r="M266" i="3"/>
  <c r="M268" i="3"/>
  <c r="M270" i="3"/>
  <c r="M272" i="3"/>
  <c r="M274" i="3"/>
  <c r="M276" i="3"/>
  <c r="M278" i="3"/>
  <c r="M280" i="3"/>
  <c r="M282" i="3"/>
  <c r="M284" i="3"/>
  <c r="M286" i="3"/>
  <c r="M288" i="3"/>
  <c r="M290" i="3"/>
  <c r="N264" i="3"/>
  <c r="O85" i="3"/>
  <c r="O126" i="3"/>
  <c r="O117" i="3"/>
  <c r="BL20" i="47"/>
  <c r="AK65" i="46"/>
  <c r="AT65" i="58"/>
  <c r="AN65" i="46"/>
  <c r="AL65" i="36"/>
  <c r="AU65" i="41"/>
  <c r="AQ65" i="38"/>
  <c r="AO65" i="41"/>
  <c r="AT65" i="36"/>
  <c r="AR65" i="50"/>
  <c r="AT66" i="34"/>
  <c r="AS66" i="36"/>
  <c r="AT66" i="37"/>
  <c r="AS66" i="40"/>
  <c r="AT66" i="41"/>
  <c r="AS66" i="43"/>
  <c r="AS66" i="45"/>
  <c r="AT66" i="47"/>
  <c r="AS66" i="48"/>
  <c r="AT66" i="50"/>
  <c r="AT66" i="52"/>
  <c r="AT66" i="55"/>
  <c r="AT66" i="57"/>
  <c r="AS66" i="58"/>
  <c r="I232" i="3"/>
  <c r="H232" i="3"/>
  <c r="L232" i="3"/>
  <c r="O236" i="3"/>
  <c r="AC22" i="35" s="1"/>
  <c r="AE22" i="35" s="1"/>
  <c r="N232" i="3"/>
  <c r="AL66" i="31"/>
  <c r="F87" i="31"/>
  <c r="G87" i="31" s="1"/>
  <c r="H87" i="31" s="1"/>
  <c r="I87" i="31" s="1"/>
  <c r="J87" i="31" s="1"/>
  <c r="K87" i="31" s="1"/>
  <c r="L87" i="31" s="1"/>
  <c r="M87" i="31" s="1"/>
  <c r="N87" i="31" s="1"/>
  <c r="H277" i="3"/>
  <c r="I20" i="49"/>
  <c r="I20" i="54"/>
  <c r="AV20" i="32"/>
  <c r="L72" i="3"/>
  <c r="AS20" i="31"/>
  <c r="AV20" i="47"/>
  <c r="O90" i="3"/>
  <c r="AV20" i="53"/>
  <c r="BL20" i="40"/>
  <c r="BL20" i="43"/>
  <c r="O121" i="3"/>
  <c r="P63" i="32"/>
  <c r="AS66" i="33"/>
  <c r="AS66" i="35"/>
  <c r="AT66" i="36"/>
  <c r="AT66" i="40"/>
  <c r="AS66" i="42"/>
  <c r="AT66" i="43"/>
  <c r="AT66" i="45"/>
  <c r="AS66" i="46"/>
  <c r="AT66" i="48"/>
  <c r="AS66" i="54"/>
  <c r="AS66" i="56"/>
  <c r="AT66" i="58"/>
  <c r="AM64" i="36"/>
  <c r="AN64" i="41"/>
  <c r="AO63" i="32"/>
  <c r="AO64" i="36"/>
  <c r="AL87" i="44"/>
  <c r="AM87" i="44" s="1"/>
  <c r="AN87" i="44" s="1"/>
  <c r="E87" i="52"/>
  <c r="F87" i="52" s="1"/>
  <c r="G87" i="52" s="1"/>
  <c r="H87" i="52" s="1"/>
  <c r="I87" i="52" s="1"/>
  <c r="J87" i="52" s="1"/>
  <c r="K87" i="52" s="1"/>
  <c r="L87" i="52" s="1"/>
  <c r="M87" i="52" s="1"/>
  <c r="N87" i="52" s="1"/>
  <c r="AL39" i="33"/>
  <c r="AM39" i="33" s="1"/>
  <c r="AN39" i="33" s="1"/>
  <c r="AO39" i="33" s="1"/>
  <c r="AP39" i="33" s="1"/>
  <c r="G86" i="32"/>
  <c r="H86" i="32" s="1"/>
  <c r="I86" i="32" s="1"/>
  <c r="J86" i="32" s="1"/>
  <c r="K86" i="32" s="1"/>
  <c r="L86" i="32" s="1"/>
  <c r="M86" i="32" s="1"/>
  <c r="N86" i="32" s="1"/>
  <c r="AV20" i="57"/>
  <c r="BN20" i="32"/>
  <c r="BL20" i="34"/>
  <c r="BL20" i="35"/>
  <c r="BL20" i="52"/>
  <c r="BL20" i="55"/>
  <c r="AK66" i="33"/>
  <c r="AT66" i="33"/>
  <c r="AT66" i="35"/>
  <c r="AF66" i="36"/>
  <c r="AN66" i="37"/>
  <c r="AS66" i="39"/>
  <c r="AT66" i="42"/>
  <c r="AM66" i="43"/>
  <c r="AS66" i="44"/>
  <c r="AT66" i="46"/>
  <c r="AN66" i="47"/>
  <c r="AS66" i="49"/>
  <c r="AN66" i="50"/>
  <c r="AS66" i="51"/>
  <c r="AS66" i="53"/>
  <c r="AT66" i="54"/>
  <c r="AL67" i="56"/>
  <c r="AT66" i="56"/>
  <c r="AK66" i="38"/>
  <c r="AS66" i="38"/>
  <c r="AP64" i="57"/>
  <c r="AQ64" i="34"/>
  <c r="AQ64" i="47"/>
  <c r="AQ64" i="53"/>
  <c r="AR64" i="41"/>
  <c r="AT63" i="32"/>
  <c r="AT64" i="34"/>
  <c r="G232" i="3"/>
  <c r="Q246" i="3"/>
  <c r="Y22" i="46" s="1"/>
  <c r="AT66" i="31"/>
  <c r="AP66" i="31"/>
  <c r="O200" i="3"/>
  <c r="T66" i="31"/>
  <c r="AK66" i="31"/>
  <c r="AO66" i="31"/>
  <c r="AF66" i="48"/>
  <c r="AF66" i="55"/>
  <c r="AJ64" i="57"/>
  <c r="U86" i="32"/>
  <c r="V86" i="32" s="1"/>
  <c r="W86" i="32" s="1"/>
  <c r="X86" i="32" s="1"/>
  <c r="Y86" i="32" s="1"/>
  <c r="Z86" i="32" s="1"/>
  <c r="AA86" i="32" s="1"/>
  <c r="AB86" i="32" s="1"/>
  <c r="AC86" i="32" s="1"/>
  <c r="AD86" i="32" s="1"/>
  <c r="AE86" i="32" s="1"/>
  <c r="AF86" i="32" s="1"/>
  <c r="AJ65" i="32"/>
  <c r="AF66" i="35"/>
  <c r="U87" i="37"/>
  <c r="V87" i="37" s="1"/>
  <c r="W87" i="37" s="1"/>
  <c r="X87" i="37" s="1"/>
  <c r="Y87" i="37" s="1"/>
  <c r="Z87" i="37" s="1"/>
  <c r="AA87" i="37" s="1"/>
  <c r="AB87" i="37" s="1"/>
  <c r="AC87" i="37" s="1"/>
  <c r="AD87" i="37" s="1"/>
  <c r="AE87" i="37" s="1"/>
  <c r="AF87" i="37" s="1"/>
  <c r="AF66" i="37"/>
  <c r="AJ66" i="41"/>
  <c r="AF66" i="41"/>
  <c r="U85" i="44"/>
  <c r="V85" i="44" s="1"/>
  <c r="W85" i="44" s="1"/>
  <c r="AJ64" i="44"/>
  <c r="AM64" i="31"/>
  <c r="AM64" i="51"/>
  <c r="U85" i="36"/>
  <c r="AL87" i="53"/>
  <c r="U88" i="56"/>
  <c r="V88" i="56" s="1"/>
  <c r="W88" i="56" s="1"/>
  <c r="X88" i="56" s="1"/>
  <c r="Y88" i="56" s="1"/>
  <c r="Z88" i="56" s="1"/>
  <c r="AA88" i="56" s="1"/>
  <c r="AB88" i="56" s="1"/>
  <c r="AC88" i="56" s="1"/>
  <c r="AD88" i="56" s="1"/>
  <c r="AE88" i="56" s="1"/>
  <c r="AF88" i="56" s="1"/>
  <c r="AJ65" i="55"/>
  <c r="U86" i="46"/>
  <c r="V86" i="46" s="1"/>
  <c r="W86" i="46" s="1"/>
  <c r="X86" i="46" s="1"/>
  <c r="Y86" i="46" s="1"/>
  <c r="U86" i="45"/>
  <c r="AJ65" i="45"/>
  <c r="AF65" i="39"/>
  <c r="AK65" i="54"/>
  <c r="AF65" i="54"/>
  <c r="V87" i="53"/>
  <c r="W87" i="53" s="1"/>
  <c r="X87" i="53" s="1"/>
  <c r="Y87" i="53" s="1"/>
  <c r="Z87" i="53" s="1"/>
  <c r="AA87" i="53" s="1"/>
  <c r="AB87" i="53" s="1"/>
  <c r="AC87" i="53" s="1"/>
  <c r="AD87" i="53" s="1"/>
  <c r="AE87" i="53" s="1"/>
  <c r="AF87" i="53" s="1"/>
  <c r="V87" i="51"/>
  <c r="W87" i="51" s="1"/>
  <c r="X87" i="51" s="1"/>
  <c r="Y87" i="51" s="1"/>
  <c r="Z87" i="51" s="1"/>
  <c r="AA87" i="51" s="1"/>
  <c r="AB87" i="51" s="1"/>
  <c r="AC87" i="51" s="1"/>
  <c r="AD87" i="51" s="1"/>
  <c r="AE87" i="51" s="1"/>
  <c r="AF87" i="51" s="1"/>
  <c r="AF66" i="52"/>
  <c r="AH66" i="56"/>
  <c r="X87" i="36"/>
  <c r="Y87" i="36" s="1"/>
  <c r="Z87" i="36" s="1"/>
  <c r="AA87" i="36" s="1"/>
  <c r="AB87" i="36" s="1"/>
  <c r="AC87" i="36" s="1"/>
  <c r="AD87" i="36" s="1"/>
  <c r="AE87" i="36" s="1"/>
  <c r="AF87" i="36" s="1"/>
  <c r="AR65" i="32"/>
  <c r="AR66" i="37"/>
  <c r="AL66" i="46"/>
  <c r="AP66" i="46"/>
  <c r="AK66" i="49"/>
  <c r="AO66" i="49"/>
  <c r="AR66" i="50"/>
  <c r="AR66" i="55"/>
  <c r="AM66" i="58"/>
  <c r="AM66" i="31"/>
  <c r="AU64" i="36"/>
  <c r="AT64" i="39"/>
  <c r="AR64" i="43"/>
  <c r="AS64" i="45"/>
  <c r="AR64" i="47"/>
  <c r="AQ64" i="51"/>
  <c r="AS64" i="51"/>
  <c r="AR64" i="53"/>
  <c r="AT64" i="53"/>
  <c r="AQ64" i="55"/>
  <c r="AB87" i="55"/>
  <c r="AC87" i="55" s="1"/>
  <c r="AD87" i="55" s="1"/>
  <c r="AE87" i="55" s="1"/>
  <c r="AF87" i="55" s="1"/>
  <c r="AF66" i="57"/>
  <c r="AF66" i="33"/>
  <c r="W85" i="32"/>
  <c r="X85" i="32" s="1"/>
  <c r="AN65" i="32"/>
  <c r="AK66" i="35"/>
  <c r="AN66" i="41"/>
  <c r="AM66" i="45"/>
  <c r="AQ66" i="45"/>
  <c r="AN66" i="52"/>
  <c r="AR66" i="52"/>
  <c r="AL66" i="54"/>
  <c r="AP66" i="54"/>
  <c r="AQ66" i="58"/>
  <c r="AU64" i="32"/>
  <c r="AL64" i="32"/>
  <c r="AK65" i="38"/>
  <c r="AQ66" i="56"/>
  <c r="AL65" i="33"/>
  <c r="AS65" i="34"/>
  <c r="AO65" i="58"/>
  <c r="AK63" i="32"/>
  <c r="AL84" i="32" s="1"/>
  <c r="AR63" i="32"/>
  <c r="AR64" i="34"/>
  <c r="AQ64" i="36"/>
  <c r="AR64" i="39"/>
  <c r="AS64" i="41"/>
  <c r="AU64" i="43"/>
  <c r="AS64" i="49"/>
  <c r="AQ64" i="57"/>
  <c r="AS64" i="57"/>
  <c r="V86" i="48"/>
  <c r="W86" i="48" s="1"/>
  <c r="X86" i="48" s="1"/>
  <c r="Y86" i="48" s="1"/>
  <c r="Z86" i="48" s="1"/>
  <c r="AA86" i="48" s="1"/>
  <c r="AB86" i="48" s="1"/>
  <c r="AC86" i="48" s="1"/>
  <c r="AD86" i="48" s="1"/>
  <c r="AE86" i="48" s="1"/>
  <c r="AF86" i="48" s="1"/>
  <c r="AF66" i="44"/>
  <c r="X85" i="31"/>
  <c r="Y85" i="31" s="1"/>
  <c r="AF65" i="41"/>
  <c r="V87" i="39"/>
  <c r="W87" i="39" s="1"/>
  <c r="X87" i="39" s="1"/>
  <c r="Y87" i="39" s="1"/>
  <c r="Z87" i="39" s="1"/>
  <c r="AA87" i="39" s="1"/>
  <c r="AB87" i="39" s="1"/>
  <c r="AC87" i="39" s="1"/>
  <c r="AD87" i="39" s="1"/>
  <c r="AE87" i="39" s="1"/>
  <c r="AF87" i="39" s="1"/>
  <c r="AP66" i="35"/>
  <c r="AQ66" i="40"/>
  <c r="AO66" i="44"/>
  <c r="AQ66" i="48"/>
  <c r="AN66" i="55"/>
  <c r="AK66" i="58"/>
  <c r="AQ66" i="31"/>
  <c r="AT64" i="36"/>
  <c r="AU64" i="39"/>
  <c r="AQ64" i="43"/>
  <c r="AS64" i="43"/>
  <c r="AT64" i="45"/>
  <c r="AS64" i="47"/>
  <c r="AR64" i="51"/>
  <c r="AS64" i="53"/>
  <c r="AR64" i="55"/>
  <c r="AQ64" i="38"/>
  <c r="AS64" i="38"/>
  <c r="AJ65" i="56"/>
  <c r="U86" i="35"/>
  <c r="V86" i="35" s="1"/>
  <c r="W86" i="35" s="1"/>
  <c r="X86" i="35" s="1"/>
  <c r="Y86" i="35" s="1"/>
  <c r="Z86" i="35" s="1"/>
  <c r="AA86" i="35" s="1"/>
  <c r="AB86" i="35" s="1"/>
  <c r="AC86" i="35" s="1"/>
  <c r="AD86" i="35" s="1"/>
  <c r="AE86" i="35" s="1"/>
  <c r="AF86" i="35" s="1"/>
  <c r="V86" i="51"/>
  <c r="W86" i="51" s="1"/>
  <c r="X86" i="51" s="1"/>
  <c r="Y86" i="51" s="1"/>
  <c r="Z86" i="51" s="1"/>
  <c r="AA86" i="51" s="1"/>
  <c r="AF65" i="40"/>
  <c r="AJ64" i="49"/>
  <c r="U85" i="49"/>
  <c r="V85" i="49" s="1"/>
  <c r="AM64" i="32"/>
  <c r="AL64" i="41"/>
  <c r="AO64" i="46"/>
  <c r="AM64" i="53"/>
  <c r="AJ65" i="40"/>
  <c r="U86" i="56"/>
  <c r="V86" i="56" s="1"/>
  <c r="W86" i="56" s="1"/>
  <c r="X86" i="56" s="1"/>
  <c r="AL65" i="44"/>
  <c r="AL64" i="36"/>
  <c r="AK64" i="41"/>
  <c r="AN64" i="49"/>
  <c r="AP64" i="49"/>
  <c r="AO64" i="54"/>
  <c r="AH63" i="32"/>
  <c r="U85" i="54"/>
  <c r="V85" i="54" s="1"/>
  <c r="W85" i="54" s="1"/>
  <c r="X85" i="54" s="1"/>
  <c r="Y85" i="54" s="1"/>
  <c r="Z85" i="54" s="1"/>
  <c r="AF66" i="58"/>
  <c r="AP65" i="41"/>
  <c r="AP64" i="47"/>
  <c r="U86" i="50"/>
  <c r="V86" i="50" s="1"/>
  <c r="W86" i="50" s="1"/>
  <c r="X86" i="50" s="1"/>
  <c r="Y86" i="50" s="1"/>
  <c r="Z86" i="50" s="1"/>
  <c r="AF65" i="50"/>
  <c r="U85" i="50"/>
  <c r="V85" i="50" s="1"/>
  <c r="W85" i="50" s="1"/>
  <c r="X85" i="50" s="1"/>
  <c r="Y85" i="50" s="1"/>
  <c r="Z85" i="50" s="1"/>
  <c r="AA85" i="50" s="1"/>
  <c r="AB85" i="50" s="1"/>
  <c r="AC85" i="50" s="1"/>
  <c r="AK85" i="41"/>
  <c r="Q287" i="3"/>
  <c r="Y21" i="55"/>
  <c r="BL20" i="50"/>
  <c r="P286" i="3"/>
  <c r="W21" i="54" s="1"/>
  <c r="W23" i="54" s="1"/>
  <c r="Q267" i="3"/>
  <c r="Y21" i="34"/>
  <c r="AF66" i="43"/>
  <c r="AK41" i="34"/>
  <c r="AL41" i="34" s="1"/>
  <c r="AM41" i="34" s="1"/>
  <c r="AN41" i="34" s="1"/>
  <c r="AO41" i="34" s="1"/>
  <c r="AP41" i="34" s="1"/>
  <c r="AQ41" i="34" s="1"/>
  <c r="AR41" i="34" s="1"/>
  <c r="AS41" i="34" s="1"/>
  <c r="AT41" i="34" s="1"/>
  <c r="AU41" i="34" s="1"/>
  <c r="AV41" i="34" s="1"/>
  <c r="AV20" i="54"/>
  <c r="AV20" i="55"/>
  <c r="AK41" i="55"/>
  <c r="AL41" i="55" s="1"/>
  <c r="AM41" i="55" s="1"/>
  <c r="AN41" i="55" s="1"/>
  <c r="AO41" i="55" s="1"/>
  <c r="AP41" i="55" s="1"/>
  <c r="AQ41" i="55" s="1"/>
  <c r="AR41" i="55" s="1"/>
  <c r="AS41" i="55" s="1"/>
  <c r="AT41" i="55" s="1"/>
  <c r="AU41" i="55" s="1"/>
  <c r="AV41" i="55" s="1"/>
  <c r="BL20" i="48"/>
  <c r="C41" i="45"/>
  <c r="D41" i="45" s="1"/>
  <c r="E41" i="45" s="1"/>
  <c r="F41" i="45" s="1"/>
  <c r="G41" i="45" s="1"/>
  <c r="H41" i="45" s="1"/>
  <c r="I41" i="45" s="1"/>
  <c r="AP64" i="53"/>
  <c r="AF65" i="47"/>
  <c r="AO65" i="47"/>
  <c r="AK41" i="58"/>
  <c r="AL41" i="58" s="1"/>
  <c r="AM41" i="58" s="1"/>
  <c r="AN41" i="58" s="1"/>
  <c r="AO41" i="58" s="1"/>
  <c r="AP41" i="58" s="1"/>
  <c r="AQ41" i="58" s="1"/>
  <c r="AR41" i="58" s="1"/>
  <c r="AS41" i="58" s="1"/>
  <c r="AT41" i="58" s="1"/>
  <c r="AU41" i="58" s="1"/>
  <c r="AV41" i="58" s="1"/>
  <c r="AV20" i="58"/>
  <c r="BL20" i="57"/>
  <c r="Q266" i="3"/>
  <c r="Y21" i="33" s="1"/>
  <c r="Q279" i="3"/>
  <c r="Y21" i="47"/>
  <c r="Y23" i="47" s="1"/>
  <c r="AK41" i="50"/>
  <c r="AL41" i="50" s="1"/>
  <c r="AM41" i="50" s="1"/>
  <c r="AN41" i="50" s="1"/>
  <c r="AO41" i="50" s="1"/>
  <c r="AP41" i="50" s="1"/>
  <c r="AQ41" i="50" s="1"/>
  <c r="AR41" i="50" s="1"/>
  <c r="AS41" i="50" s="1"/>
  <c r="AT41" i="50" s="1"/>
  <c r="AU41" i="50" s="1"/>
  <c r="AV41" i="50" s="1"/>
  <c r="AV20" i="48"/>
  <c r="AK41" i="51"/>
  <c r="AL41" i="51" s="1"/>
  <c r="AM41" i="51" s="1"/>
  <c r="AN41" i="51" s="1"/>
  <c r="AO41" i="51" s="1"/>
  <c r="AP41" i="51" s="1"/>
  <c r="AQ41" i="51" s="1"/>
  <c r="AR41" i="51" s="1"/>
  <c r="AS41" i="51" s="1"/>
  <c r="AT41" i="51" s="1"/>
  <c r="AU41" i="51" s="1"/>
  <c r="AV41" i="51" s="1"/>
  <c r="BL20" i="56"/>
  <c r="U85" i="41"/>
  <c r="V85" i="41" s="1"/>
  <c r="W85" i="41" s="1"/>
  <c r="AV20" i="37"/>
  <c r="AK41" i="43"/>
  <c r="AL41" i="43" s="1"/>
  <c r="AM41" i="43" s="1"/>
  <c r="AN41" i="43" s="1"/>
  <c r="AO41" i="43" s="1"/>
  <c r="AP41" i="43" s="1"/>
  <c r="AQ41" i="43" s="1"/>
  <c r="AR41" i="43" s="1"/>
  <c r="AS41" i="43" s="1"/>
  <c r="AT41" i="43" s="1"/>
  <c r="AU41" i="43" s="1"/>
  <c r="AV41" i="43" s="1"/>
  <c r="AV20" i="43"/>
  <c r="AV20" i="46"/>
  <c r="AV20" i="56"/>
  <c r="BL20" i="36"/>
  <c r="U87" i="40"/>
  <c r="V87" i="40" s="1"/>
  <c r="W87" i="40" s="1"/>
  <c r="X87" i="40" s="1"/>
  <c r="Y87" i="40" s="1"/>
  <c r="Z87" i="40" s="1"/>
  <c r="AA87" i="40" s="1"/>
  <c r="AB87" i="40" s="1"/>
  <c r="AC87" i="40" s="1"/>
  <c r="AD87" i="40" s="1"/>
  <c r="AE87" i="40" s="1"/>
  <c r="AF87" i="40" s="1"/>
  <c r="AK85" i="35"/>
  <c r="AL85" i="35" s="1"/>
  <c r="AM85" i="35" s="1"/>
  <c r="AN85" i="35" s="1"/>
  <c r="AK86" i="36"/>
  <c r="AK41" i="31"/>
  <c r="B20" i="48"/>
  <c r="B20" i="53"/>
  <c r="D277" i="3"/>
  <c r="G277" i="3"/>
  <c r="G20" i="48"/>
  <c r="N20" i="48" s="1"/>
  <c r="G20" i="56"/>
  <c r="I288" i="3"/>
  <c r="R288" i="3" s="1"/>
  <c r="AA21" i="56" s="1"/>
  <c r="AD21" i="56" s="1"/>
  <c r="I20" i="46"/>
  <c r="I20" i="57"/>
  <c r="J20" i="40"/>
  <c r="N18" i="32"/>
  <c r="AV19" i="31"/>
  <c r="O110" i="3"/>
  <c r="AJ66" i="33"/>
  <c r="AF66" i="49"/>
  <c r="AV20" i="42"/>
  <c r="C41" i="36"/>
  <c r="D41" i="36" s="1"/>
  <c r="E41" i="36" s="1"/>
  <c r="F41" i="36" s="1"/>
  <c r="G41" i="36" s="1"/>
  <c r="H41" i="36" s="1"/>
  <c r="I41" i="36" s="1"/>
  <c r="J41" i="36" s="1"/>
  <c r="K41" i="36" s="1"/>
  <c r="L41" i="36" s="1"/>
  <c r="M41" i="36" s="1"/>
  <c r="N41" i="36" s="1"/>
  <c r="AK86" i="34"/>
  <c r="AL86" i="34" s="1"/>
  <c r="AM86" i="34" s="1"/>
  <c r="AK86" i="53"/>
  <c r="AK39" i="38"/>
  <c r="AL39" i="38" s="1"/>
  <c r="AM39" i="38" s="1"/>
  <c r="AN39" i="38" s="1"/>
  <c r="AO39" i="38" s="1"/>
  <c r="AP39" i="38" s="1"/>
  <c r="N19" i="31"/>
  <c r="C39" i="33"/>
  <c r="D39" i="33" s="1"/>
  <c r="E39" i="33" s="1"/>
  <c r="F39" i="33" s="1"/>
  <c r="G39" i="33" s="1"/>
  <c r="H39" i="33" s="1"/>
  <c r="I39" i="33" s="1"/>
  <c r="J39" i="33" s="1"/>
  <c r="K39" i="33" s="1"/>
  <c r="L39" i="33" s="1"/>
  <c r="M39" i="33" s="1"/>
  <c r="N39" i="33" s="1"/>
  <c r="AK41" i="46"/>
  <c r="AL41" i="46" s="1"/>
  <c r="AM41" i="46" s="1"/>
  <c r="AN41" i="46" s="1"/>
  <c r="AO41" i="46" s="1"/>
  <c r="AP41" i="46" s="1"/>
  <c r="AQ41" i="46" s="1"/>
  <c r="AR41" i="46" s="1"/>
  <c r="AS41" i="46" s="1"/>
  <c r="AT41" i="46" s="1"/>
  <c r="AU41" i="46" s="1"/>
  <c r="AV41" i="46" s="1"/>
  <c r="AK39" i="34"/>
  <c r="AL39" i="34" s="1"/>
  <c r="AM39" i="34" s="1"/>
  <c r="AN39" i="34" s="1"/>
  <c r="AO39" i="34" s="1"/>
  <c r="AP39" i="34" s="1"/>
  <c r="AK39" i="36"/>
  <c r="AL39" i="36" s="1"/>
  <c r="AM39" i="36" s="1"/>
  <c r="AN39" i="36" s="1"/>
  <c r="AO39" i="36" s="1"/>
  <c r="AP39" i="36" s="1"/>
  <c r="AK39" i="37"/>
  <c r="AL39" i="37" s="1"/>
  <c r="AM39" i="37" s="1"/>
  <c r="AN39" i="37" s="1"/>
  <c r="AO39" i="37" s="1"/>
  <c r="AP39" i="37" s="1"/>
  <c r="AQ39" i="37" s="1"/>
  <c r="AR39" i="37" s="1"/>
  <c r="AS39" i="37" s="1"/>
  <c r="AT39" i="37" s="1"/>
  <c r="AU39" i="37" s="1"/>
  <c r="AV39" i="37" s="1"/>
  <c r="O116" i="3"/>
  <c r="O122" i="3"/>
  <c r="AJ66" i="36"/>
  <c r="U87" i="38"/>
  <c r="V87" i="38" s="1"/>
  <c r="W87" i="38" s="1"/>
  <c r="X87" i="38" s="1"/>
  <c r="Y87" i="38" s="1"/>
  <c r="Z87" i="38" s="1"/>
  <c r="AA87" i="38" s="1"/>
  <c r="AB87" i="38" s="1"/>
  <c r="AC87" i="38" s="1"/>
  <c r="AD87" i="38" s="1"/>
  <c r="AE87" i="38" s="1"/>
  <c r="AF87" i="38" s="1"/>
  <c r="AF65" i="55"/>
  <c r="AK87" i="51"/>
  <c r="AK85" i="45"/>
  <c r="AL41" i="53"/>
  <c r="AM41" i="53" s="1"/>
  <c r="AN41" i="53" s="1"/>
  <c r="AO41" i="53" s="1"/>
  <c r="AP41" i="53" s="1"/>
  <c r="AQ41" i="53" s="1"/>
  <c r="AR41" i="53" s="1"/>
  <c r="AS41" i="53" s="1"/>
  <c r="AT41" i="53" s="1"/>
  <c r="AU41" i="53" s="1"/>
  <c r="AV41" i="53" s="1"/>
  <c r="AK86" i="43"/>
  <c r="AV18" i="56"/>
  <c r="C41" i="49"/>
  <c r="D41" i="49" s="1"/>
  <c r="E41" i="49" s="1"/>
  <c r="F41" i="49" s="1"/>
  <c r="G41" i="49" s="1"/>
  <c r="H41" i="49" s="1"/>
  <c r="I41" i="49" s="1"/>
  <c r="J41" i="49" s="1"/>
  <c r="K41" i="49" s="1"/>
  <c r="L41" i="49" s="1"/>
  <c r="M41" i="49" s="1"/>
  <c r="N41" i="49" s="1"/>
  <c r="G268" i="3"/>
  <c r="Q268" i="3" s="1"/>
  <c r="Y21" i="35" s="1"/>
  <c r="G20" i="40"/>
  <c r="H20" i="57"/>
  <c r="K282" i="3"/>
  <c r="R282" i="3" s="1"/>
  <c r="AA21" i="50" s="1"/>
  <c r="J20" i="55"/>
  <c r="C39" i="43"/>
  <c r="D39" i="43" s="1"/>
  <c r="E39" i="43" s="1"/>
  <c r="F39" i="43" s="1"/>
  <c r="G39" i="43" s="1"/>
  <c r="H39" i="43" s="1"/>
  <c r="I39" i="43" s="1"/>
  <c r="J39" i="43" s="1"/>
  <c r="K39" i="43" s="1"/>
  <c r="L39" i="43" s="1"/>
  <c r="M39" i="43" s="1"/>
  <c r="C39" i="47"/>
  <c r="D39" i="47" s="1"/>
  <c r="E39" i="47" s="1"/>
  <c r="F39" i="47" s="1"/>
  <c r="G39" i="47" s="1"/>
  <c r="H39" i="47" s="1"/>
  <c r="I39" i="47" s="1"/>
  <c r="J39" i="47" s="1"/>
  <c r="K39" i="47" s="1"/>
  <c r="L39" i="47" s="1"/>
  <c r="M39" i="47" s="1"/>
  <c r="C39" i="53"/>
  <c r="D39" i="53" s="1"/>
  <c r="E39" i="53" s="1"/>
  <c r="F39" i="53" s="1"/>
  <c r="G39" i="53" s="1"/>
  <c r="H39" i="53" s="1"/>
  <c r="I39" i="53" s="1"/>
  <c r="J39" i="53" s="1"/>
  <c r="K39" i="53" s="1"/>
  <c r="L39" i="53" s="1"/>
  <c r="M39" i="53" s="1"/>
  <c r="N39" i="53" s="1"/>
  <c r="AK41" i="39"/>
  <c r="AL41" i="39" s="1"/>
  <c r="AM41" i="39" s="1"/>
  <c r="AN41" i="39" s="1"/>
  <c r="AO41" i="39" s="1"/>
  <c r="AP41" i="39" s="1"/>
  <c r="AQ41" i="39" s="1"/>
  <c r="AR41" i="39" s="1"/>
  <c r="AS41" i="39" s="1"/>
  <c r="AT41" i="39" s="1"/>
  <c r="AU41" i="39" s="1"/>
  <c r="AV41" i="39" s="1"/>
  <c r="AK41" i="49"/>
  <c r="AL41" i="49" s="1"/>
  <c r="AM41" i="49" s="1"/>
  <c r="AN41" i="49" s="1"/>
  <c r="AO41" i="49" s="1"/>
  <c r="AP41" i="49" s="1"/>
  <c r="AQ41" i="49" s="1"/>
  <c r="AR41" i="49" s="1"/>
  <c r="AS41" i="49" s="1"/>
  <c r="AT41" i="49" s="1"/>
  <c r="AU41" i="49" s="1"/>
  <c r="AV41" i="49" s="1"/>
  <c r="AV20" i="33"/>
  <c r="U87" i="34"/>
  <c r="V87" i="34" s="1"/>
  <c r="W87" i="34" s="1"/>
  <c r="X87" i="34" s="1"/>
  <c r="Y87" i="34" s="1"/>
  <c r="Z87" i="34" s="1"/>
  <c r="AA87" i="34" s="1"/>
  <c r="AB87" i="34" s="1"/>
  <c r="AC87" i="34" s="1"/>
  <c r="AD87" i="34" s="1"/>
  <c r="AE87" i="34" s="1"/>
  <c r="AF87" i="34" s="1"/>
  <c r="AK87" i="57"/>
  <c r="AK41" i="32"/>
  <c r="AL41" i="32" s="1"/>
  <c r="AM41" i="32" s="1"/>
  <c r="AN41" i="32" s="1"/>
  <c r="AO41" i="32" s="1"/>
  <c r="AP41" i="32" s="1"/>
  <c r="AQ41" i="32" s="1"/>
  <c r="AR41" i="32" s="1"/>
  <c r="AS41" i="32" s="1"/>
  <c r="AT41" i="32" s="1"/>
  <c r="AU41" i="32" s="1"/>
  <c r="AV41" i="32" s="1"/>
  <c r="M104" i="3"/>
  <c r="BJ20" i="31" s="1"/>
  <c r="BJ20" i="32"/>
  <c r="O114" i="3"/>
  <c r="AM66" i="34"/>
  <c r="AQ66" i="39"/>
  <c r="AL66" i="43"/>
  <c r="AN66" i="44"/>
  <c r="AR66" i="51"/>
  <c r="AN66" i="57"/>
  <c r="AN66" i="38"/>
  <c r="U86" i="36"/>
  <c r="V86" i="36" s="1"/>
  <c r="W86" i="36" s="1"/>
  <c r="X86" i="36" s="1"/>
  <c r="Y86" i="36" s="1"/>
  <c r="Z86" i="36" s="1"/>
  <c r="AA86" i="36" s="1"/>
  <c r="AB86" i="36" s="1"/>
  <c r="AC86" i="36" s="1"/>
  <c r="AD86" i="36" s="1"/>
  <c r="AE86" i="36" s="1"/>
  <c r="AF86" i="36" s="1"/>
  <c r="U86" i="33"/>
  <c r="V86" i="33" s="1"/>
  <c r="W86" i="33" s="1"/>
  <c r="X86" i="33" s="1"/>
  <c r="Y86" i="33" s="1"/>
  <c r="Z86" i="33" s="1"/>
  <c r="AA86" i="33" s="1"/>
  <c r="AB86" i="33" s="1"/>
  <c r="AC86" i="33" s="1"/>
  <c r="AD86" i="33" s="1"/>
  <c r="AE86" i="33" s="1"/>
  <c r="AF86" i="33" s="1"/>
  <c r="AO65" i="52"/>
  <c r="AM66" i="35"/>
  <c r="AP66" i="36"/>
  <c r="AJ66" i="39"/>
  <c r="AR66" i="39"/>
  <c r="AO66" i="40"/>
  <c r="AP66" i="41"/>
  <c r="AP66" i="43"/>
  <c r="AR66" i="44"/>
  <c r="AN66" i="45"/>
  <c r="AV66" i="45" s="1"/>
  <c r="AL66" i="51"/>
  <c r="AO66" i="51"/>
  <c r="AO66" i="38"/>
  <c r="AR66" i="31"/>
  <c r="C86" i="31"/>
  <c r="D86" i="31" s="1"/>
  <c r="E86" i="31" s="1"/>
  <c r="F86" i="31" s="1"/>
  <c r="G86" i="31" s="1"/>
  <c r="H86" i="31" s="1"/>
  <c r="I86" i="31" s="1"/>
  <c r="J86" i="31" s="1"/>
  <c r="K86" i="31" s="1"/>
  <c r="L86" i="31" s="1"/>
  <c r="M86" i="31" s="1"/>
  <c r="N86" i="31" s="1"/>
  <c r="U86" i="38"/>
  <c r="V86" i="38" s="1"/>
  <c r="W86" i="38" s="1"/>
  <c r="C86" i="46"/>
  <c r="D86" i="46" s="1"/>
  <c r="E86" i="46" s="1"/>
  <c r="F86" i="46" s="1"/>
  <c r="G86" i="46" s="1"/>
  <c r="H86" i="46" s="1"/>
  <c r="I86" i="46" s="1"/>
  <c r="J86" i="46" s="1"/>
  <c r="K86" i="46" s="1"/>
  <c r="L86" i="46" s="1"/>
  <c r="M86" i="46" s="1"/>
  <c r="N86" i="46" s="1"/>
  <c r="C85" i="39"/>
  <c r="D85" i="39" s="1"/>
  <c r="E85" i="39" s="1"/>
  <c r="F85" i="39" s="1"/>
  <c r="C85" i="41"/>
  <c r="D85" i="41" s="1"/>
  <c r="E85" i="41" s="1"/>
  <c r="F85" i="41" s="1"/>
  <c r="G85" i="41" s="1"/>
  <c r="H85" i="41" s="1"/>
  <c r="I85" i="41" s="1"/>
  <c r="J85" i="41" s="1"/>
  <c r="K85" i="41" s="1"/>
  <c r="L85" i="41" s="1"/>
  <c r="M85" i="41" s="1"/>
  <c r="N85" i="41" s="1"/>
  <c r="C85" i="57"/>
  <c r="D85" i="57" s="1"/>
  <c r="E85" i="57" s="1"/>
  <c r="F85" i="57" s="1"/>
  <c r="G85" i="57" s="1"/>
  <c r="H85" i="57" s="1"/>
  <c r="I85" i="57" s="1"/>
  <c r="J85" i="57" s="1"/>
  <c r="K85" i="57" s="1"/>
  <c r="L85" i="57" s="1"/>
  <c r="M85" i="57" s="1"/>
  <c r="N85" i="57" s="1"/>
  <c r="AO66" i="33"/>
  <c r="O172" i="3"/>
  <c r="AN66" i="36"/>
  <c r="AM66" i="39"/>
  <c r="AQ66" i="41"/>
  <c r="AN66" i="43"/>
  <c r="AQ66" i="43"/>
  <c r="AM66" i="51"/>
  <c r="AP66" i="51"/>
  <c r="AP67" i="56"/>
  <c r="AV67" i="56" s="1"/>
  <c r="AR66" i="57"/>
  <c r="AM66" i="38"/>
  <c r="AU65" i="34"/>
  <c r="AQ65" i="46"/>
  <c r="AP65" i="40"/>
  <c r="C85" i="52"/>
  <c r="D85" i="52" s="1"/>
  <c r="E85" i="52" s="1"/>
  <c r="F85" i="52" s="1"/>
  <c r="G85" i="52" s="1"/>
  <c r="H85" i="52" s="1"/>
  <c r="I85" i="52" s="1"/>
  <c r="J85" i="52" s="1"/>
  <c r="K85" i="52" s="1"/>
  <c r="L85" i="52" s="1"/>
  <c r="M85" i="52" s="1"/>
  <c r="N85" i="52" s="1"/>
  <c r="O217" i="3"/>
  <c r="AP64" i="52"/>
  <c r="AP64" i="55"/>
  <c r="AP64" i="38"/>
  <c r="AQ64" i="41"/>
  <c r="AQ64" i="45"/>
  <c r="AQ64" i="49"/>
  <c r="AQ66" i="35"/>
  <c r="AL66" i="36"/>
  <c r="AO66" i="36"/>
  <c r="AM66" i="40"/>
  <c r="AP66" i="40"/>
  <c r="AM66" i="41"/>
  <c r="AO66" i="41"/>
  <c r="AK66" i="43"/>
  <c r="AR66" i="43"/>
  <c r="AR66" i="38"/>
  <c r="U86" i="42"/>
  <c r="V86" i="42" s="1"/>
  <c r="W86" i="42" s="1"/>
  <c r="X86" i="42" s="1"/>
  <c r="Y86" i="42" s="1"/>
  <c r="Z86" i="42" s="1"/>
  <c r="AA86" i="42" s="1"/>
  <c r="AB86" i="42" s="1"/>
  <c r="AC86" i="42" s="1"/>
  <c r="AD86" i="42" s="1"/>
  <c r="AE86" i="42" s="1"/>
  <c r="AF86" i="42" s="1"/>
  <c r="N66" i="56"/>
  <c r="U86" i="43"/>
  <c r="V86" i="43" s="1"/>
  <c r="W86" i="43" s="1"/>
  <c r="X86" i="43" s="1"/>
  <c r="Y86" i="43" s="1"/>
  <c r="Z86" i="43" s="1"/>
  <c r="AA86" i="43" s="1"/>
  <c r="AB86" i="43" s="1"/>
  <c r="AC86" i="43" s="1"/>
  <c r="AD86" i="43" s="1"/>
  <c r="AE86" i="43" s="1"/>
  <c r="AF86" i="43" s="1"/>
  <c r="U86" i="41"/>
  <c r="V86" i="41" s="1"/>
  <c r="W86" i="41" s="1"/>
  <c r="X86" i="41" s="1"/>
  <c r="Y86" i="41" s="1"/>
  <c r="Z86" i="41" s="1"/>
  <c r="AA86" i="41" s="1"/>
  <c r="AB86" i="41" s="1"/>
  <c r="AC86" i="41" s="1"/>
  <c r="AD86" i="41" s="1"/>
  <c r="AE86" i="41" s="1"/>
  <c r="AF86" i="41" s="1"/>
  <c r="AT65" i="43"/>
  <c r="AO65" i="55"/>
  <c r="AU65" i="48"/>
  <c r="AL65" i="40"/>
  <c r="AJ64" i="33"/>
  <c r="AK40" i="34"/>
  <c r="AL40" i="34" s="1"/>
  <c r="AM40" i="34" s="1"/>
  <c r="AN40" i="34" s="1"/>
  <c r="AO40" i="34" s="1"/>
  <c r="AP40" i="34" s="1"/>
  <c r="AQ40" i="34" s="1"/>
  <c r="AR40" i="34" s="1"/>
  <c r="AS40" i="34" s="1"/>
  <c r="AT40" i="34" s="1"/>
  <c r="AU40" i="34" s="1"/>
  <c r="AV40" i="34" s="1"/>
  <c r="N19" i="36"/>
  <c r="BL19" i="36"/>
  <c r="C40" i="40"/>
  <c r="D40" i="40" s="1"/>
  <c r="E40" i="40" s="1"/>
  <c r="F40" i="40" s="1"/>
  <c r="G40" i="40" s="1"/>
  <c r="H40" i="40" s="1"/>
  <c r="I40" i="40" s="1"/>
  <c r="J40" i="40" s="1"/>
  <c r="K40" i="40" s="1"/>
  <c r="L40" i="40" s="1"/>
  <c r="M40" i="40" s="1"/>
  <c r="N40" i="40" s="1"/>
  <c r="AK40" i="40"/>
  <c r="AL40" i="40" s="1"/>
  <c r="AM40" i="40" s="1"/>
  <c r="AN40" i="40" s="1"/>
  <c r="AO40" i="40" s="1"/>
  <c r="AP40" i="40" s="1"/>
  <c r="AQ40" i="40" s="1"/>
  <c r="AR40" i="40" s="1"/>
  <c r="AS40" i="40" s="1"/>
  <c r="AT40" i="40" s="1"/>
  <c r="AU40" i="40" s="1"/>
  <c r="AV40" i="40" s="1"/>
  <c r="C40" i="41"/>
  <c r="D40" i="41" s="1"/>
  <c r="E40" i="41" s="1"/>
  <c r="F40" i="41" s="1"/>
  <c r="G40" i="41" s="1"/>
  <c r="H40" i="41" s="1"/>
  <c r="I40" i="41" s="1"/>
  <c r="J40" i="41" s="1"/>
  <c r="K40" i="41" s="1"/>
  <c r="L40" i="41" s="1"/>
  <c r="M40" i="41" s="1"/>
  <c r="N40" i="41" s="1"/>
  <c r="AK40" i="55"/>
  <c r="AL40" i="55" s="1"/>
  <c r="AM40" i="55" s="1"/>
  <c r="AN40" i="55" s="1"/>
  <c r="AO40" i="55" s="1"/>
  <c r="AP40" i="55" s="1"/>
  <c r="AQ40" i="55" s="1"/>
  <c r="AR40" i="55" s="1"/>
  <c r="AS40" i="55" s="1"/>
  <c r="AT40" i="55" s="1"/>
  <c r="AU40" i="55" s="1"/>
  <c r="AV40" i="55" s="1"/>
  <c r="BL19" i="55"/>
  <c r="AK40" i="56"/>
  <c r="AL40" i="56" s="1"/>
  <c r="AM40" i="56" s="1"/>
  <c r="AN40" i="56" s="1"/>
  <c r="AO40" i="56" s="1"/>
  <c r="AP40" i="56" s="1"/>
  <c r="AQ40" i="56" s="1"/>
  <c r="AR40" i="56" s="1"/>
  <c r="AS40" i="56" s="1"/>
  <c r="AT40" i="56" s="1"/>
  <c r="AU40" i="56" s="1"/>
  <c r="AV40" i="56" s="1"/>
  <c r="P233" i="3"/>
  <c r="W22" i="32" s="1"/>
  <c r="O234" i="3"/>
  <c r="AC22" i="33" s="1"/>
  <c r="AE22" i="33" s="1"/>
  <c r="O248" i="3"/>
  <c r="AC22" i="48" s="1"/>
  <c r="AE22" i="48" s="1"/>
  <c r="P249" i="3"/>
  <c r="W22" i="49" s="1"/>
  <c r="Q250" i="3"/>
  <c r="Y22" i="50" s="1"/>
  <c r="R251" i="3"/>
  <c r="AA22" i="51" s="1"/>
  <c r="AD22" i="51" s="1"/>
  <c r="V23" i="31"/>
  <c r="V23" i="41"/>
  <c r="BL19" i="42"/>
  <c r="AV19" i="52"/>
  <c r="AB23" i="31"/>
  <c r="AS64" i="36"/>
  <c r="AS64" i="39"/>
  <c r="AT64" i="43"/>
  <c r="AT64" i="47"/>
  <c r="AT64" i="51"/>
  <c r="AT64" i="55"/>
  <c r="AT64" i="57"/>
  <c r="AT64" i="38"/>
  <c r="AU64" i="41"/>
  <c r="AU64" i="45"/>
  <c r="AU64" i="49"/>
  <c r="AU64" i="53"/>
  <c r="C40" i="42"/>
  <c r="D40" i="42" s="1"/>
  <c r="E40" i="42" s="1"/>
  <c r="F40" i="42" s="1"/>
  <c r="G40" i="42" s="1"/>
  <c r="H40" i="42" s="1"/>
  <c r="I40" i="42" s="1"/>
  <c r="J40" i="42" s="1"/>
  <c r="K40" i="42" s="1"/>
  <c r="L40" i="42" s="1"/>
  <c r="M40" i="42" s="1"/>
  <c r="N40" i="42" s="1"/>
  <c r="N19" i="45"/>
  <c r="N19" i="48"/>
  <c r="AK40" i="48"/>
  <c r="AL40" i="48" s="1"/>
  <c r="AM40" i="48" s="1"/>
  <c r="AN40" i="48" s="1"/>
  <c r="AO40" i="48" s="1"/>
  <c r="AP40" i="48" s="1"/>
  <c r="AQ40" i="48" s="1"/>
  <c r="AR40" i="48" s="1"/>
  <c r="AS40" i="48" s="1"/>
  <c r="AT40" i="48" s="1"/>
  <c r="AU40" i="48" s="1"/>
  <c r="AV40" i="48" s="1"/>
  <c r="AV19" i="49"/>
  <c r="N19" i="53"/>
  <c r="BN19" i="57"/>
  <c r="R239" i="3"/>
  <c r="AA22" i="39" s="1"/>
  <c r="AD22" i="39" s="1"/>
  <c r="O241" i="3"/>
  <c r="AC22" i="41" s="1"/>
  <c r="Q242" i="3"/>
  <c r="Y22" i="42" s="1"/>
  <c r="O243" i="3"/>
  <c r="AC22" i="43" s="1"/>
  <c r="AE22" i="43" s="1"/>
  <c r="R244" i="3"/>
  <c r="AA22" i="44" s="1"/>
  <c r="AD22" i="44" s="1"/>
  <c r="R255" i="3"/>
  <c r="AA22" i="55" s="1"/>
  <c r="Q258" i="3"/>
  <c r="Y22" i="58" s="1"/>
  <c r="Z23" i="31"/>
  <c r="V23" i="46"/>
  <c r="AV19" i="47"/>
  <c r="N19" i="50"/>
  <c r="Q238" i="3"/>
  <c r="Y22" i="37" s="1"/>
  <c r="R240" i="3"/>
  <c r="AA22" i="40" s="1"/>
  <c r="R247" i="3"/>
  <c r="AA22" i="47" s="1"/>
  <c r="AD22" i="47" s="1"/>
  <c r="R248" i="3"/>
  <c r="AA22" i="48" s="1"/>
  <c r="AD22" i="48" s="1"/>
  <c r="F9" i="29"/>
  <c r="F9" i="21"/>
  <c r="B14" i="7"/>
  <c r="B18" i="25"/>
  <c r="D33" i="3"/>
  <c r="F9" i="11"/>
  <c r="F9" i="5"/>
  <c r="U9" i="3"/>
  <c r="I20" i="7" s="1"/>
  <c r="U10" i="3"/>
  <c r="I20" i="8" s="1"/>
  <c r="U11" i="3"/>
  <c r="I20" i="9" s="1"/>
  <c r="U12" i="3"/>
  <c r="I20" i="11" s="1"/>
  <c r="AC13" i="3"/>
  <c r="I13" i="12" s="1"/>
  <c r="U20" i="3"/>
  <c r="I20" i="19" s="1"/>
  <c r="U21" i="3"/>
  <c r="I20" i="20" s="1"/>
  <c r="U30" i="3"/>
  <c r="I20" i="29" s="1"/>
  <c r="AH15" i="3"/>
  <c r="Y16" i="3"/>
  <c r="I9" i="15" s="1"/>
  <c r="AC16" i="3"/>
  <c r="I13" i="15" s="1"/>
  <c r="AG16" i="3"/>
  <c r="I17" i="15" s="1"/>
  <c r="Y17" i="3"/>
  <c r="I9" i="16" s="1"/>
  <c r="AC18" i="3"/>
  <c r="I13" i="17" s="1"/>
  <c r="AG19" i="3"/>
  <c r="I17" i="18" s="1"/>
  <c r="AH21" i="3"/>
  <c r="J17" i="20" s="1"/>
  <c r="X30" i="3"/>
  <c r="U27" i="3"/>
  <c r="I20" i="26" s="1"/>
  <c r="U28" i="3"/>
  <c r="I20" i="27" s="1"/>
  <c r="AF29" i="3"/>
  <c r="AF30" i="3"/>
  <c r="AA22" i="3"/>
  <c r="G13" i="21" s="1"/>
  <c r="G14" i="21" s="1"/>
  <c r="AE22" i="3"/>
  <c r="G17" i="21" s="1"/>
  <c r="G18" i="21" s="1"/>
  <c r="AA23" i="3"/>
  <c r="G13" i="22" s="1"/>
  <c r="G14" i="22" s="1"/>
  <c r="AE23" i="3"/>
  <c r="G17" i="22" s="1"/>
  <c r="G18" i="22" s="1"/>
  <c r="AA24" i="3"/>
  <c r="G13" i="23" s="1"/>
  <c r="AE24" i="3"/>
  <c r="G17" i="23" s="1"/>
  <c r="AA25" i="3"/>
  <c r="G13" i="24" s="1"/>
  <c r="AA26" i="3"/>
  <c r="G13" i="25" s="1"/>
  <c r="AA27" i="3"/>
  <c r="G13" i="26" s="1"/>
  <c r="G14" i="26" s="1"/>
  <c r="AE27" i="3"/>
  <c r="G17" i="26" s="1"/>
  <c r="G18" i="26" s="1"/>
  <c r="AA28" i="3"/>
  <c r="G13" i="27" s="1"/>
  <c r="G14" i="27" s="1"/>
  <c r="AE28" i="3"/>
  <c r="G17" i="27" s="1"/>
  <c r="G18" i="27" s="1"/>
  <c r="AA29" i="3"/>
  <c r="G13" i="28" s="1"/>
  <c r="AA30" i="3"/>
  <c r="G13" i="29" s="1"/>
  <c r="G14" i="29" s="1"/>
  <c r="AE30" i="3"/>
  <c r="G17" i="29" s="1"/>
  <c r="G18" i="29" s="1"/>
  <c r="U31" i="3"/>
  <c r="I20" i="30" s="1"/>
  <c r="AE31" i="3"/>
  <c r="G17" i="30" s="1"/>
  <c r="G18" i="30" s="1"/>
  <c r="S7" i="3"/>
  <c r="G20" i="5" s="1"/>
  <c r="V8" i="3"/>
  <c r="J20" i="6" s="1"/>
  <c r="T10" i="3"/>
  <c r="T11" i="3"/>
  <c r="H20" i="9" s="1"/>
  <c r="S32" i="3"/>
  <c r="G20" i="10" s="1"/>
  <c r="G10" i="10" s="1"/>
  <c r="U32" i="3"/>
  <c r="I20" i="10" s="1"/>
  <c r="AH18" i="3"/>
  <c r="J17" i="17" s="1"/>
  <c r="T13" i="3"/>
  <c r="H20" i="12" s="1"/>
  <c r="U13" i="3"/>
  <c r="I20" i="12" s="1"/>
  <c r="Y13" i="3"/>
  <c r="I9" i="12" s="1"/>
  <c r="X13" i="3"/>
  <c r="H9" i="12" s="1"/>
  <c r="K9" i="12" s="1"/>
  <c r="S17" i="3"/>
  <c r="G20" i="16" s="1"/>
  <c r="W9" i="3"/>
  <c r="G9" i="7" s="1"/>
  <c r="G10" i="7" s="1"/>
  <c r="Z32" i="3"/>
  <c r="J9" i="10" s="1"/>
  <c r="W26" i="3"/>
  <c r="G9" i="25" s="1"/>
  <c r="G13" i="8"/>
  <c r="G14" i="8" s="1"/>
  <c r="T14" i="3"/>
  <c r="H20" i="13" s="1"/>
  <c r="K20" i="13" s="1"/>
  <c r="X14" i="3"/>
  <c r="H9" i="13" s="1"/>
  <c r="S15" i="3"/>
  <c r="G20" i="14" s="1"/>
  <c r="X20" i="3"/>
  <c r="H9" i="19" s="1"/>
  <c r="B18" i="12"/>
  <c r="Z27" i="3"/>
  <c r="G10" i="19"/>
  <c r="K9" i="8"/>
  <c r="X12" i="3"/>
  <c r="H9" i="11" s="1"/>
  <c r="K9" i="6"/>
  <c r="B10" i="22"/>
  <c r="B14" i="9"/>
  <c r="B14" i="22"/>
  <c r="K9" i="18"/>
  <c r="AJ64" i="50"/>
  <c r="P232" i="3"/>
  <c r="W22" i="31" s="1"/>
  <c r="AF19" i="3"/>
  <c r="H17" i="18" s="1"/>
  <c r="AF27" i="3"/>
  <c r="H17" i="26" s="1"/>
  <c r="B20" i="38"/>
  <c r="C20" i="37"/>
  <c r="N20" i="37" s="1"/>
  <c r="F20" i="41"/>
  <c r="F20" i="44"/>
  <c r="F20" i="54"/>
  <c r="F20" i="56"/>
  <c r="I20" i="45"/>
  <c r="J20" i="52"/>
  <c r="N20" i="52" s="1"/>
  <c r="B18" i="44"/>
  <c r="N18" i="38"/>
  <c r="AK66" i="57"/>
  <c r="N18" i="34"/>
  <c r="BA20" i="37"/>
  <c r="BA20" i="49"/>
  <c r="AK72" i="3"/>
  <c r="AU72" i="3" s="1"/>
  <c r="AF65" i="31"/>
  <c r="AF65" i="37"/>
  <c r="U86" i="37"/>
  <c r="V86" i="37" s="1"/>
  <c r="W86" i="37" s="1"/>
  <c r="X86" i="37" s="1"/>
  <c r="Y86" i="37" s="1"/>
  <c r="Z86" i="37" s="1"/>
  <c r="AA86" i="37" s="1"/>
  <c r="AB86" i="37" s="1"/>
  <c r="AC86" i="37" s="1"/>
  <c r="AD86" i="37" s="1"/>
  <c r="AE86" i="37" s="1"/>
  <c r="AF86" i="37" s="1"/>
  <c r="AR65" i="33"/>
  <c r="AJ65" i="39"/>
  <c r="AM65" i="34"/>
  <c r="W64" i="46"/>
  <c r="AM64" i="46" s="1"/>
  <c r="AU214" i="3"/>
  <c r="X64" i="33"/>
  <c r="AU202" i="3"/>
  <c r="AS64" i="55"/>
  <c r="T64" i="43"/>
  <c r="AU211" i="3"/>
  <c r="T64" i="58"/>
  <c r="AG64" i="58" s="1"/>
  <c r="AU226" i="3"/>
  <c r="W64" i="44"/>
  <c r="AU212" i="3"/>
  <c r="BG40" i="48"/>
  <c r="BD40" i="35"/>
  <c r="BB40" i="35"/>
  <c r="BA40" i="35"/>
  <c r="BN40" i="35"/>
  <c r="BE40" i="35"/>
  <c r="BC40" i="35"/>
  <c r="BL19" i="39"/>
  <c r="AR64" i="57"/>
  <c r="AR64" i="38"/>
  <c r="T64" i="55"/>
  <c r="AU223" i="3"/>
  <c r="X64" i="37"/>
  <c r="AU206" i="3"/>
  <c r="AV19" i="38"/>
  <c r="AK40" i="38"/>
  <c r="AL40" i="38" s="1"/>
  <c r="AM40" i="38" s="1"/>
  <c r="AN40" i="38" s="1"/>
  <c r="AO40" i="38" s="1"/>
  <c r="AP40" i="38" s="1"/>
  <c r="AQ40" i="38" s="1"/>
  <c r="AR40" i="38" s="1"/>
  <c r="AS40" i="38" s="1"/>
  <c r="AT40" i="38" s="1"/>
  <c r="AU40" i="38" s="1"/>
  <c r="AV40" i="38" s="1"/>
  <c r="AO64" i="57"/>
  <c r="AU216" i="3"/>
  <c r="O210" i="3"/>
  <c r="X64" i="35"/>
  <c r="Y85" i="35" s="1"/>
  <c r="AU204" i="3"/>
  <c r="AV19" i="45"/>
  <c r="BG40" i="34"/>
  <c r="BA40" i="34"/>
  <c r="BA40" i="37"/>
  <c r="BF40" i="53"/>
  <c r="BD40" i="53"/>
  <c r="BO40" i="53"/>
  <c r="BK40" i="53"/>
  <c r="N19" i="44"/>
  <c r="N19" i="52"/>
  <c r="BC40" i="34"/>
  <c r="BH40" i="34"/>
  <c r="BB40" i="53"/>
  <c r="AZ44" i="53"/>
  <c r="BG40" i="53"/>
  <c r="BC40" i="53"/>
  <c r="AV19" i="41"/>
  <c r="AV19" i="42"/>
  <c r="BL19" i="49"/>
  <c r="AV19" i="51"/>
  <c r="N19" i="54"/>
  <c r="BL19" i="58"/>
  <c r="Q234" i="3"/>
  <c r="Y22" i="33" s="1"/>
  <c r="Y23" i="33" s="1"/>
  <c r="O279" i="3"/>
  <c r="AC21" i="47" s="1"/>
  <c r="O72" i="3"/>
  <c r="R281" i="3"/>
  <c r="AA21" i="49" s="1"/>
  <c r="AD21" i="49" s="1"/>
  <c r="C41" i="51"/>
  <c r="D41" i="51" s="1"/>
  <c r="E41" i="51" s="1"/>
  <c r="F41" i="51" s="1"/>
  <c r="N20" i="49"/>
  <c r="R271" i="3"/>
  <c r="AA21" i="39" s="1"/>
  <c r="Q271" i="3"/>
  <c r="Y21" i="39" s="1"/>
  <c r="O271" i="3"/>
  <c r="AC21" i="39" s="1"/>
  <c r="R284" i="3"/>
  <c r="AA21" i="52" s="1"/>
  <c r="AD21" i="52" s="1"/>
  <c r="Q284" i="3"/>
  <c r="Y21" i="52" s="1"/>
  <c r="C264" i="3"/>
  <c r="BO19" i="32"/>
  <c r="AK86" i="56"/>
  <c r="AL86" i="56" s="1"/>
  <c r="AM86" i="56" s="1"/>
  <c r="AN86" i="56" s="1"/>
  <c r="AL85" i="41"/>
  <c r="AM85" i="41" s="1"/>
  <c r="AV66" i="37"/>
  <c r="AK85" i="33"/>
  <c r="AK87" i="36"/>
  <c r="AL87" i="36" s="1"/>
  <c r="C41" i="53"/>
  <c r="D41" i="53" s="1"/>
  <c r="E41" i="53" s="1"/>
  <c r="F41" i="53" s="1"/>
  <c r="G41" i="53" s="1"/>
  <c r="H41" i="53" s="1"/>
  <c r="I41" i="53" s="1"/>
  <c r="G264" i="3"/>
  <c r="R268" i="3"/>
  <c r="AA21" i="35" s="1"/>
  <c r="AD21" i="35" s="1"/>
  <c r="I264" i="3"/>
  <c r="P277" i="3"/>
  <c r="W21" i="45" s="1"/>
  <c r="AK87" i="33"/>
  <c r="AL87" i="33" s="1"/>
  <c r="AM87" i="33" s="1"/>
  <c r="Y30" i="3"/>
  <c r="I9" i="29" s="1"/>
  <c r="H9" i="29"/>
  <c r="K9" i="29" s="1"/>
  <c r="Y26" i="3"/>
  <c r="I9" i="25" s="1"/>
  <c r="X26" i="3"/>
  <c r="H9" i="25" s="1"/>
  <c r="AF25" i="3"/>
  <c r="H17" i="24" s="1"/>
  <c r="Y25" i="3"/>
  <c r="I9" i="24" s="1"/>
  <c r="X25" i="3"/>
  <c r="H9" i="24" s="1"/>
  <c r="AF24" i="3"/>
  <c r="H17" i="23" s="1"/>
  <c r="Y24" i="3"/>
  <c r="I9" i="23" s="1"/>
  <c r="X24" i="3"/>
  <c r="H9" i="23" s="1"/>
  <c r="V23" i="3"/>
  <c r="J20" i="22" s="1"/>
  <c r="K20" i="22" s="1"/>
  <c r="AB22" i="3"/>
  <c r="H13" i="21" s="1"/>
  <c r="AH6" i="3"/>
  <c r="J17" i="4" s="1"/>
  <c r="W6" i="3"/>
  <c r="G9" i="4" s="1"/>
  <c r="Z26" i="3"/>
  <c r="J9" i="25" s="1"/>
  <c r="Z25" i="3"/>
  <c r="J9" i="24" s="1"/>
  <c r="Z24" i="3"/>
  <c r="J9" i="23" s="1"/>
  <c r="AF23" i="3"/>
  <c r="H17" i="22" s="1"/>
  <c r="AF31" i="3"/>
  <c r="H17" i="30" s="1"/>
  <c r="Y29" i="3"/>
  <c r="I9" i="28" s="1"/>
  <c r="X29" i="3"/>
  <c r="H9" i="28" s="1"/>
  <c r="AB23" i="3"/>
  <c r="H13" i="22" s="1"/>
  <c r="AD20" i="3"/>
  <c r="J13" i="19" s="1"/>
  <c r="AH19" i="3"/>
  <c r="J17" i="18" s="1"/>
  <c r="AD18" i="3"/>
  <c r="J13" i="17" s="1"/>
  <c r="AH17" i="3"/>
  <c r="J17" i="16" s="1"/>
  <c r="J17" i="14"/>
  <c r="AD14" i="3"/>
  <c r="J13" i="13" s="1"/>
  <c r="AD6" i="3"/>
  <c r="J13" i="4" s="1"/>
  <c r="X6" i="3"/>
  <c r="H9" i="4" s="1"/>
  <c r="X23" i="3"/>
  <c r="H9" i="22" s="1"/>
  <c r="K9" i="22" s="1"/>
  <c r="V30" i="3"/>
  <c r="J20" i="29" s="1"/>
  <c r="AH28" i="3"/>
  <c r="J17" i="27" s="1"/>
  <c r="V28" i="3"/>
  <c r="J20" i="27" s="1"/>
  <c r="K20" i="27" s="1"/>
  <c r="AD22" i="3"/>
  <c r="J13" i="21" s="1"/>
  <c r="AB6" i="3"/>
  <c r="H13" i="4" s="1"/>
  <c r="AG30" i="3"/>
  <c r="I17" i="29" s="1"/>
  <c r="H17" i="29"/>
  <c r="H17" i="28"/>
  <c r="AF28" i="3"/>
  <c r="H17" i="27" s="1"/>
  <c r="Y28" i="3"/>
  <c r="I9" i="27" s="1"/>
  <c r="X28" i="3"/>
  <c r="H9" i="27" s="1"/>
  <c r="AB26" i="3"/>
  <c r="H13" i="25" s="1"/>
  <c r="T26" i="3"/>
  <c r="H20" i="25" s="1"/>
  <c r="AB25" i="3"/>
  <c r="H13" i="24" s="1"/>
  <c r="U25" i="3"/>
  <c r="I20" i="24" s="1"/>
  <c r="T25" i="3"/>
  <c r="H20" i="24" s="1"/>
  <c r="AB24" i="3"/>
  <c r="H13" i="23" s="1"/>
  <c r="U24" i="3"/>
  <c r="I20" i="23" s="1"/>
  <c r="T24" i="3"/>
  <c r="H20" i="23" s="1"/>
  <c r="AH22" i="3"/>
  <c r="J17" i="21" s="1"/>
  <c r="X22" i="3"/>
  <c r="H9" i="21" s="1"/>
  <c r="K9" i="21" s="1"/>
  <c r="AD26" i="3"/>
  <c r="J13" i="25" s="1"/>
  <c r="V26" i="3"/>
  <c r="J20" i="25" s="1"/>
  <c r="AD25" i="3"/>
  <c r="J13" i="24" s="1"/>
  <c r="V25" i="3"/>
  <c r="J20" i="24" s="1"/>
  <c r="AD24" i="3"/>
  <c r="J13" i="23" s="1"/>
  <c r="V24" i="3"/>
  <c r="J20" i="23" s="1"/>
  <c r="AD23" i="3"/>
  <c r="J13" i="22" s="1"/>
  <c r="AF21" i="3"/>
  <c r="H17" i="20" s="1"/>
  <c r="AF11" i="3"/>
  <c r="H17" i="9" s="1"/>
  <c r="AF10" i="3"/>
  <c r="H17" i="8" s="1"/>
  <c r="AG9" i="3"/>
  <c r="I17" i="7" s="1"/>
  <c r="AF9" i="3"/>
  <c r="H17" i="7" s="1"/>
  <c r="AF8" i="3"/>
  <c r="H17" i="6" s="1"/>
  <c r="K17" i="6" s="1"/>
  <c r="AF7" i="3"/>
  <c r="H17" i="5" s="1"/>
  <c r="AF6" i="3"/>
  <c r="H17" i="4" s="1"/>
  <c r="AD31" i="3"/>
  <c r="J13" i="30" s="1"/>
  <c r="AB31" i="3"/>
  <c r="H13" i="30" s="1"/>
  <c r="AB30" i="3"/>
  <c r="H13" i="29" s="1"/>
  <c r="AB29" i="3"/>
  <c r="H13" i="28" s="1"/>
  <c r="AB28" i="3"/>
  <c r="H13" i="27" s="1"/>
  <c r="AB27" i="3"/>
  <c r="H13" i="26" s="1"/>
  <c r="X27" i="3"/>
  <c r="H9" i="26" s="1"/>
  <c r="AE6" i="3"/>
  <c r="G17" i="4" s="1"/>
  <c r="AA6" i="3"/>
  <c r="G13" i="4" s="1"/>
  <c r="S6" i="3"/>
  <c r="G20" i="4" s="1"/>
  <c r="AH23" i="3"/>
  <c r="J17" i="22" s="1"/>
  <c r="V22" i="3"/>
  <c r="J20" i="21" s="1"/>
  <c r="AD21" i="3"/>
  <c r="J13" i="20" s="1"/>
  <c r="K13" i="20" s="1"/>
  <c r="AH20" i="3"/>
  <c r="J17" i="19" s="1"/>
  <c r="K17" i="19" s="1"/>
  <c r="AD17" i="3"/>
  <c r="J13" i="16" s="1"/>
  <c r="AD15" i="3"/>
  <c r="J13" i="14" s="1"/>
  <c r="V6" i="3"/>
  <c r="J20" i="4" s="1"/>
  <c r="AH29" i="3"/>
  <c r="J17" i="28" s="1"/>
  <c r="K17" i="28" s="1"/>
  <c r="V29" i="3"/>
  <c r="J20" i="28" s="1"/>
  <c r="K20" i="28" s="1"/>
  <c r="AD28" i="3"/>
  <c r="J13" i="27" s="1"/>
  <c r="AH27" i="3"/>
  <c r="J17" i="26" s="1"/>
  <c r="K17" i="26" s="1"/>
  <c r="V27" i="3"/>
  <c r="J20" i="26" s="1"/>
  <c r="K20" i="26" s="1"/>
  <c r="AH26" i="3"/>
  <c r="J17" i="25" s="1"/>
  <c r="K17" i="25" s="1"/>
  <c r="AH25" i="3"/>
  <c r="J17" i="24" s="1"/>
  <c r="AH24" i="3"/>
  <c r="J17" i="23" s="1"/>
  <c r="AF22" i="3"/>
  <c r="H17" i="21" s="1"/>
  <c r="AB32" i="3"/>
  <c r="H13" i="10" s="1"/>
  <c r="K13" i="10" s="1"/>
  <c r="AB11" i="3"/>
  <c r="H13" i="9" s="1"/>
  <c r="K13" i="9" s="1"/>
  <c r="AC10" i="3"/>
  <c r="I13" i="8" s="1"/>
  <c r="AB10" i="3"/>
  <c r="H13" i="8" s="1"/>
  <c r="AC9" i="3"/>
  <c r="I13" i="7" s="1"/>
  <c r="AB9" i="3"/>
  <c r="H13" i="7" s="1"/>
  <c r="AB8" i="3"/>
  <c r="H13" i="6" s="1"/>
  <c r="AB7" i="3"/>
  <c r="H13" i="5" s="1"/>
  <c r="Z6" i="3"/>
  <c r="J9" i="4" s="1"/>
  <c r="T6" i="3"/>
  <c r="J9" i="26"/>
  <c r="AD16" i="3"/>
  <c r="J13" i="15" s="1"/>
  <c r="K13" i="15" s="1"/>
  <c r="AD19" i="3"/>
  <c r="J13" i="18" s="1"/>
  <c r="AD30" i="3"/>
  <c r="J13" i="29" s="1"/>
  <c r="AD29" i="3"/>
  <c r="J13" i="28" s="1"/>
  <c r="H20" i="8"/>
  <c r="AD27" i="3"/>
  <c r="J13" i="26" s="1"/>
  <c r="AE11" i="3"/>
  <c r="G17" i="9" s="1"/>
  <c r="G18" i="9" s="1"/>
  <c r="AH16" i="3"/>
  <c r="J17" i="15" s="1"/>
  <c r="K17" i="15" s="1"/>
  <c r="AE29" i="3"/>
  <c r="G17" i="28" s="1"/>
  <c r="AE26" i="3"/>
  <c r="G17" i="25" s="1"/>
  <c r="AH14" i="3"/>
  <c r="J17" i="13" s="1"/>
  <c r="AL18" i="31"/>
  <c r="BB44" i="52"/>
  <c r="BA44" i="32"/>
  <c r="BC44" i="32" s="1"/>
  <c r="BD40" i="47"/>
  <c r="BB44" i="37"/>
  <c r="BB40" i="31"/>
  <c r="BA40" i="31"/>
  <c r="BM40" i="31"/>
  <c r="BI40" i="31"/>
  <c r="BE40" i="36"/>
  <c r="BG40" i="43"/>
  <c r="BI40" i="47"/>
  <c r="BE40" i="31"/>
  <c r="BC40" i="31"/>
  <c r="AZ44" i="31"/>
  <c r="BB44" i="31" s="1"/>
  <c r="BN40" i="31"/>
  <c r="BF40" i="32"/>
  <c r="BC40" i="49"/>
  <c r="BK40" i="31"/>
  <c r="BF40" i="31"/>
  <c r="BH40" i="31"/>
  <c r="BO40" i="31"/>
  <c r="BL20" i="49"/>
  <c r="P282" i="3"/>
  <c r="W21" i="50" s="1"/>
  <c r="Q282" i="3"/>
  <c r="Y21" i="50" s="1"/>
  <c r="Y23" i="50" s="1"/>
  <c r="R267" i="3"/>
  <c r="AA21" i="34" s="1"/>
  <c r="AD21" i="34" s="1"/>
  <c r="P267" i="3"/>
  <c r="W21" i="34" s="1"/>
  <c r="W23" i="34" s="1"/>
  <c r="AW67" i="56"/>
  <c r="N20" i="35"/>
  <c r="P281" i="3"/>
  <c r="W21" i="49" s="1"/>
  <c r="R277" i="3"/>
  <c r="AA21" i="45" s="1"/>
  <c r="AX18" i="37"/>
  <c r="AF65" i="35"/>
  <c r="O278" i="3"/>
  <c r="AC21" i="46" s="1"/>
  <c r="R279" i="3"/>
  <c r="AA21" i="47" s="1"/>
  <c r="R291" i="3"/>
  <c r="AA21" i="38" s="1"/>
  <c r="AD21" i="38" s="1"/>
  <c r="O291" i="3"/>
  <c r="AC21" i="38" s="1"/>
  <c r="AE21" i="38" s="1"/>
  <c r="Q291" i="3"/>
  <c r="Y21" i="38" s="1"/>
  <c r="Y23" i="38" s="1"/>
  <c r="AV20" i="41"/>
  <c r="O282" i="3"/>
  <c r="AC21" i="50" s="1"/>
  <c r="AE21" i="50" s="1"/>
  <c r="N20" i="56"/>
  <c r="E264" i="3"/>
  <c r="R272" i="3"/>
  <c r="AA21" i="40" s="1"/>
  <c r="AD21" i="40" s="1"/>
  <c r="Q276" i="3"/>
  <c r="Y21" i="44" s="1"/>
  <c r="Y23" i="44" s="1"/>
  <c r="R276" i="3"/>
  <c r="AA21" i="44" s="1"/>
  <c r="P291" i="3"/>
  <c r="W21" i="38" s="1"/>
  <c r="W23" i="38" s="1"/>
  <c r="AF65" i="48"/>
  <c r="E40" i="3"/>
  <c r="D20" i="31" s="1"/>
  <c r="O61" i="3"/>
  <c r="P284" i="3"/>
  <c r="W21" i="52" s="1"/>
  <c r="W23" i="52" s="1"/>
  <c r="F20" i="38"/>
  <c r="N20" i="38" s="1"/>
  <c r="J280" i="3"/>
  <c r="J264" i="3" s="1"/>
  <c r="K40" i="3"/>
  <c r="J20" i="31" s="1"/>
  <c r="K280" i="3"/>
  <c r="O290" i="3"/>
  <c r="AC21" i="58" s="1"/>
  <c r="AE21" i="58" s="1"/>
  <c r="O287" i="3"/>
  <c r="AC21" i="55" s="1"/>
  <c r="Q270" i="3"/>
  <c r="Y21" i="37" s="1"/>
  <c r="N20" i="34"/>
  <c r="F87" i="43"/>
  <c r="G87" i="43" s="1"/>
  <c r="H87" i="43" s="1"/>
  <c r="I87" i="43" s="1"/>
  <c r="J87" i="43" s="1"/>
  <c r="K87" i="43" s="1"/>
  <c r="L87" i="43" s="1"/>
  <c r="M87" i="43" s="1"/>
  <c r="N87" i="43" s="1"/>
  <c r="O54" i="3"/>
  <c r="O56" i="3"/>
  <c r="C40" i="3"/>
  <c r="B20" i="31"/>
  <c r="C20" i="46"/>
  <c r="L286" i="3"/>
  <c r="O286" i="3" s="1"/>
  <c r="AC21" i="54" s="1"/>
  <c r="AE21" i="54" s="1"/>
  <c r="M267" i="3"/>
  <c r="O267" i="3" s="1"/>
  <c r="AC21" i="34" s="1"/>
  <c r="AE21" i="34" s="1"/>
  <c r="M275" i="3"/>
  <c r="O275" i="3" s="1"/>
  <c r="AC21" i="43" s="1"/>
  <c r="AE21" i="43" s="1"/>
  <c r="M283" i="3"/>
  <c r="O283" i="3" s="1"/>
  <c r="AC21" i="51" s="1"/>
  <c r="O272" i="3"/>
  <c r="AC21" i="40" s="1"/>
  <c r="AE21" i="40" s="1"/>
  <c r="AN41" i="45"/>
  <c r="AO41" i="45" s="1"/>
  <c r="AP41" i="45" s="1"/>
  <c r="AQ41" i="45" s="1"/>
  <c r="AR41" i="45" s="1"/>
  <c r="AS41" i="45" s="1"/>
  <c r="AT41" i="45" s="1"/>
  <c r="AU41" i="45" s="1"/>
  <c r="AV41" i="45" s="1"/>
  <c r="P289" i="3"/>
  <c r="W21" i="57" s="1"/>
  <c r="N66" i="42"/>
  <c r="O49" i="3"/>
  <c r="O58" i="3"/>
  <c r="O48" i="3"/>
  <c r="D40" i="3"/>
  <c r="C20" i="31" s="1"/>
  <c r="W87" i="33"/>
  <c r="X87" i="33" s="1"/>
  <c r="Y87" i="33" s="1"/>
  <c r="Z87" i="33" s="1"/>
  <c r="AA87" i="33" s="1"/>
  <c r="AB87" i="33" s="1"/>
  <c r="AC87" i="33" s="1"/>
  <c r="AD87" i="33" s="1"/>
  <c r="AE87" i="33" s="1"/>
  <c r="AF87" i="33" s="1"/>
  <c r="O64" i="3"/>
  <c r="G20" i="41"/>
  <c r="G20" i="46"/>
  <c r="K20" i="46"/>
  <c r="L280" i="3"/>
  <c r="L288" i="3"/>
  <c r="O288" i="3" s="1"/>
  <c r="AC21" i="56" s="1"/>
  <c r="AE21" i="56" s="1"/>
  <c r="M269" i="3"/>
  <c r="M277" i="3"/>
  <c r="O277" i="3" s="1"/>
  <c r="AC21" i="45" s="1"/>
  <c r="AE21" i="45" s="1"/>
  <c r="M285" i="3"/>
  <c r="O285" i="3" s="1"/>
  <c r="AC21" i="53" s="1"/>
  <c r="N65" i="32"/>
  <c r="BL19" i="46"/>
  <c r="O245" i="3"/>
  <c r="AC22" i="45" s="1"/>
  <c r="AE22" i="45" s="1"/>
  <c r="AF66" i="53"/>
  <c r="O235" i="3"/>
  <c r="AC22" i="34" s="1"/>
  <c r="AE22" i="34" s="1"/>
  <c r="F232" i="3"/>
  <c r="BM40" i="43"/>
  <c r="BN40" i="49"/>
  <c r="BG40" i="49"/>
  <c r="BE40" i="47"/>
  <c r="BF40" i="36"/>
  <c r="AZ44" i="43"/>
  <c r="BB44" i="43" s="1"/>
  <c r="BH40" i="41"/>
  <c r="BL40" i="54"/>
  <c r="BM40" i="54"/>
  <c r="BJ40" i="43"/>
  <c r="BB40" i="43"/>
  <c r="AZ44" i="49"/>
  <c r="BB40" i="49"/>
  <c r="AZ44" i="47"/>
  <c r="BA40" i="47"/>
  <c r="BA40" i="36"/>
  <c r="BE40" i="45"/>
  <c r="BM40" i="41"/>
  <c r="BA40" i="41"/>
  <c r="BH40" i="49"/>
  <c r="BH40" i="43"/>
  <c r="BA40" i="43"/>
  <c r="BA40" i="49"/>
  <c r="BE40" i="49"/>
  <c r="BC40" i="47"/>
  <c r="BN40" i="47"/>
  <c r="BC40" i="36"/>
  <c r="BI40" i="39"/>
  <c r="BC40" i="41"/>
  <c r="BK40" i="36"/>
  <c r="BD40" i="45"/>
  <c r="BC40" i="43"/>
  <c r="BJ40" i="36"/>
  <c r="BE40" i="41"/>
  <c r="BD40" i="36"/>
  <c r="BC40" i="38"/>
  <c r="BJ40" i="38"/>
  <c r="BE40" i="39"/>
  <c r="BC40" i="39"/>
  <c r="BD40" i="40"/>
  <c r="BF40" i="41"/>
  <c r="BD40" i="41"/>
  <c r="BO40" i="41"/>
  <c r="BB40" i="42"/>
  <c r="BK40" i="45"/>
  <c r="BJ40" i="53"/>
  <c r="BA40" i="53"/>
  <c r="BG40" i="54"/>
  <c r="BO40" i="55"/>
  <c r="BG40" i="36"/>
  <c r="BL40" i="36"/>
  <c r="BB40" i="45"/>
  <c r="BG40" i="45"/>
  <c r="BK40" i="43"/>
  <c r="BB44" i="42"/>
  <c r="BM40" i="36"/>
  <c r="BN40" i="41"/>
  <c r="BM40" i="47"/>
  <c r="AZ44" i="45"/>
  <c r="BB44" i="45" s="1"/>
  <c r="BI40" i="45"/>
  <c r="BB44" i="56"/>
  <c r="AZ44" i="36"/>
  <c r="BB44" i="36" s="1"/>
  <c r="BF40" i="39"/>
  <c r="BH40" i="39"/>
  <c r="BB40" i="41"/>
  <c r="AZ44" i="41"/>
  <c r="BB44" i="41" s="1"/>
  <c r="BG40" i="41"/>
  <c r="BB44" i="48"/>
  <c r="BH40" i="36"/>
  <c r="BN40" i="36"/>
  <c r="BC40" i="45"/>
  <c r="BM40" i="45"/>
  <c r="BE40" i="43"/>
  <c r="BO40" i="36"/>
  <c r="BB40" i="47"/>
  <c r="BN40" i="45"/>
  <c r="BN40" i="43"/>
  <c r="BB40" i="39"/>
  <c r="AZ44" i="40"/>
  <c r="BB44" i="40" s="1"/>
  <c r="BC40" i="40"/>
  <c r="BL40" i="41"/>
  <c r="BI40" i="41"/>
  <c r="BI40" i="43"/>
  <c r="BJ40" i="50"/>
  <c r="BH40" i="53"/>
  <c r="BE40" i="53"/>
  <c r="BB40" i="55"/>
  <c r="BA40" i="55"/>
  <c r="AF65" i="42"/>
  <c r="AK65" i="42"/>
  <c r="AK65" i="53"/>
  <c r="AL86" i="53" s="1"/>
  <c r="AM86" i="53" s="1"/>
  <c r="AN86" i="53" s="1"/>
  <c r="V86" i="53"/>
  <c r="W86" i="53" s="1"/>
  <c r="X86" i="53" s="1"/>
  <c r="Y86" i="53" s="1"/>
  <c r="Z86" i="53" s="1"/>
  <c r="AA86" i="53" s="1"/>
  <c r="AB86" i="53" s="1"/>
  <c r="AC86" i="53" s="1"/>
  <c r="AD86" i="53" s="1"/>
  <c r="AE86" i="53" s="1"/>
  <c r="AF86" i="53" s="1"/>
  <c r="AF65" i="53"/>
  <c r="AV18" i="42"/>
  <c r="C41" i="38"/>
  <c r="D41" i="38" s="1"/>
  <c r="E41" i="38" s="1"/>
  <c r="F41" i="38" s="1"/>
  <c r="N20" i="57"/>
  <c r="Q277" i="3"/>
  <c r="Y21" i="45" s="1"/>
  <c r="AV66" i="50"/>
  <c r="AQ65" i="36"/>
  <c r="N20" i="43"/>
  <c r="N66" i="35"/>
  <c r="U87" i="58"/>
  <c r="V87" i="58" s="1"/>
  <c r="W87" i="58" s="1"/>
  <c r="X87" i="58" s="1"/>
  <c r="Y87" i="58" s="1"/>
  <c r="Z87" i="58" s="1"/>
  <c r="AA87" i="58" s="1"/>
  <c r="AB87" i="58" s="1"/>
  <c r="AC87" i="58" s="1"/>
  <c r="AD87" i="58" s="1"/>
  <c r="AE87" i="58" s="1"/>
  <c r="AF87" i="58" s="1"/>
  <c r="U84" i="32"/>
  <c r="V84" i="32" s="1"/>
  <c r="W84" i="32" s="1"/>
  <c r="X84" i="32" s="1"/>
  <c r="Y84" i="32" s="1"/>
  <c r="Z84" i="32" s="1"/>
  <c r="AA84" i="32" s="1"/>
  <c r="AB84" i="32" s="1"/>
  <c r="AC84" i="32" s="1"/>
  <c r="AD84" i="32" s="1"/>
  <c r="AE84" i="32" s="1"/>
  <c r="AF84" i="32" s="1"/>
  <c r="AL39" i="35"/>
  <c r="AM39" i="35" s="1"/>
  <c r="AN39" i="35" s="1"/>
  <c r="AO39" i="35" s="1"/>
  <c r="AP39" i="35" s="1"/>
  <c r="AQ39" i="35" s="1"/>
  <c r="AR39" i="35" s="1"/>
  <c r="AS39" i="35" s="1"/>
  <c r="AT39" i="35" s="1"/>
  <c r="AU39" i="35" s="1"/>
  <c r="AV39" i="35" s="1"/>
  <c r="BL20" i="44"/>
  <c r="U87" i="49"/>
  <c r="V87" i="49" s="1"/>
  <c r="W87" i="49" s="1"/>
  <c r="X87" i="49" s="1"/>
  <c r="Y87" i="49" s="1"/>
  <c r="Z87" i="49" s="1"/>
  <c r="AA87" i="49" s="1"/>
  <c r="AB87" i="49" s="1"/>
  <c r="AC87" i="49" s="1"/>
  <c r="AD87" i="49" s="1"/>
  <c r="AE87" i="49" s="1"/>
  <c r="AF87" i="49" s="1"/>
  <c r="O270" i="3"/>
  <c r="AC21" i="37" s="1"/>
  <c r="U87" i="43"/>
  <c r="V87" i="43" s="1"/>
  <c r="W87" i="43" s="1"/>
  <c r="X87" i="43" s="1"/>
  <c r="Y87" i="43" s="1"/>
  <c r="Z87" i="43" s="1"/>
  <c r="AA87" i="43" s="1"/>
  <c r="AB87" i="43" s="1"/>
  <c r="AC87" i="43" s="1"/>
  <c r="AD87" i="43" s="1"/>
  <c r="AE87" i="43" s="1"/>
  <c r="AF87" i="43" s="1"/>
  <c r="R290" i="3"/>
  <c r="AA21" i="58" s="1"/>
  <c r="AD21" i="58" s="1"/>
  <c r="AJ64" i="34"/>
  <c r="C87" i="42"/>
  <c r="D87" i="42" s="1"/>
  <c r="E87" i="42" s="1"/>
  <c r="F87" i="42" s="1"/>
  <c r="G87" i="42" s="1"/>
  <c r="H87" i="42" s="1"/>
  <c r="I87" i="42" s="1"/>
  <c r="J87" i="42" s="1"/>
  <c r="K87" i="42" s="1"/>
  <c r="L87" i="42" s="1"/>
  <c r="M87" i="42" s="1"/>
  <c r="N87" i="42" s="1"/>
  <c r="P268" i="3"/>
  <c r="W21" i="35" s="1"/>
  <c r="W23" i="35" s="1"/>
  <c r="P279" i="3"/>
  <c r="W21" i="47" s="1"/>
  <c r="W23" i="47" s="1"/>
  <c r="Q273" i="3"/>
  <c r="Y21" i="41" s="1"/>
  <c r="Y23" i="41" s="1"/>
  <c r="R286" i="3"/>
  <c r="AA21" i="54" s="1"/>
  <c r="D269" i="3"/>
  <c r="P269" i="3" s="1"/>
  <c r="W21" i="36" s="1"/>
  <c r="P276" i="3"/>
  <c r="W21" i="44" s="1"/>
  <c r="F20" i="42"/>
  <c r="J20" i="39"/>
  <c r="K20" i="33"/>
  <c r="K20" i="50"/>
  <c r="N20" i="50" s="1"/>
  <c r="L20" i="39"/>
  <c r="L20" i="55"/>
  <c r="AM41" i="40"/>
  <c r="AN41" i="40" s="1"/>
  <c r="AO41" i="40" s="1"/>
  <c r="AP41" i="40" s="1"/>
  <c r="AQ41" i="40" s="1"/>
  <c r="AR41" i="40" s="1"/>
  <c r="AS41" i="40" s="1"/>
  <c r="AT41" i="40" s="1"/>
  <c r="AU41" i="40" s="1"/>
  <c r="AV41" i="40" s="1"/>
  <c r="B20" i="32"/>
  <c r="O20" i="32" s="1"/>
  <c r="P18" i="32" s="1"/>
  <c r="C20" i="33"/>
  <c r="G20" i="54"/>
  <c r="N20" i="54" s="1"/>
  <c r="B20" i="55"/>
  <c r="P274" i="3"/>
  <c r="W21" i="42" s="1"/>
  <c r="F20" i="51"/>
  <c r="H289" i="3"/>
  <c r="Q289" i="3" s="1"/>
  <c r="Y21" i="57" s="1"/>
  <c r="Y23" i="57" s="1"/>
  <c r="K20" i="42"/>
  <c r="K20" i="58"/>
  <c r="L20" i="47"/>
  <c r="N20" i="47" s="1"/>
  <c r="AM66" i="56"/>
  <c r="J232" i="3"/>
  <c r="O249" i="3"/>
  <c r="AC22" i="49" s="1"/>
  <c r="AE22" i="49" s="1"/>
  <c r="O233" i="3"/>
  <c r="AC22" i="32" s="1"/>
  <c r="AE22" i="32" s="1"/>
  <c r="O175" i="3"/>
  <c r="AN65" i="51"/>
  <c r="BL19" i="45"/>
  <c r="P237" i="3"/>
  <c r="W22" i="36" s="1"/>
  <c r="BI40" i="32"/>
  <c r="BG40" i="32"/>
  <c r="BM40" i="32"/>
  <c r="BM40" i="51"/>
  <c r="BH40" i="51"/>
  <c r="BB43" i="56"/>
  <c r="BM40" i="57"/>
  <c r="BG40" i="57"/>
  <c r="BL40" i="57"/>
  <c r="BK40" i="57"/>
  <c r="BB40" i="54"/>
  <c r="BO40" i="54"/>
  <c r="BA40" i="54"/>
  <c r="BC40" i="54"/>
  <c r="BE40" i="54"/>
  <c r="BC40" i="32"/>
  <c r="BJ40" i="32"/>
  <c r="BK40" i="32"/>
  <c r="BP40" i="32"/>
  <c r="BN40" i="32"/>
  <c r="BN40" i="51"/>
  <c r="BF40" i="51"/>
  <c r="BB43" i="31"/>
  <c r="BC40" i="57"/>
  <c r="BB40" i="57"/>
  <c r="BF40" i="57"/>
  <c r="BE40" i="51"/>
  <c r="BC40" i="51"/>
  <c r="BJ40" i="54"/>
  <c r="BH40" i="54"/>
  <c r="AZ44" i="54"/>
  <c r="BB44" i="54" s="1"/>
  <c r="BK40" i="54"/>
  <c r="BB40" i="32"/>
  <c r="BD40" i="32"/>
  <c r="BL40" i="51"/>
  <c r="BG40" i="51"/>
  <c r="BH40" i="57"/>
  <c r="BD40" i="57"/>
  <c r="BN40" i="57"/>
  <c r="BN40" i="54"/>
  <c r="BA40" i="51"/>
  <c r="BF40" i="54"/>
  <c r="BD40" i="54"/>
  <c r="BB44" i="33"/>
  <c r="BB44" i="55"/>
  <c r="BB44" i="49"/>
  <c r="AK86" i="55"/>
  <c r="AL86" i="55" s="1"/>
  <c r="AM86" i="55" s="1"/>
  <c r="U87" i="31"/>
  <c r="V87" i="31" s="1"/>
  <c r="W87" i="31" s="1"/>
  <c r="X87" i="31" s="1"/>
  <c r="Y87" i="31" s="1"/>
  <c r="Z87" i="31" s="1"/>
  <c r="AA87" i="31" s="1"/>
  <c r="AB87" i="31" s="1"/>
  <c r="AC87" i="31" s="1"/>
  <c r="AD87" i="31" s="1"/>
  <c r="AE87" i="31" s="1"/>
  <c r="AF87" i="31" s="1"/>
  <c r="AL87" i="57"/>
  <c r="AM87" i="57" s="1"/>
  <c r="AN87" i="57" s="1"/>
  <c r="AO87" i="57" s="1"/>
  <c r="AF66" i="31"/>
  <c r="Q232" i="3"/>
  <c r="Y22" i="31" s="1"/>
  <c r="R287" i="3"/>
  <c r="AA21" i="55" s="1"/>
  <c r="AD21" i="55" s="1"/>
  <c r="P287" i="3"/>
  <c r="W21" i="55" s="1"/>
  <c r="R275" i="3"/>
  <c r="AA21" i="43" s="1"/>
  <c r="AD21" i="43" s="1"/>
  <c r="P275" i="3"/>
  <c r="W21" i="43" s="1"/>
  <c r="Q275" i="3"/>
  <c r="Y21" i="43" s="1"/>
  <c r="Y23" i="43" s="1"/>
  <c r="P283" i="3"/>
  <c r="W21" i="51" s="1"/>
  <c r="W23" i="51" s="1"/>
  <c r="R283" i="3"/>
  <c r="AA21" i="51" s="1"/>
  <c r="AD21" i="51" s="1"/>
  <c r="Q283" i="3"/>
  <c r="Y21" i="51" s="1"/>
  <c r="Q274" i="3"/>
  <c r="Y21" i="42" s="1"/>
  <c r="Q280" i="3"/>
  <c r="Y21" i="48" s="1"/>
  <c r="P288" i="3"/>
  <c r="W21" i="56" s="1"/>
  <c r="W23" i="56" s="1"/>
  <c r="Q288" i="3"/>
  <c r="Y21" i="56" s="1"/>
  <c r="Y23" i="56" s="1"/>
  <c r="Q265" i="3"/>
  <c r="Y21" i="32" s="1"/>
  <c r="Q272" i="3"/>
  <c r="Y21" i="40" s="1"/>
  <c r="Y23" i="40" s="1"/>
  <c r="F264" i="3"/>
  <c r="N20" i="40"/>
  <c r="P285" i="3"/>
  <c r="W21" i="53" s="1"/>
  <c r="W23" i="53"/>
  <c r="R285" i="3"/>
  <c r="AA21" i="53" s="1"/>
  <c r="AV20" i="39"/>
  <c r="AK41" i="44"/>
  <c r="AL41" i="44" s="1"/>
  <c r="AM41" i="44" s="1"/>
  <c r="AN41" i="44" s="1"/>
  <c r="AO41" i="44" s="1"/>
  <c r="AP41" i="44" s="1"/>
  <c r="AQ41" i="44" s="1"/>
  <c r="AR41" i="44" s="1"/>
  <c r="AS41" i="44" s="1"/>
  <c r="AT41" i="44" s="1"/>
  <c r="AU41" i="44" s="1"/>
  <c r="AV41" i="44" s="1"/>
  <c r="AV20" i="44"/>
  <c r="AV66" i="47"/>
  <c r="R265" i="3"/>
  <c r="AA21" i="32" s="1"/>
  <c r="AD21" i="32" s="1"/>
  <c r="P270" i="3"/>
  <c r="W21" i="37" s="1"/>
  <c r="R270" i="3"/>
  <c r="AA21" i="37" s="1"/>
  <c r="AD21" i="37" s="1"/>
  <c r="R278" i="3"/>
  <c r="AA21" i="46" s="1"/>
  <c r="AD21" i="46" s="1"/>
  <c r="Q290" i="3"/>
  <c r="Y21" i="58" s="1"/>
  <c r="P290" i="3"/>
  <c r="W21" i="58" s="1"/>
  <c r="AV18" i="35"/>
  <c r="BL20" i="51"/>
  <c r="R280" i="3"/>
  <c r="AA21" i="48" s="1"/>
  <c r="AD21" i="48" s="1"/>
  <c r="I20" i="41"/>
  <c r="I20" i="53"/>
  <c r="N20" i="53" s="1"/>
  <c r="K266" i="3"/>
  <c r="R266" i="3" s="1"/>
  <c r="AA21" i="33" s="1"/>
  <c r="K274" i="3"/>
  <c r="R274" i="3" s="1"/>
  <c r="AA21" i="42" s="1"/>
  <c r="L268" i="3"/>
  <c r="L276" i="3"/>
  <c r="O276" i="3" s="1"/>
  <c r="AC21" i="44" s="1"/>
  <c r="L284" i="3"/>
  <c r="O284" i="3" s="1"/>
  <c r="AC21" i="52" s="1"/>
  <c r="M265" i="3"/>
  <c r="O265" i="3" s="1"/>
  <c r="AC21" i="32" s="1"/>
  <c r="M273" i="3"/>
  <c r="O273" i="3" s="1"/>
  <c r="AC21" i="41" s="1"/>
  <c r="AE21" i="41" s="1"/>
  <c r="M281" i="3"/>
  <c r="O281" i="3" s="1"/>
  <c r="AC21" i="49" s="1"/>
  <c r="M289" i="3"/>
  <c r="AL39" i="42"/>
  <c r="AM39" i="42" s="1"/>
  <c r="AN39" i="42" s="1"/>
  <c r="AO39" i="42" s="1"/>
  <c r="AP39" i="42" s="1"/>
  <c r="AQ39" i="42" s="1"/>
  <c r="AR39" i="42" s="1"/>
  <c r="AS39" i="42" s="1"/>
  <c r="AT39" i="42" s="1"/>
  <c r="AU39" i="42" s="1"/>
  <c r="AV39" i="42" s="1"/>
  <c r="AM41" i="37"/>
  <c r="AN41" i="37" s="1"/>
  <c r="AO41" i="37" s="1"/>
  <c r="AP41" i="37" s="1"/>
  <c r="AQ41" i="37" s="1"/>
  <c r="AR41" i="37" s="1"/>
  <c r="AS41" i="37" s="1"/>
  <c r="AT41" i="37" s="1"/>
  <c r="AU41" i="37" s="1"/>
  <c r="AV41" i="37" s="1"/>
  <c r="AV20" i="34"/>
  <c r="AX18" i="49"/>
  <c r="O187" i="3"/>
  <c r="C66" i="51"/>
  <c r="AK66" i="51" s="1"/>
  <c r="AL87" i="51" s="1"/>
  <c r="AM87" i="51" s="1"/>
  <c r="AN87" i="51" s="1"/>
  <c r="AO87" i="51" s="1"/>
  <c r="AP87" i="51" s="1"/>
  <c r="AQ87" i="51" s="1"/>
  <c r="AR87" i="51" s="1"/>
  <c r="AS87" i="51" s="1"/>
  <c r="AT87" i="51" s="1"/>
  <c r="AU87" i="51" s="1"/>
  <c r="AV87" i="51" s="1"/>
  <c r="BN18" i="48"/>
  <c r="N66" i="31"/>
  <c r="AO65" i="44"/>
  <c r="AN65" i="53"/>
  <c r="AM65" i="55"/>
  <c r="AM64" i="49"/>
  <c r="BF40" i="43"/>
  <c r="BJ40" i="45"/>
  <c r="BF40" i="49"/>
  <c r="BF40" i="58"/>
  <c r="BH40" i="58"/>
  <c r="BI40" i="33"/>
  <c r="BO40" i="33"/>
  <c r="BA40" i="33"/>
  <c r="BL40" i="34"/>
  <c r="BI40" i="34"/>
  <c r="BM40" i="34"/>
  <c r="AZ44" i="44"/>
  <c r="BB44" i="44" s="1"/>
  <c r="BJ40" i="44"/>
  <c r="BN40" i="46"/>
  <c r="BK40" i="46"/>
  <c r="BH40" i="46"/>
  <c r="BF40" i="46"/>
  <c r="BE40" i="46"/>
  <c r="BN19" i="48"/>
  <c r="BN19" i="50"/>
  <c r="BO40" i="57"/>
  <c r="BI40" i="57"/>
  <c r="R252" i="3"/>
  <c r="AA22" i="52" s="1"/>
  <c r="O256" i="3"/>
  <c r="AC22" i="56" s="1"/>
  <c r="AE22" i="56" s="1"/>
  <c r="AM65" i="45"/>
  <c r="BM40" i="49"/>
  <c r="BM40" i="58"/>
  <c r="AX19" i="32"/>
  <c r="BH40" i="32"/>
  <c r="BL40" i="32"/>
  <c r="BI40" i="38"/>
  <c r="BM40" i="38"/>
  <c r="BH40" i="38"/>
  <c r="BK40" i="38"/>
  <c r="BB40" i="38"/>
  <c r="BF40" i="38"/>
  <c r="BL40" i="38"/>
  <c r="P245" i="3"/>
  <c r="W22" i="45" s="1"/>
  <c r="W23" i="45" s="1"/>
  <c r="O259" i="3"/>
  <c r="AC22" i="38" s="1"/>
  <c r="O203" i="3"/>
  <c r="M232" i="3"/>
  <c r="O232" i="3" s="1"/>
  <c r="AC22" i="31" s="1"/>
  <c r="AO65" i="40"/>
  <c r="BD40" i="43"/>
  <c r="BL40" i="43"/>
  <c r="BA40" i="45"/>
  <c r="BH40" i="45"/>
  <c r="BL40" i="45"/>
  <c r="BL40" i="47"/>
  <c r="BG40" i="47"/>
  <c r="BO40" i="47"/>
  <c r="BF40" i="47"/>
  <c r="BH40" i="47"/>
  <c r="BO40" i="49"/>
  <c r="BL40" i="49"/>
  <c r="BJ40" i="49"/>
  <c r="BI40" i="49"/>
  <c r="BN40" i="58"/>
  <c r="BC40" i="58"/>
  <c r="BA40" i="58"/>
  <c r="AZ44" i="58"/>
  <c r="BB44" i="58" s="1"/>
  <c r="BG40" i="58"/>
  <c r="BD40" i="58"/>
  <c r="BE40" i="58"/>
  <c r="BB40" i="58"/>
  <c r="O254" i="3"/>
  <c r="AC22" i="54" s="1"/>
  <c r="Q254" i="3"/>
  <c r="Y22" i="54" s="1"/>
  <c r="AN65" i="47"/>
  <c r="AF66" i="54"/>
  <c r="BK40" i="47"/>
  <c r="BN40" i="39"/>
  <c r="BK40" i="39"/>
  <c r="BL40" i="39"/>
  <c r="BM40" i="39"/>
  <c r="BJ40" i="39"/>
  <c r="BO40" i="39"/>
  <c r="BA40" i="39"/>
  <c r="AZ44" i="39"/>
  <c r="BB44" i="39" s="1"/>
  <c r="BD40" i="42"/>
  <c r="BE40" i="42"/>
  <c r="P257" i="3"/>
  <c r="W22" i="57"/>
  <c r="O257" i="3"/>
  <c r="AC22" i="57" s="1"/>
  <c r="AE22" i="57" s="1"/>
  <c r="AX19" i="58"/>
  <c r="BB40" i="51"/>
  <c r="BD40" i="51"/>
  <c r="AV19" i="56"/>
  <c r="BL19" i="41"/>
  <c r="AZ44" i="51"/>
  <c r="BB44" i="51" s="1"/>
  <c r="E40" i="51"/>
  <c r="F40" i="51" s="1"/>
  <c r="G40" i="51" s="1"/>
  <c r="H40" i="51" s="1"/>
  <c r="I40" i="51" s="1"/>
  <c r="J40" i="51" s="1"/>
  <c r="K40" i="51" s="1"/>
  <c r="L40" i="51" s="1"/>
  <c r="M40" i="51" s="1"/>
  <c r="N40" i="51" s="1"/>
  <c r="C40" i="58"/>
  <c r="D40" i="58" s="1"/>
  <c r="E40" i="58" s="1"/>
  <c r="F40" i="58" s="1"/>
  <c r="G40" i="58" s="1"/>
  <c r="H40" i="58" s="1"/>
  <c r="I40" i="58" s="1"/>
  <c r="J40" i="58" s="1"/>
  <c r="K40" i="58" s="1"/>
  <c r="L40" i="58" s="1"/>
  <c r="M40" i="58" s="1"/>
  <c r="N40" i="58" s="1"/>
  <c r="BN19" i="33"/>
  <c r="AA23" i="34"/>
  <c r="AD23" i="34" s="1"/>
  <c r="AA23" i="49"/>
  <c r="AD23" i="49" s="1"/>
  <c r="W23" i="40"/>
  <c r="V23" i="56"/>
  <c r="AE22" i="50"/>
  <c r="AC23" i="50"/>
  <c r="AE23" i="50" s="1"/>
  <c r="AC23" i="43"/>
  <c r="AE23" i="43" s="1"/>
  <c r="AE21" i="55"/>
  <c r="AC23" i="58"/>
  <c r="AE23" i="58" s="1"/>
  <c r="AC23" i="40"/>
  <c r="AE23" i="40" s="1"/>
  <c r="AE22" i="47"/>
  <c r="AA23" i="35"/>
  <c r="AD23" i="35" s="1"/>
  <c r="AA23" i="56"/>
  <c r="AE22" i="41"/>
  <c r="AE22" i="42"/>
  <c r="AD22" i="35"/>
  <c r="AD22" i="41"/>
  <c r="AE22" i="52"/>
  <c r="G14" i="16"/>
  <c r="G10" i="16"/>
  <c r="Z31" i="3"/>
  <c r="J9" i="30" s="1"/>
  <c r="G10" i="6"/>
  <c r="BL20" i="46"/>
  <c r="AQ65" i="35"/>
  <c r="AS65" i="35"/>
  <c r="AN65" i="35"/>
  <c r="X11" i="3"/>
  <c r="H9" i="9" s="1"/>
  <c r="Y11" i="3"/>
  <c r="I9" i="9" s="1"/>
  <c r="AC12" i="3"/>
  <c r="I13" i="11" s="1"/>
  <c r="U23" i="3"/>
  <c r="I20" i="22" s="1"/>
  <c r="U17" i="3"/>
  <c r="I20" i="16" s="1"/>
  <c r="AC15" i="3"/>
  <c r="I13" i="14" s="1"/>
  <c r="AF15" i="3"/>
  <c r="H17" i="14" s="1"/>
  <c r="K17" i="14" s="1"/>
  <c r="AB17" i="3"/>
  <c r="H13" i="16" s="1"/>
  <c r="K13" i="16" s="1"/>
  <c r="N20" i="42"/>
  <c r="AA23" i="58"/>
  <c r="AD23" i="58" s="1"/>
  <c r="AA23" i="54"/>
  <c r="AD23" i="54"/>
  <c r="AD21" i="54"/>
  <c r="N20" i="32"/>
  <c r="N20" i="58"/>
  <c r="N20" i="51"/>
  <c r="D264" i="3"/>
  <c r="N20" i="39"/>
  <c r="K264" i="3"/>
  <c r="O266" i="3"/>
  <c r="AC21" i="33" s="1"/>
  <c r="N66" i="51"/>
  <c r="O268" i="3"/>
  <c r="AC21" i="35" s="1"/>
  <c r="D87" i="51"/>
  <c r="E87" i="51" s="1"/>
  <c r="F87" i="51" s="1"/>
  <c r="G87" i="51" s="1"/>
  <c r="H87" i="51" s="1"/>
  <c r="I87" i="51" s="1"/>
  <c r="J87" i="51" s="1"/>
  <c r="K87" i="51" s="1"/>
  <c r="L87" i="51" s="1"/>
  <c r="M87" i="51" s="1"/>
  <c r="N87" i="51" s="1"/>
  <c r="AB15" i="3"/>
  <c r="H13" i="14" s="1"/>
  <c r="K13" i="14" s="1"/>
  <c r="AF17" i="3"/>
  <c r="H17" i="16" s="1"/>
  <c r="AF32" i="3"/>
  <c r="H17" i="10" s="1"/>
  <c r="K17" i="10" s="1"/>
  <c r="AW18" i="31" l="1"/>
  <c r="AV18" i="31"/>
  <c r="AK39" i="31"/>
  <c r="AL39" i="31" s="1"/>
  <c r="AM39" i="31" s="1"/>
  <c r="AN39" i="31" s="1"/>
  <c r="AO39" i="31" s="1"/>
  <c r="AP39" i="31" s="1"/>
  <c r="AQ39" i="31" s="1"/>
  <c r="AR39" i="31" s="1"/>
  <c r="AS39" i="31" s="1"/>
  <c r="AT39" i="31" s="1"/>
  <c r="AU39" i="31" s="1"/>
  <c r="AV39" i="31" s="1"/>
  <c r="K13" i="30"/>
  <c r="K9" i="28"/>
  <c r="U85" i="55"/>
  <c r="V85" i="55" s="1"/>
  <c r="AG64" i="55"/>
  <c r="AJ64" i="43"/>
  <c r="AG64" i="43"/>
  <c r="N39" i="43"/>
  <c r="AK86" i="40"/>
  <c r="AL86" i="40" s="1"/>
  <c r="AK85" i="44"/>
  <c r="C41" i="37"/>
  <c r="O20" i="37"/>
  <c r="AK86" i="54"/>
  <c r="AL86" i="54" s="1"/>
  <c r="AM86" i="54" s="1"/>
  <c r="AK87" i="55"/>
  <c r="AL87" i="55" s="1"/>
  <c r="AM87" i="55" s="1"/>
  <c r="AN87" i="55" s="1"/>
  <c r="AW66" i="55"/>
  <c r="AH65" i="56"/>
  <c r="AG65" i="56"/>
  <c r="C41" i="39"/>
  <c r="D41" i="39" s="1"/>
  <c r="O20" i="39"/>
  <c r="P18" i="39" s="1"/>
  <c r="C41" i="50"/>
  <c r="O20" i="50"/>
  <c r="P18" i="50" s="1"/>
  <c r="C41" i="40"/>
  <c r="D41" i="40" s="1"/>
  <c r="E41" i="40" s="1"/>
  <c r="F41" i="40" s="1"/>
  <c r="G41" i="40" s="1"/>
  <c r="H41" i="40" s="1"/>
  <c r="I41" i="40" s="1"/>
  <c r="J41" i="40" s="1"/>
  <c r="K41" i="40" s="1"/>
  <c r="L41" i="40" s="1"/>
  <c r="M41" i="40" s="1"/>
  <c r="N41" i="40" s="1"/>
  <c r="O20" i="40"/>
  <c r="AJ66" i="43"/>
  <c r="AW66" i="43" s="1"/>
  <c r="AG66" i="43"/>
  <c r="AW20" i="50"/>
  <c r="AX19" i="50" s="1"/>
  <c r="BM20" i="37"/>
  <c r="AJ66" i="58"/>
  <c r="AG66" i="58"/>
  <c r="AH65" i="58" s="1"/>
  <c r="AK86" i="38"/>
  <c r="AK87" i="50"/>
  <c r="AL87" i="50" s="1"/>
  <c r="AM87" i="50" s="1"/>
  <c r="AW66" i="50"/>
  <c r="C41" i="47"/>
  <c r="O20" i="47"/>
  <c r="AF66" i="46"/>
  <c r="AG66" i="46"/>
  <c r="AK87" i="52"/>
  <c r="AJ66" i="42"/>
  <c r="O66" i="42"/>
  <c r="AK41" i="42"/>
  <c r="AL41" i="42" s="1"/>
  <c r="AM41" i="42" s="1"/>
  <c r="AN41" i="42" s="1"/>
  <c r="AO41" i="42" s="1"/>
  <c r="AP41" i="42" s="1"/>
  <c r="AQ41" i="42" s="1"/>
  <c r="AR41" i="42" s="1"/>
  <c r="AS41" i="42" s="1"/>
  <c r="AT41" i="42" s="1"/>
  <c r="AU41" i="42" s="1"/>
  <c r="AV41" i="42" s="1"/>
  <c r="AW20" i="42"/>
  <c r="AK87" i="37"/>
  <c r="AW66" i="37"/>
  <c r="U87" i="47"/>
  <c r="V87" i="47" s="1"/>
  <c r="W87" i="47" s="1"/>
  <c r="X87" i="47" s="1"/>
  <c r="Y87" i="47" s="1"/>
  <c r="Z87" i="47" s="1"/>
  <c r="AA87" i="47" s="1"/>
  <c r="AB87" i="47" s="1"/>
  <c r="AC87" i="47" s="1"/>
  <c r="AD87" i="47" s="1"/>
  <c r="AE87" i="47" s="1"/>
  <c r="AF87" i="47" s="1"/>
  <c r="AG66" i="47"/>
  <c r="AK86" i="48"/>
  <c r="U86" i="54"/>
  <c r="V86" i="54" s="1"/>
  <c r="W86" i="54" s="1"/>
  <c r="X86" i="54" s="1"/>
  <c r="Y86" i="54" s="1"/>
  <c r="Z86" i="54" s="1"/>
  <c r="AG65" i="54"/>
  <c r="AK86" i="51"/>
  <c r="B10" i="9"/>
  <c r="F17" i="15"/>
  <c r="F17" i="5"/>
  <c r="O20" i="54"/>
  <c r="P18" i="54" s="1"/>
  <c r="C41" i="58"/>
  <c r="O20" i="58"/>
  <c r="P18" i="58" s="1"/>
  <c r="O18" i="45"/>
  <c r="AK41" i="33"/>
  <c r="AL41" i="33" s="1"/>
  <c r="AM41" i="33" s="1"/>
  <c r="AN41" i="33" s="1"/>
  <c r="AO41" i="33" s="1"/>
  <c r="AP41" i="33" s="1"/>
  <c r="AQ41" i="33" s="1"/>
  <c r="AR41" i="33" s="1"/>
  <c r="AS41" i="33" s="1"/>
  <c r="AT41" i="33" s="1"/>
  <c r="AU41" i="33" s="1"/>
  <c r="AV41" i="33" s="1"/>
  <c r="AW20" i="33"/>
  <c r="AK41" i="36"/>
  <c r="AL41" i="36" s="1"/>
  <c r="AM41" i="36" s="1"/>
  <c r="AN41" i="36" s="1"/>
  <c r="AO41" i="36" s="1"/>
  <c r="AP41" i="36" s="1"/>
  <c r="AQ41" i="36" s="1"/>
  <c r="AR41" i="36" s="1"/>
  <c r="AS41" i="36" s="1"/>
  <c r="AT41" i="36" s="1"/>
  <c r="AU41" i="36" s="1"/>
  <c r="AV41" i="36" s="1"/>
  <c r="AW20" i="36"/>
  <c r="AX19" i="36" s="1"/>
  <c r="AW20" i="46"/>
  <c r="AX19" i="46" s="1"/>
  <c r="AK41" i="52"/>
  <c r="AW20" i="52"/>
  <c r="AK41" i="56"/>
  <c r="AL41" i="56" s="1"/>
  <c r="AM41" i="56" s="1"/>
  <c r="AN41" i="56" s="1"/>
  <c r="AO41" i="56" s="1"/>
  <c r="AP41" i="56" s="1"/>
  <c r="AQ41" i="56" s="1"/>
  <c r="AR41" i="56" s="1"/>
  <c r="AS41" i="56" s="1"/>
  <c r="AT41" i="56" s="1"/>
  <c r="AU41" i="56" s="1"/>
  <c r="AV41" i="56" s="1"/>
  <c r="AW20" i="56"/>
  <c r="AK40" i="31"/>
  <c r="AW19" i="31"/>
  <c r="AW18" i="40"/>
  <c r="AK39" i="41"/>
  <c r="AL39" i="41" s="1"/>
  <c r="AM39" i="41" s="1"/>
  <c r="AN39" i="41" s="1"/>
  <c r="AO39" i="41" s="1"/>
  <c r="AP39" i="41" s="1"/>
  <c r="AQ39" i="41" s="1"/>
  <c r="AR39" i="41" s="1"/>
  <c r="AS39" i="41" s="1"/>
  <c r="AT39" i="41" s="1"/>
  <c r="AU39" i="41" s="1"/>
  <c r="AV39" i="41" s="1"/>
  <c r="AW18" i="41"/>
  <c r="AW18" i="45"/>
  <c r="AW18" i="46"/>
  <c r="AK39" i="48"/>
  <c r="AL39" i="48" s="1"/>
  <c r="AM39" i="48" s="1"/>
  <c r="AW18" i="48"/>
  <c r="AK39" i="58"/>
  <c r="BM20" i="40"/>
  <c r="BN19" i="40" s="1"/>
  <c r="AK85" i="34"/>
  <c r="C41" i="31"/>
  <c r="O20" i="31"/>
  <c r="K17" i="18"/>
  <c r="O20" i="53"/>
  <c r="AK85" i="57"/>
  <c r="C41" i="56"/>
  <c r="D41" i="56" s="1"/>
  <c r="O20" i="56"/>
  <c r="P18" i="56" s="1"/>
  <c r="C41" i="41"/>
  <c r="O20" i="41"/>
  <c r="P18" i="41" s="1"/>
  <c r="O20" i="51"/>
  <c r="AJ64" i="36"/>
  <c r="AG64" i="36"/>
  <c r="AK86" i="33"/>
  <c r="AK87" i="56"/>
  <c r="BM20" i="49"/>
  <c r="C41" i="33"/>
  <c r="D41" i="33" s="1"/>
  <c r="E41" i="33" s="1"/>
  <c r="F41" i="33" s="1"/>
  <c r="G41" i="33" s="1"/>
  <c r="H41" i="33" s="1"/>
  <c r="I41" i="33" s="1"/>
  <c r="J41" i="33" s="1"/>
  <c r="K41" i="33" s="1"/>
  <c r="L41" i="33" s="1"/>
  <c r="M41" i="33" s="1"/>
  <c r="N41" i="33" s="1"/>
  <c r="O20" i="33"/>
  <c r="C41" i="46"/>
  <c r="D41" i="46" s="1"/>
  <c r="E41" i="46" s="1"/>
  <c r="F41" i="46" s="1"/>
  <c r="G41" i="46" s="1"/>
  <c r="H41" i="46" s="1"/>
  <c r="I41" i="46" s="1"/>
  <c r="J41" i="46" s="1"/>
  <c r="K41" i="46" s="1"/>
  <c r="L41" i="46" s="1"/>
  <c r="M41" i="46" s="1"/>
  <c r="N41" i="46" s="1"/>
  <c r="O20" i="46"/>
  <c r="C41" i="34"/>
  <c r="D41" i="34" s="1"/>
  <c r="E41" i="34" s="1"/>
  <c r="F41" i="34" s="1"/>
  <c r="G41" i="34" s="1"/>
  <c r="H41" i="34" s="1"/>
  <c r="I41" i="34" s="1"/>
  <c r="J41" i="34" s="1"/>
  <c r="K41" i="34" s="1"/>
  <c r="L41" i="34" s="1"/>
  <c r="M41" i="34" s="1"/>
  <c r="N41" i="34" s="1"/>
  <c r="O20" i="34"/>
  <c r="P18" i="34" s="1"/>
  <c r="AG65" i="35"/>
  <c r="AK87" i="35"/>
  <c r="N39" i="45"/>
  <c r="AF66" i="38"/>
  <c r="AG66" i="38"/>
  <c r="C87" i="35"/>
  <c r="D87" i="35" s="1"/>
  <c r="E87" i="35" s="1"/>
  <c r="F87" i="35" s="1"/>
  <c r="G87" i="35" s="1"/>
  <c r="H87" i="35" s="1"/>
  <c r="I87" i="35" s="1"/>
  <c r="J87" i="35" s="1"/>
  <c r="K87" i="35" s="1"/>
  <c r="L87" i="35" s="1"/>
  <c r="M87" i="35" s="1"/>
  <c r="N87" i="35" s="1"/>
  <c r="O66" i="35"/>
  <c r="BM20" i="42"/>
  <c r="C41" i="35"/>
  <c r="D41" i="35" s="1"/>
  <c r="E41" i="35" s="1"/>
  <c r="F41" i="35" s="1"/>
  <c r="G41" i="35" s="1"/>
  <c r="H41" i="35" s="1"/>
  <c r="I41" i="35" s="1"/>
  <c r="J41" i="35" s="1"/>
  <c r="K41" i="35" s="1"/>
  <c r="L41" i="35" s="1"/>
  <c r="M41" i="35" s="1"/>
  <c r="N41" i="35" s="1"/>
  <c r="O20" i="35"/>
  <c r="AK85" i="51"/>
  <c r="U86" i="55"/>
  <c r="V86" i="55" s="1"/>
  <c r="W86" i="55" s="1"/>
  <c r="X86" i="55" s="1"/>
  <c r="Y86" i="55" s="1"/>
  <c r="AG65" i="55"/>
  <c r="AH65" i="55" s="1"/>
  <c r="AK86" i="37"/>
  <c r="AL86" i="37" s="1"/>
  <c r="AM86" i="37" s="1"/>
  <c r="AN86" i="37" s="1"/>
  <c r="AO86" i="37" s="1"/>
  <c r="AK39" i="32"/>
  <c r="AL39" i="32" s="1"/>
  <c r="AM39" i="32" s="1"/>
  <c r="AN39" i="32" s="1"/>
  <c r="AO39" i="32" s="1"/>
  <c r="AP39" i="32" s="1"/>
  <c r="AQ39" i="32" s="1"/>
  <c r="AR39" i="32" s="1"/>
  <c r="AS39" i="32" s="1"/>
  <c r="AT39" i="32" s="1"/>
  <c r="AU39" i="32" s="1"/>
  <c r="AV39" i="32" s="1"/>
  <c r="AW18" i="32"/>
  <c r="F9" i="12"/>
  <c r="F9" i="2"/>
  <c r="B14" i="25"/>
  <c r="O19" i="31"/>
  <c r="O18" i="33"/>
  <c r="C39" i="37"/>
  <c r="D39" i="37" s="1"/>
  <c r="E39" i="37" s="1"/>
  <c r="F39" i="37" s="1"/>
  <c r="G39" i="37" s="1"/>
  <c r="H39" i="37" s="1"/>
  <c r="I39" i="37" s="1"/>
  <c r="J39" i="37" s="1"/>
  <c r="K39" i="37" s="1"/>
  <c r="L39" i="37" s="1"/>
  <c r="M39" i="37" s="1"/>
  <c r="N39" i="37" s="1"/>
  <c r="O18" i="37"/>
  <c r="O18" i="42"/>
  <c r="O18" i="49"/>
  <c r="O18" i="53"/>
  <c r="O18" i="57"/>
  <c r="AK41" i="35"/>
  <c r="AL41" i="35" s="1"/>
  <c r="AM41" i="35" s="1"/>
  <c r="AN41" i="35" s="1"/>
  <c r="AO41" i="35" s="1"/>
  <c r="AP41" i="35" s="1"/>
  <c r="AQ41" i="35" s="1"/>
  <c r="AR41" i="35" s="1"/>
  <c r="AS41" i="35" s="1"/>
  <c r="AT41" i="35" s="1"/>
  <c r="AU41" i="35" s="1"/>
  <c r="AV41" i="35" s="1"/>
  <c r="AW20" i="35"/>
  <c r="AW20" i="51"/>
  <c r="AW20" i="55"/>
  <c r="AK41" i="38"/>
  <c r="AL41" i="38" s="1"/>
  <c r="AW20" i="38"/>
  <c r="AX19" i="38" s="1"/>
  <c r="AW18" i="42"/>
  <c r="AW18" i="50"/>
  <c r="BM20" i="36"/>
  <c r="BM20" i="39"/>
  <c r="BM20" i="53"/>
  <c r="BM20" i="56"/>
  <c r="BM20" i="38"/>
  <c r="BM18" i="39"/>
  <c r="C41" i="32"/>
  <c r="D41" i="32" s="1"/>
  <c r="E41" i="32" s="1"/>
  <c r="F41" i="32" s="1"/>
  <c r="G41" i="32" s="1"/>
  <c r="H41" i="32" s="1"/>
  <c r="I41" i="32" s="1"/>
  <c r="J41" i="32" s="1"/>
  <c r="K41" i="32" s="1"/>
  <c r="L41" i="32" s="1"/>
  <c r="M41" i="32" s="1"/>
  <c r="N41" i="32" s="1"/>
  <c r="R232" i="3"/>
  <c r="AA22" i="31" s="1"/>
  <c r="K17" i="24"/>
  <c r="K17" i="4"/>
  <c r="K13" i="21"/>
  <c r="O104" i="3"/>
  <c r="AW66" i="36"/>
  <c r="C41" i="48"/>
  <c r="D41" i="48" s="1"/>
  <c r="E41" i="48" s="1"/>
  <c r="F41" i="48" s="1"/>
  <c r="G41" i="48" s="1"/>
  <c r="O20" i="48"/>
  <c r="Y23" i="55"/>
  <c r="AK85" i="49"/>
  <c r="AL85" i="49" s="1"/>
  <c r="AJ66" i="31"/>
  <c r="AG66" i="31"/>
  <c r="AK86" i="46"/>
  <c r="AK87" i="45"/>
  <c r="AW66" i="45"/>
  <c r="O20" i="45"/>
  <c r="P18" i="45" s="1"/>
  <c r="C41" i="44"/>
  <c r="D41" i="44" s="1"/>
  <c r="E41" i="44" s="1"/>
  <c r="F41" i="44" s="1"/>
  <c r="G41" i="44" s="1"/>
  <c r="H41" i="44" s="1"/>
  <c r="I41" i="44" s="1"/>
  <c r="J41" i="44" s="1"/>
  <c r="K41" i="44" s="1"/>
  <c r="L41" i="44" s="1"/>
  <c r="M41" i="44" s="1"/>
  <c r="N41" i="44" s="1"/>
  <c r="O20" i="44"/>
  <c r="AM39" i="44"/>
  <c r="AN39" i="44" s="1"/>
  <c r="AO39" i="44" s="1"/>
  <c r="AP39" i="44" s="1"/>
  <c r="AQ39" i="44" s="1"/>
  <c r="AR39" i="44" s="1"/>
  <c r="AS39" i="44" s="1"/>
  <c r="AT39" i="44" s="1"/>
  <c r="BL20" i="45"/>
  <c r="BM20" i="45"/>
  <c r="U87" i="45"/>
  <c r="V87" i="45" s="1"/>
  <c r="W87" i="45" s="1"/>
  <c r="X87" i="45" s="1"/>
  <c r="Y87" i="45" s="1"/>
  <c r="Z87" i="45" s="1"/>
  <c r="AA87" i="45" s="1"/>
  <c r="AB87" i="45" s="1"/>
  <c r="AC87" i="45" s="1"/>
  <c r="AD87" i="45" s="1"/>
  <c r="AE87" i="45" s="1"/>
  <c r="AF87" i="45" s="1"/>
  <c r="AG66" i="45"/>
  <c r="U86" i="57"/>
  <c r="V86" i="57" s="1"/>
  <c r="AG65" i="57"/>
  <c r="BM20" i="46"/>
  <c r="U86" i="39"/>
  <c r="V86" i="39" s="1"/>
  <c r="W86" i="39" s="1"/>
  <c r="X86" i="39" s="1"/>
  <c r="Y86" i="39" s="1"/>
  <c r="Z86" i="39" s="1"/>
  <c r="AA86" i="39" s="1"/>
  <c r="AG65" i="39"/>
  <c r="AK39" i="56"/>
  <c r="AL39" i="56" s="1"/>
  <c r="AM39" i="56" s="1"/>
  <c r="AN39" i="56" s="1"/>
  <c r="AO39" i="56" s="1"/>
  <c r="AP39" i="56" s="1"/>
  <c r="AQ39" i="56" s="1"/>
  <c r="AR39" i="56" s="1"/>
  <c r="AS39" i="56" s="1"/>
  <c r="AT39" i="56" s="1"/>
  <c r="AU39" i="56" s="1"/>
  <c r="AV39" i="56" s="1"/>
  <c r="AW18" i="56"/>
  <c r="AK87" i="48"/>
  <c r="AW66" i="48"/>
  <c r="O18" i="43"/>
  <c r="C39" i="46"/>
  <c r="D39" i="46" s="1"/>
  <c r="E39" i="46" s="1"/>
  <c r="F39" i="46" s="1"/>
  <c r="G39" i="46" s="1"/>
  <c r="H39" i="46" s="1"/>
  <c r="I39" i="46" s="1"/>
  <c r="J39" i="46" s="1"/>
  <c r="K39" i="46" s="1"/>
  <c r="L39" i="46" s="1"/>
  <c r="M39" i="46" s="1"/>
  <c r="N39" i="46" s="1"/>
  <c r="O18" i="46"/>
  <c r="AW20" i="34"/>
  <c r="AK41" i="41"/>
  <c r="AW20" i="41"/>
  <c r="AW20" i="44"/>
  <c r="AK41" i="48"/>
  <c r="AL41" i="48" s="1"/>
  <c r="AM41" i="48" s="1"/>
  <c r="AN41" i="48" s="1"/>
  <c r="AO41" i="48" s="1"/>
  <c r="AP41" i="48" s="1"/>
  <c r="AQ41" i="48" s="1"/>
  <c r="AR41" i="48" s="1"/>
  <c r="AS41" i="48" s="1"/>
  <c r="AT41" i="48" s="1"/>
  <c r="AU41" i="48" s="1"/>
  <c r="AV41" i="48" s="1"/>
  <c r="AW20" i="48"/>
  <c r="AX19" i="48" s="1"/>
  <c r="AW18" i="43"/>
  <c r="AW18" i="51"/>
  <c r="BM20" i="35"/>
  <c r="BM20" i="44"/>
  <c r="BN19" i="44" s="1"/>
  <c r="BM20" i="52"/>
  <c r="BM20" i="55"/>
  <c r="BM20" i="58"/>
  <c r="BM18" i="41"/>
  <c r="C41" i="55"/>
  <c r="D41" i="55" s="1"/>
  <c r="E41" i="55" s="1"/>
  <c r="F41" i="55" s="1"/>
  <c r="G41" i="55" s="1"/>
  <c r="H41" i="55" s="1"/>
  <c r="I41" i="55" s="1"/>
  <c r="J41" i="55" s="1"/>
  <c r="K41" i="55" s="1"/>
  <c r="L41" i="55" s="1"/>
  <c r="O20" i="55"/>
  <c r="P18" i="55" s="1"/>
  <c r="H264" i="3"/>
  <c r="Q264" i="3" s="1"/>
  <c r="Y21" i="31" s="1"/>
  <c r="Y23" i="31" s="1"/>
  <c r="Y23" i="32"/>
  <c r="C39" i="44"/>
  <c r="O20" i="38"/>
  <c r="AK87" i="39"/>
  <c r="AL87" i="39" s="1"/>
  <c r="N39" i="47"/>
  <c r="AK86" i="45"/>
  <c r="AK87" i="41"/>
  <c r="AL87" i="41" s="1"/>
  <c r="AM87" i="41" s="1"/>
  <c r="AW66" i="41"/>
  <c r="AK86" i="32"/>
  <c r="AL86" i="32" s="1"/>
  <c r="AM86" i="32" s="1"/>
  <c r="AW20" i="31"/>
  <c r="AK87" i="40"/>
  <c r="AL87" i="40" s="1"/>
  <c r="AW66" i="40"/>
  <c r="AK87" i="46"/>
  <c r="AK87" i="47"/>
  <c r="AL87" i="47" s="1"/>
  <c r="AW66" i="47"/>
  <c r="C41" i="43"/>
  <c r="O20" i="43"/>
  <c r="C41" i="42"/>
  <c r="O20" i="42"/>
  <c r="P18" i="42" s="1"/>
  <c r="AK87" i="34"/>
  <c r="K20" i="18"/>
  <c r="AJ66" i="49"/>
  <c r="AW66" i="49" s="1"/>
  <c r="AG66" i="49"/>
  <c r="U85" i="57"/>
  <c r="V85" i="57" s="1"/>
  <c r="AG64" i="57"/>
  <c r="AK85" i="37"/>
  <c r="AK85" i="32"/>
  <c r="AL85" i="32" s="1"/>
  <c r="AW66" i="51"/>
  <c r="O20" i="36"/>
  <c r="P18" i="36" s="1"/>
  <c r="AK86" i="31"/>
  <c r="C41" i="52"/>
  <c r="D41" i="52" s="1"/>
  <c r="E41" i="52" s="1"/>
  <c r="F41" i="52" s="1"/>
  <c r="G41" i="52" s="1"/>
  <c r="H41" i="52" s="1"/>
  <c r="I41" i="52" s="1"/>
  <c r="J41" i="52" s="1"/>
  <c r="K41" i="52" s="1"/>
  <c r="L41" i="52" s="1"/>
  <c r="M41" i="52" s="1"/>
  <c r="N41" i="52" s="1"/>
  <c r="O20" i="52"/>
  <c r="P18" i="52" s="1"/>
  <c r="AK39" i="55"/>
  <c r="AL39" i="55" s="1"/>
  <c r="AM39" i="55" s="1"/>
  <c r="AN39" i="55" s="1"/>
  <c r="AO39" i="55" s="1"/>
  <c r="AP39" i="55" s="1"/>
  <c r="AQ39" i="55" s="1"/>
  <c r="AW18" i="55"/>
  <c r="BM20" i="31"/>
  <c r="B10" i="12"/>
  <c r="F9" i="27"/>
  <c r="F9" i="14"/>
  <c r="B18" i="7"/>
  <c r="O20" i="49"/>
  <c r="P18" i="49" s="1"/>
  <c r="C41" i="57"/>
  <c r="D41" i="57" s="1"/>
  <c r="E41" i="57" s="1"/>
  <c r="F41" i="57" s="1"/>
  <c r="G41" i="57" s="1"/>
  <c r="H41" i="57" s="1"/>
  <c r="I41" i="57" s="1"/>
  <c r="J41" i="57" s="1"/>
  <c r="K41" i="57" s="1"/>
  <c r="L41" i="57" s="1"/>
  <c r="M41" i="57" s="1"/>
  <c r="N41" i="57" s="1"/>
  <c r="O20" i="57"/>
  <c r="P18" i="57" s="1"/>
  <c r="O18" i="35"/>
  <c r="O18" i="40"/>
  <c r="O18" i="47"/>
  <c r="C39" i="51"/>
  <c r="D39" i="51" s="1"/>
  <c r="E39" i="51" s="1"/>
  <c r="F39" i="51" s="1"/>
  <c r="G39" i="51" s="1"/>
  <c r="H39" i="51" s="1"/>
  <c r="I39" i="51" s="1"/>
  <c r="J39" i="51" s="1"/>
  <c r="K39" i="51" s="1"/>
  <c r="L39" i="51" s="1"/>
  <c r="M39" i="51" s="1"/>
  <c r="N39" i="51" s="1"/>
  <c r="O18" i="51"/>
  <c r="O18" i="38"/>
  <c r="AW20" i="43"/>
  <c r="AK41" i="47"/>
  <c r="AL41" i="47" s="1"/>
  <c r="AM41" i="47" s="1"/>
  <c r="AN41" i="47" s="1"/>
  <c r="AO41" i="47" s="1"/>
  <c r="AP41" i="47" s="1"/>
  <c r="AQ41" i="47" s="1"/>
  <c r="AR41" i="47" s="1"/>
  <c r="AS41" i="47" s="1"/>
  <c r="AT41" i="47" s="1"/>
  <c r="AU41" i="47" s="1"/>
  <c r="AV41" i="47" s="1"/>
  <c r="AW20" i="47"/>
  <c r="AW20" i="53"/>
  <c r="AX19" i="53" s="1"/>
  <c r="AW20" i="57"/>
  <c r="AW18" i="33"/>
  <c r="AW18" i="34"/>
  <c r="AW18" i="35"/>
  <c r="AW18" i="39"/>
  <c r="AX18" i="39" s="1"/>
  <c r="AW18" i="44"/>
  <c r="AW18" i="53"/>
  <c r="AK39" i="54"/>
  <c r="AL39" i="54" s="1"/>
  <c r="AM39" i="54" s="1"/>
  <c r="AN39" i="54" s="1"/>
  <c r="AO39" i="54" s="1"/>
  <c r="AP39" i="54" s="1"/>
  <c r="AQ39" i="54" s="1"/>
  <c r="AR39" i="54" s="1"/>
  <c r="AS39" i="54" s="1"/>
  <c r="BM19" i="31"/>
  <c r="BM20" i="32"/>
  <c r="BM18" i="50"/>
  <c r="BN18" i="50" s="1"/>
  <c r="BM18" i="54"/>
  <c r="O66" i="36"/>
  <c r="P65" i="36" s="1"/>
  <c r="O66" i="34"/>
  <c r="O66" i="37"/>
  <c r="O66" i="52"/>
  <c r="O66" i="53"/>
  <c r="O66" i="57"/>
  <c r="AG65" i="31"/>
  <c r="AG65" i="49"/>
  <c r="U86" i="34"/>
  <c r="V86" i="34" s="1"/>
  <c r="W86" i="34" s="1"/>
  <c r="X86" i="34" s="1"/>
  <c r="AG65" i="34"/>
  <c r="AH65" i="34" s="1"/>
  <c r="O65" i="51"/>
  <c r="AG65" i="43"/>
  <c r="O65" i="38"/>
  <c r="U86" i="47"/>
  <c r="V86" i="47" s="1"/>
  <c r="AG65" i="47"/>
  <c r="AG65" i="48"/>
  <c r="O64" i="47"/>
  <c r="AG66" i="50"/>
  <c r="AG64" i="35"/>
  <c r="AG64" i="53"/>
  <c r="O19" i="37"/>
  <c r="AW19" i="37"/>
  <c r="AX19" i="37" s="1"/>
  <c r="BM19" i="37"/>
  <c r="BN19" i="37" s="1"/>
  <c r="O19" i="56"/>
  <c r="AW19" i="56"/>
  <c r="BM19" i="56"/>
  <c r="BM18" i="47"/>
  <c r="BM18" i="52"/>
  <c r="O66" i="51"/>
  <c r="O66" i="33"/>
  <c r="O66" i="40"/>
  <c r="O66" i="44"/>
  <c r="O66" i="50"/>
  <c r="O66" i="31"/>
  <c r="P65" i="31" s="1"/>
  <c r="O65" i="48"/>
  <c r="O66" i="56"/>
  <c r="P66" i="56" s="1"/>
  <c r="AK65" i="44"/>
  <c r="O65" i="46"/>
  <c r="O65" i="58"/>
  <c r="AR65" i="51"/>
  <c r="AS65" i="44"/>
  <c r="O64" i="43"/>
  <c r="O64" i="44"/>
  <c r="O64" i="45"/>
  <c r="O64" i="52"/>
  <c r="U87" i="44"/>
  <c r="V87" i="44" s="1"/>
  <c r="W87" i="44" s="1"/>
  <c r="X87" i="44" s="1"/>
  <c r="Y87" i="44" s="1"/>
  <c r="Z87" i="44" s="1"/>
  <c r="AA87" i="44" s="1"/>
  <c r="AB87" i="44" s="1"/>
  <c r="AC87" i="44" s="1"/>
  <c r="AD87" i="44" s="1"/>
  <c r="AE87" i="44" s="1"/>
  <c r="AF87" i="44" s="1"/>
  <c r="AG66" i="44"/>
  <c r="AG66" i="53"/>
  <c r="U87" i="54"/>
  <c r="V87" i="54" s="1"/>
  <c r="W87" i="54" s="1"/>
  <c r="X87" i="54" s="1"/>
  <c r="Y87" i="54" s="1"/>
  <c r="Z87" i="54" s="1"/>
  <c r="AA87" i="54" s="1"/>
  <c r="AB87" i="54" s="1"/>
  <c r="AC87" i="54" s="1"/>
  <c r="AD87" i="54" s="1"/>
  <c r="AE87" i="54" s="1"/>
  <c r="AF87" i="54" s="1"/>
  <c r="AG66" i="54"/>
  <c r="AH65" i="54" s="1"/>
  <c r="AG64" i="46"/>
  <c r="BM19" i="36"/>
  <c r="O19" i="39"/>
  <c r="AW19" i="39"/>
  <c r="AX19" i="39" s="1"/>
  <c r="BM19" i="39"/>
  <c r="O19" i="41"/>
  <c r="AW19" i="41"/>
  <c r="BM19" i="41"/>
  <c r="BN19" i="41" s="1"/>
  <c r="O19" i="43"/>
  <c r="AW19" i="43"/>
  <c r="BM19" i="43"/>
  <c r="O19" i="45"/>
  <c r="AW19" i="45"/>
  <c r="BM19" i="45"/>
  <c r="O19" i="47"/>
  <c r="AW19" i="47"/>
  <c r="BM19" i="47"/>
  <c r="BN19" i="47" s="1"/>
  <c r="O19" i="49"/>
  <c r="AW19" i="49"/>
  <c r="AX19" i="49" s="1"/>
  <c r="BM19" i="49"/>
  <c r="O19" i="51"/>
  <c r="AW19" i="51"/>
  <c r="BM19" i="51"/>
  <c r="BM19" i="53"/>
  <c r="BM19" i="58"/>
  <c r="V23" i="37"/>
  <c r="V23" i="50"/>
  <c r="I38" i="1"/>
  <c r="BM18" i="49"/>
  <c r="BM18" i="53"/>
  <c r="C87" i="47"/>
  <c r="D87" i="47" s="1"/>
  <c r="E87" i="47" s="1"/>
  <c r="F87" i="47" s="1"/>
  <c r="G87" i="47" s="1"/>
  <c r="H87" i="47" s="1"/>
  <c r="I87" i="47" s="1"/>
  <c r="J87" i="47" s="1"/>
  <c r="K87" i="47" s="1"/>
  <c r="L87" i="47" s="1"/>
  <c r="M87" i="47" s="1"/>
  <c r="N87" i="47" s="1"/>
  <c r="O66" i="47"/>
  <c r="P64" i="47" s="1"/>
  <c r="AG65" i="42"/>
  <c r="AG65" i="36"/>
  <c r="AG65" i="53"/>
  <c r="AG65" i="45"/>
  <c r="AG65" i="41"/>
  <c r="AH65" i="41" s="1"/>
  <c r="AG65" i="52"/>
  <c r="AG65" i="44"/>
  <c r="O64" i="53"/>
  <c r="AG66" i="33"/>
  <c r="AH65" i="33" s="1"/>
  <c r="AG66" i="35"/>
  <c r="AG66" i="52"/>
  <c r="AG66" i="57"/>
  <c r="AG64" i="33"/>
  <c r="AG64" i="44"/>
  <c r="AG64" i="47"/>
  <c r="AG64" i="51"/>
  <c r="AW19" i="35"/>
  <c r="BM19" i="35"/>
  <c r="BM19" i="55"/>
  <c r="Y65" i="1"/>
  <c r="BM18" i="46"/>
  <c r="BM18" i="56"/>
  <c r="BA43" i="40"/>
  <c r="O66" i="32"/>
  <c r="O66" i="39"/>
  <c r="P65" i="39" s="1"/>
  <c r="C87" i="41"/>
  <c r="D87" i="41" s="1"/>
  <c r="E87" i="41" s="1"/>
  <c r="F87" i="41" s="1"/>
  <c r="G87" i="41" s="1"/>
  <c r="H87" i="41" s="1"/>
  <c r="I87" i="41" s="1"/>
  <c r="J87" i="41" s="1"/>
  <c r="K87" i="41" s="1"/>
  <c r="L87" i="41" s="1"/>
  <c r="M87" i="41" s="1"/>
  <c r="N87" i="41" s="1"/>
  <c r="O66" i="41"/>
  <c r="O66" i="43"/>
  <c r="P64" i="43" s="1"/>
  <c r="O66" i="45"/>
  <c r="O66" i="48"/>
  <c r="O66" i="54"/>
  <c r="O66" i="58"/>
  <c r="O65" i="43"/>
  <c r="O65" i="44"/>
  <c r="C85" i="32"/>
  <c r="O64" i="32"/>
  <c r="P64" i="32" s="1"/>
  <c r="AG65" i="51"/>
  <c r="O64" i="34"/>
  <c r="O64" i="37"/>
  <c r="O64" i="41"/>
  <c r="AP64" i="42"/>
  <c r="AU64" i="46"/>
  <c r="C85" i="49"/>
  <c r="O64" i="49"/>
  <c r="AG66" i="37"/>
  <c r="AG66" i="48"/>
  <c r="AG66" i="51"/>
  <c r="AH65" i="51" s="1"/>
  <c r="U85" i="37"/>
  <c r="AG64" i="37"/>
  <c r="AG64" i="45"/>
  <c r="AW19" i="52"/>
  <c r="BM19" i="52"/>
  <c r="C40" i="57"/>
  <c r="D40" i="57" s="1"/>
  <c r="E40" i="57" s="1"/>
  <c r="F40" i="57" s="1"/>
  <c r="G40" i="57" s="1"/>
  <c r="H40" i="57" s="1"/>
  <c r="I40" i="57" s="1"/>
  <c r="J40" i="57" s="1"/>
  <c r="K40" i="57" s="1"/>
  <c r="L40" i="57" s="1"/>
  <c r="M40" i="57" s="1"/>
  <c r="N40" i="57" s="1"/>
  <c r="O19" i="57"/>
  <c r="AE22" i="51"/>
  <c r="D66" i="1"/>
  <c r="I43" i="1"/>
  <c r="AD22" i="55"/>
  <c r="AA23" i="55"/>
  <c r="AD23" i="55" s="1"/>
  <c r="AD22" i="43"/>
  <c r="AA23" i="43"/>
  <c r="AD23" i="43" s="1"/>
  <c r="AD21" i="44"/>
  <c r="AA23" i="44"/>
  <c r="AD23" i="44" s="1"/>
  <c r="AA23" i="33"/>
  <c r="AD23" i="33" s="1"/>
  <c r="AD21" i="33"/>
  <c r="M41" i="55"/>
  <c r="N41" i="55" s="1"/>
  <c r="W23" i="36"/>
  <c r="W23" i="49"/>
  <c r="P64" i="57"/>
  <c r="AP65" i="46"/>
  <c r="AR65" i="41"/>
  <c r="Y23" i="39"/>
  <c r="AL66" i="39"/>
  <c r="AM87" i="39" s="1"/>
  <c r="AN87" i="39" s="1"/>
  <c r="AN39" i="48"/>
  <c r="AO39" i="48" s="1"/>
  <c r="AP39" i="48" s="1"/>
  <c r="AQ39" i="48" s="1"/>
  <c r="AR39" i="48" s="1"/>
  <c r="AS39" i="48" s="1"/>
  <c r="AT39" i="48" s="1"/>
  <c r="AU39" i="48" s="1"/>
  <c r="AV39" i="48" s="1"/>
  <c r="AN65" i="33"/>
  <c r="AT65" i="39"/>
  <c r="AQ65" i="33"/>
  <c r="AU65" i="47"/>
  <c r="Y23" i="51"/>
  <c r="AN64" i="35"/>
  <c r="AW64" i="35" s="1"/>
  <c r="P64" i="52"/>
  <c r="AM41" i="38"/>
  <c r="AN41" i="38" s="1"/>
  <c r="AO41" i="38" s="1"/>
  <c r="AP41" i="38" s="1"/>
  <c r="AQ41" i="38" s="1"/>
  <c r="AR41" i="38" s="1"/>
  <c r="AS41" i="38" s="1"/>
  <c r="AT41" i="38" s="1"/>
  <c r="AU41" i="38" s="1"/>
  <c r="AV41" i="38" s="1"/>
  <c r="AR64" i="32"/>
  <c r="AR65" i="43"/>
  <c r="AP65" i="33"/>
  <c r="AM65" i="58"/>
  <c r="AP65" i="38"/>
  <c r="AN65" i="34"/>
  <c r="AW65" i="34" s="1"/>
  <c r="AM65" i="51"/>
  <c r="AU65" i="54"/>
  <c r="AO65" i="57"/>
  <c r="N64" i="53"/>
  <c r="P19" i="50"/>
  <c r="O280" i="3"/>
  <c r="AC21" i="48" s="1"/>
  <c r="Y23" i="37"/>
  <c r="AM64" i="44"/>
  <c r="P19" i="40"/>
  <c r="W23" i="32"/>
  <c r="AL41" i="41"/>
  <c r="AM41" i="41" s="1"/>
  <c r="AN41" i="41" s="1"/>
  <c r="AO41" i="41" s="1"/>
  <c r="AP41" i="41" s="1"/>
  <c r="AQ41" i="41" s="1"/>
  <c r="AR41" i="41" s="1"/>
  <c r="AS41" i="41" s="1"/>
  <c r="AT41" i="41" s="1"/>
  <c r="AU41" i="41" s="1"/>
  <c r="AV41" i="41" s="1"/>
  <c r="AS65" i="46"/>
  <c r="AU65" i="46"/>
  <c r="AX19" i="41"/>
  <c r="BN19" i="43"/>
  <c r="P19" i="49"/>
  <c r="BN19" i="49"/>
  <c r="X23" i="40"/>
  <c r="B18" i="27"/>
  <c r="B14" i="27"/>
  <c r="B18" i="18"/>
  <c r="B14" i="18"/>
  <c r="B10" i="14"/>
  <c r="B14" i="14"/>
  <c r="F9" i="7"/>
  <c r="B18" i="14"/>
  <c r="G10" i="17"/>
  <c r="G14" i="17"/>
  <c r="B10" i="18"/>
  <c r="F13" i="13"/>
  <c r="B14" i="2"/>
  <c r="B18" i="2"/>
  <c r="B18" i="29"/>
  <c r="B14" i="29"/>
  <c r="B18" i="16"/>
  <c r="B14" i="16"/>
  <c r="B10" i="16"/>
  <c r="B10" i="2"/>
  <c r="F9" i="18"/>
  <c r="G14" i="11"/>
  <c r="G18" i="11"/>
  <c r="G10" i="11"/>
  <c r="F13" i="8"/>
  <c r="F17" i="14"/>
  <c r="I51" i="1"/>
  <c r="I46" i="1"/>
  <c r="I39" i="1"/>
  <c r="AG32" i="1"/>
  <c r="K17" i="16"/>
  <c r="K9" i="4"/>
  <c r="B14" i="11"/>
  <c r="K9" i="16"/>
  <c r="D17" i="2"/>
  <c r="L33" i="3"/>
  <c r="R33" i="3"/>
  <c r="P33" i="3"/>
  <c r="B18" i="9"/>
  <c r="B18" i="22"/>
  <c r="F20" i="30"/>
  <c r="F20" i="22"/>
  <c r="F9" i="10"/>
  <c r="F9" i="24"/>
  <c r="F9" i="23"/>
  <c r="F9" i="22"/>
  <c r="F9" i="15"/>
  <c r="F13" i="25"/>
  <c r="F13" i="24"/>
  <c r="F13" i="23"/>
  <c r="F13" i="16"/>
  <c r="F17" i="28"/>
  <c r="F17" i="24"/>
  <c r="I45" i="1"/>
  <c r="F65" i="1"/>
  <c r="G65" i="1" s="1"/>
  <c r="G37" i="1"/>
  <c r="U6" i="3" s="1"/>
  <c r="I20" i="4" s="1"/>
  <c r="I42" i="1"/>
  <c r="I50" i="1"/>
  <c r="I63" i="1"/>
  <c r="K13" i="22"/>
  <c r="K20" i="29"/>
  <c r="C33" i="3"/>
  <c r="G18" i="7"/>
  <c r="G33" i="3"/>
  <c r="O33" i="3"/>
  <c r="AA65" i="1"/>
  <c r="U32" i="1"/>
  <c r="I57" i="1"/>
  <c r="F66" i="1"/>
  <c r="M65" i="1"/>
  <c r="I56" i="1"/>
  <c r="H65" i="1"/>
  <c r="I65" i="1" s="1"/>
  <c r="I37" i="1"/>
  <c r="K9" i="9"/>
  <c r="K9" i="11"/>
  <c r="K17" i="22"/>
  <c r="B18" i="20"/>
  <c r="F33" i="3"/>
  <c r="N33" i="3"/>
  <c r="F20" i="26"/>
  <c r="F20" i="7"/>
  <c r="I31" i="1"/>
  <c r="I52" i="1"/>
  <c r="I55" i="1"/>
  <c r="S65" i="1"/>
  <c r="F20" i="29"/>
  <c r="F13" i="28"/>
  <c r="AE21" i="32"/>
  <c r="AC23" i="32"/>
  <c r="AE23" i="32" s="1"/>
  <c r="AD21" i="47"/>
  <c r="AA23" i="47"/>
  <c r="AD23" i="47" s="1"/>
  <c r="AA23" i="53"/>
  <c r="AD23" i="53" s="1"/>
  <c r="AD21" i="53"/>
  <c r="AE21" i="46"/>
  <c r="AC23" i="46"/>
  <c r="AE23" i="46" s="1"/>
  <c r="G10" i="5"/>
  <c r="G14" i="5"/>
  <c r="AC23" i="48"/>
  <c r="AE23" i="48" s="1"/>
  <c r="AE21" i="48"/>
  <c r="AE21" i="35"/>
  <c r="AC23" i="35"/>
  <c r="AE23" i="35" s="1"/>
  <c r="O269" i="3"/>
  <c r="AC21" i="36" s="1"/>
  <c r="AC23" i="36" s="1"/>
  <c r="AE23" i="36" s="1"/>
  <c r="R269" i="3"/>
  <c r="AA21" i="36" s="1"/>
  <c r="N20" i="33"/>
  <c r="Q269" i="3"/>
  <c r="Y21" i="36" s="1"/>
  <c r="Y23" i="36" s="1"/>
  <c r="K17" i="20"/>
  <c r="AX19" i="55"/>
  <c r="AX18" i="56"/>
  <c r="AO65" i="38"/>
  <c r="N65" i="38"/>
  <c r="AL65" i="51"/>
  <c r="AW65" i="51" s="1"/>
  <c r="N65" i="51"/>
  <c r="AK64" i="37"/>
  <c r="AW64" i="37" s="1"/>
  <c r="N64" i="37"/>
  <c r="AA23" i="32"/>
  <c r="AD23" i="32" s="1"/>
  <c r="M264" i="3"/>
  <c r="O289" i="3"/>
  <c r="AC21" i="57" s="1"/>
  <c r="AE21" i="57" s="1"/>
  <c r="O40" i="3"/>
  <c r="BL20" i="37"/>
  <c r="Y23" i="46"/>
  <c r="H41" i="48"/>
  <c r="I41" i="48" s="1"/>
  <c r="J41" i="48" s="1"/>
  <c r="K41" i="48" s="1"/>
  <c r="L41" i="48" s="1"/>
  <c r="M41" i="48" s="1"/>
  <c r="N41" i="48" s="1"/>
  <c r="AL65" i="46"/>
  <c r="AW65" i="46" s="1"/>
  <c r="N65" i="46"/>
  <c r="AJ65" i="44"/>
  <c r="U86" i="44"/>
  <c r="V86" i="44" s="1"/>
  <c r="W86" i="44" s="1"/>
  <c r="X86" i="44" s="1"/>
  <c r="AA23" i="51"/>
  <c r="AD23" i="51" s="1"/>
  <c r="AC23" i="34"/>
  <c r="AE23" i="34" s="1"/>
  <c r="P19" i="37"/>
  <c r="N20" i="55"/>
  <c r="AH65" i="42"/>
  <c r="P64" i="50"/>
  <c r="AL66" i="56"/>
  <c r="AW66" i="56" s="1"/>
  <c r="AF66" i="56"/>
  <c r="W23" i="42"/>
  <c r="Y23" i="35"/>
  <c r="W85" i="57"/>
  <c r="X85" i="57" s="1"/>
  <c r="Y85" i="57" s="1"/>
  <c r="Z85" i="57" s="1"/>
  <c r="AA85" i="57" s="1"/>
  <c r="AB85" i="57" s="1"/>
  <c r="AC85" i="57" s="1"/>
  <c r="AD85" i="57" s="1"/>
  <c r="AE85" i="57" s="1"/>
  <c r="AF85" i="57" s="1"/>
  <c r="AL85" i="37"/>
  <c r="AM85" i="37" s="1"/>
  <c r="AN85" i="37" s="1"/>
  <c r="Z86" i="55"/>
  <c r="AA86" i="55" s="1"/>
  <c r="AB86" i="55" s="1"/>
  <c r="AC86" i="55" s="1"/>
  <c r="AD86" i="55" s="1"/>
  <c r="AE86" i="55" s="1"/>
  <c r="AF86" i="55" s="1"/>
  <c r="B10" i="29"/>
  <c r="F17" i="4"/>
  <c r="AK65" i="50"/>
  <c r="AP66" i="56"/>
  <c r="V23" i="45"/>
  <c r="V23" i="47"/>
  <c r="AG28" i="3"/>
  <c r="I17" i="27" s="1"/>
  <c r="AG23" i="3"/>
  <c r="I17" i="22" s="1"/>
  <c r="G86" i="56"/>
  <c r="AN87" i="50"/>
  <c r="AO87" i="50" s="1"/>
  <c r="AP87" i="50" s="1"/>
  <c r="AQ87" i="50" s="1"/>
  <c r="AR87" i="50" s="1"/>
  <c r="AS87" i="50" s="1"/>
  <c r="AT87" i="50" s="1"/>
  <c r="AU87" i="50" s="1"/>
  <c r="AV87" i="50" s="1"/>
  <c r="D85" i="37"/>
  <c r="E85" i="37" s="1"/>
  <c r="F85" i="37" s="1"/>
  <c r="G85" i="37" s="1"/>
  <c r="H85" i="37" s="1"/>
  <c r="I85" i="37" s="1"/>
  <c r="J85" i="37" s="1"/>
  <c r="K85" i="37" s="1"/>
  <c r="L85" i="37" s="1"/>
  <c r="M85" i="37" s="1"/>
  <c r="N85" i="37" s="1"/>
  <c r="H86" i="37"/>
  <c r="I86" i="37" s="1"/>
  <c r="J86" i="37" s="1"/>
  <c r="K86" i="37" s="1"/>
  <c r="E85" i="35"/>
  <c r="F85" i="35" s="1"/>
  <c r="G85" i="35" s="1"/>
  <c r="H85" i="35" s="1"/>
  <c r="E86" i="51"/>
  <c r="F86" i="51" s="1"/>
  <c r="G86" i="51" s="1"/>
  <c r="H86" i="51" s="1"/>
  <c r="I86" i="51" s="1"/>
  <c r="J86" i="51" s="1"/>
  <c r="K86" i="51" s="1"/>
  <c r="L86" i="51" s="1"/>
  <c r="M86" i="51" s="1"/>
  <c r="N86" i="51" s="1"/>
  <c r="AB86" i="39"/>
  <c r="AT65" i="34"/>
  <c r="F20" i="10"/>
  <c r="F20" i="20"/>
  <c r="B10" i="11"/>
  <c r="B10" i="27"/>
  <c r="F9" i="30"/>
  <c r="F9" i="20"/>
  <c r="F9" i="13"/>
  <c r="F13" i="10"/>
  <c r="F13" i="30"/>
  <c r="F13" i="22"/>
  <c r="F13" i="21"/>
  <c r="F13" i="7"/>
  <c r="F13" i="6"/>
  <c r="F17" i="20"/>
  <c r="F17" i="13"/>
  <c r="F17" i="12"/>
  <c r="P280" i="3"/>
  <c r="W21" i="48" s="1"/>
  <c r="W23" i="48" s="1"/>
  <c r="BL18" i="44"/>
  <c r="AN65" i="50"/>
  <c r="AT65" i="53"/>
  <c r="AK65" i="41"/>
  <c r="AP65" i="44"/>
  <c r="N64" i="57"/>
  <c r="V23" i="35"/>
  <c r="V23" i="54"/>
  <c r="AP64" i="51"/>
  <c r="H87" i="56"/>
  <c r="I87" i="56" s="1"/>
  <c r="J87" i="56" s="1"/>
  <c r="K87" i="56" s="1"/>
  <c r="L87" i="56" s="1"/>
  <c r="M87" i="56" s="1"/>
  <c r="N87" i="56" s="1"/>
  <c r="Y23" i="34"/>
  <c r="H86" i="38"/>
  <c r="I86" i="38" s="1"/>
  <c r="J86" i="38" s="1"/>
  <c r="K86" i="38" s="1"/>
  <c r="L86" i="38" s="1"/>
  <c r="M86" i="38" s="1"/>
  <c r="N86" i="38" s="1"/>
  <c r="D85" i="50"/>
  <c r="E85" i="50" s="1"/>
  <c r="F85" i="50" s="1"/>
  <c r="G85" i="50" s="1"/>
  <c r="H85" i="50" s="1"/>
  <c r="I85" i="50" s="1"/>
  <c r="J85" i="50" s="1"/>
  <c r="K85" i="50" s="1"/>
  <c r="L85" i="50" s="1"/>
  <c r="M85" i="50" s="1"/>
  <c r="N85" i="50" s="1"/>
  <c r="B10" i="17"/>
  <c r="B10" i="25"/>
  <c r="N18" i="56"/>
  <c r="AR64" i="33"/>
  <c r="Z23" i="56"/>
  <c r="AD23" i="56" s="1"/>
  <c r="X23" i="56"/>
  <c r="V23" i="57"/>
  <c r="W87" i="56"/>
  <c r="X87" i="56" s="1"/>
  <c r="Y87" i="56" s="1"/>
  <c r="Z87" i="56" s="1"/>
  <c r="AA87" i="56" s="1"/>
  <c r="AB87" i="56" s="1"/>
  <c r="AC87" i="56" s="1"/>
  <c r="AD87" i="56" s="1"/>
  <c r="AE87" i="56" s="1"/>
  <c r="AF87" i="56" s="1"/>
  <c r="W23" i="37"/>
  <c r="Y23" i="48"/>
  <c r="L85" i="53"/>
  <c r="M85" i="53" s="1"/>
  <c r="N85" i="53" s="1"/>
  <c r="AA86" i="54"/>
  <c r="AB86" i="54" s="1"/>
  <c r="AC86" i="54" s="1"/>
  <c r="AD86" i="54" s="1"/>
  <c r="AE86" i="54" s="1"/>
  <c r="AF86" i="54" s="1"/>
  <c r="F20" i="11"/>
  <c r="F20" i="27"/>
  <c r="F9" i="26"/>
  <c r="F9" i="25"/>
  <c r="F9" i="17"/>
  <c r="F9" i="16"/>
  <c r="F9" i="8"/>
  <c r="F9" i="4"/>
  <c r="F13" i="27"/>
  <c r="F13" i="26"/>
  <c r="F13" i="18"/>
  <c r="F13" i="17"/>
  <c r="F13" i="12"/>
  <c r="F13" i="11"/>
  <c r="F17" i="17"/>
  <c r="F17" i="16"/>
  <c r="N18" i="49"/>
  <c r="BL18" i="46"/>
  <c r="Y86" i="34"/>
  <c r="P65" i="38"/>
  <c r="AQ65" i="57"/>
  <c r="AM65" i="33"/>
  <c r="V23" i="32"/>
  <c r="V23" i="34"/>
  <c r="Z23" i="37"/>
  <c r="V23" i="38"/>
  <c r="V23" i="40"/>
  <c r="P19" i="52"/>
  <c r="BL18" i="35"/>
  <c r="BN18" i="35"/>
  <c r="BN18" i="53"/>
  <c r="BL18" i="53"/>
  <c r="P19" i="55"/>
  <c r="AV18" i="46"/>
  <c r="AX18" i="46"/>
  <c r="AV18" i="55"/>
  <c r="AX18" i="55"/>
  <c r="BL18" i="47"/>
  <c r="BN18" i="47"/>
  <c r="BL18" i="54"/>
  <c r="BN18" i="54"/>
  <c r="AV18" i="32"/>
  <c r="AK39" i="40"/>
  <c r="AL39" i="40" s="1"/>
  <c r="AM39" i="40" s="1"/>
  <c r="AN39" i="40" s="1"/>
  <c r="AO39" i="40" s="1"/>
  <c r="AP39" i="40" s="1"/>
  <c r="AQ39" i="40" s="1"/>
  <c r="AR39" i="40" s="1"/>
  <c r="AX18" i="40"/>
  <c r="AK39" i="53"/>
  <c r="AL39" i="53" s="1"/>
  <c r="AM39" i="53" s="1"/>
  <c r="AN39" i="53" s="1"/>
  <c r="AO39" i="53" s="1"/>
  <c r="AP39" i="53" s="1"/>
  <c r="AQ39" i="53" s="1"/>
  <c r="AR39" i="53" s="1"/>
  <c r="AS39" i="53" s="1"/>
  <c r="AT39" i="53" s="1"/>
  <c r="AU39" i="53" s="1"/>
  <c r="AV39" i="53" s="1"/>
  <c r="AV18" i="53"/>
  <c r="P19" i="34"/>
  <c r="AK39" i="47"/>
  <c r="AL39" i="47" s="1"/>
  <c r="AM39" i="47" s="1"/>
  <c r="AN39" i="47" s="1"/>
  <c r="AO39" i="47" s="1"/>
  <c r="AP39" i="47" s="1"/>
  <c r="AQ39" i="47" s="1"/>
  <c r="AR39" i="47" s="1"/>
  <c r="AS39" i="47" s="1"/>
  <c r="AT39" i="47" s="1"/>
  <c r="AU39" i="47" s="1"/>
  <c r="AV39" i="47" s="1"/>
  <c r="AV18" i="47"/>
  <c r="N18" i="48"/>
  <c r="N18" i="51"/>
  <c r="AV18" i="33"/>
  <c r="AV18" i="48"/>
  <c r="BL18" i="49"/>
  <c r="BL18" i="50"/>
  <c r="F64" i="39"/>
  <c r="O64" i="39" s="1"/>
  <c r="AU175" i="3"/>
  <c r="D64" i="40"/>
  <c r="AL64" i="40" s="1"/>
  <c r="AU176" i="3"/>
  <c r="E64" i="42"/>
  <c r="O64" i="42" s="1"/>
  <c r="P64" i="42" s="1"/>
  <c r="AU178" i="3"/>
  <c r="G64" i="49"/>
  <c r="AU185" i="3"/>
  <c r="N64" i="50"/>
  <c r="N20" i="41"/>
  <c r="AX18" i="42"/>
  <c r="AQ39" i="36"/>
  <c r="AR39" i="36" s="1"/>
  <c r="AS39" i="36" s="1"/>
  <c r="AT39" i="36" s="1"/>
  <c r="AU39" i="36" s="1"/>
  <c r="AV39" i="36" s="1"/>
  <c r="AN39" i="43"/>
  <c r="AO39" i="43" s="1"/>
  <c r="AP39" i="43" s="1"/>
  <c r="AQ39" i="43" s="1"/>
  <c r="AR39" i="43" s="1"/>
  <c r="AS39" i="43" s="1"/>
  <c r="AT39" i="43" s="1"/>
  <c r="AU39" i="43" s="1"/>
  <c r="AV39" i="43" s="1"/>
  <c r="AU39" i="44"/>
  <c r="AV39" i="44" s="1"/>
  <c r="AL39" i="50"/>
  <c r="AM39" i="50" s="1"/>
  <c r="AN39" i="50" s="1"/>
  <c r="AU56" i="3"/>
  <c r="N18" i="52"/>
  <c r="AV18" i="34"/>
  <c r="AV18" i="39"/>
  <c r="AU106" i="3"/>
  <c r="AK104" i="3"/>
  <c r="BB18" i="31" s="1"/>
  <c r="AS104" i="3"/>
  <c r="BJ18" i="31" s="1"/>
  <c r="AU111" i="3"/>
  <c r="BG18" i="32"/>
  <c r="BN18" i="32" s="1"/>
  <c r="BO18" i="32" s="1"/>
  <c r="BB43" i="43"/>
  <c r="BA43" i="57"/>
  <c r="D64" i="33"/>
  <c r="O64" i="33" s="1"/>
  <c r="AU170" i="3"/>
  <c r="B64" i="48"/>
  <c r="O64" i="48" s="1"/>
  <c r="AU184" i="3"/>
  <c r="D64" i="38"/>
  <c r="O64" i="38" s="1"/>
  <c r="AU195" i="3"/>
  <c r="B64" i="31"/>
  <c r="O64" i="31" s="1"/>
  <c r="AU168" i="3"/>
  <c r="P64" i="54"/>
  <c r="G85" i="39"/>
  <c r="H85" i="39" s="1"/>
  <c r="I85" i="39" s="1"/>
  <c r="J85" i="39" s="1"/>
  <c r="K85" i="39" s="1"/>
  <c r="L85" i="39" s="1"/>
  <c r="M85" i="39" s="1"/>
  <c r="N85" i="39" s="1"/>
  <c r="AQ39" i="38"/>
  <c r="AR39" i="38" s="1"/>
  <c r="AS39" i="38" s="1"/>
  <c r="AT39" i="38" s="1"/>
  <c r="E85" i="40"/>
  <c r="F85" i="40" s="1"/>
  <c r="G85" i="40" s="1"/>
  <c r="H85" i="40" s="1"/>
  <c r="I85" i="40" s="1"/>
  <c r="J85" i="40" s="1"/>
  <c r="K85" i="40" s="1"/>
  <c r="L85" i="40" s="1"/>
  <c r="M85" i="40" s="1"/>
  <c r="N85" i="40" s="1"/>
  <c r="AV18" i="40"/>
  <c r="AV18" i="38"/>
  <c r="AN65" i="39"/>
  <c r="AL86" i="41"/>
  <c r="AK65" i="35"/>
  <c r="C64" i="34"/>
  <c r="AU171" i="3"/>
  <c r="I64" i="35"/>
  <c r="AU172" i="3"/>
  <c r="D64" i="55"/>
  <c r="E85" i="55" s="1"/>
  <c r="F85" i="55" s="1"/>
  <c r="G85" i="55" s="1"/>
  <c r="H85" i="55" s="1"/>
  <c r="I85" i="55" s="1"/>
  <c r="J85" i="55" s="1"/>
  <c r="K85" i="55" s="1"/>
  <c r="L85" i="55" s="1"/>
  <c r="M85" i="55" s="1"/>
  <c r="N85" i="55" s="1"/>
  <c r="AU191" i="3"/>
  <c r="G65" i="56"/>
  <c r="O65" i="56" s="1"/>
  <c r="P65" i="56" s="1"/>
  <c r="AU192" i="3"/>
  <c r="B64" i="58"/>
  <c r="O64" i="58" s="1"/>
  <c r="AU194" i="3"/>
  <c r="P65" i="46"/>
  <c r="D41" i="41"/>
  <c r="E41" i="41" s="1"/>
  <c r="F41" i="41" s="1"/>
  <c r="N20" i="36"/>
  <c r="AM87" i="47"/>
  <c r="AN87" i="47" s="1"/>
  <c r="N39" i="56"/>
  <c r="N39" i="49"/>
  <c r="E85" i="33"/>
  <c r="F85" i="33" s="1"/>
  <c r="G85" i="33" s="1"/>
  <c r="H85" i="33" s="1"/>
  <c r="AL39" i="46"/>
  <c r="AM39" i="46" s="1"/>
  <c r="AN39" i="46" s="1"/>
  <c r="AO39" i="46" s="1"/>
  <c r="AP39" i="46" s="1"/>
  <c r="AQ39" i="46" s="1"/>
  <c r="AR39" i="46" s="1"/>
  <c r="AS39" i="46" s="1"/>
  <c r="AT39" i="46" s="1"/>
  <c r="AU39" i="46" s="1"/>
  <c r="AV39" i="46" s="1"/>
  <c r="AU51" i="3"/>
  <c r="AI40" i="3"/>
  <c r="B18" i="31" s="1"/>
  <c r="N18" i="50"/>
  <c r="AL40" i="31"/>
  <c r="AM40" i="31" s="1"/>
  <c r="AN40" i="31" s="1"/>
  <c r="AO40" i="31" s="1"/>
  <c r="AP40" i="31" s="1"/>
  <c r="AQ40" i="31" s="1"/>
  <c r="AR40" i="31" s="1"/>
  <c r="AS40" i="31" s="1"/>
  <c r="AT40" i="31" s="1"/>
  <c r="AU40" i="31" s="1"/>
  <c r="AV40" i="31" s="1"/>
  <c r="AX18" i="50"/>
  <c r="AU113" i="3"/>
  <c r="D64" i="46"/>
  <c r="O64" i="46" s="1"/>
  <c r="AU182" i="3"/>
  <c r="D64" i="51"/>
  <c r="O64" i="51" s="1"/>
  <c r="AU187" i="3"/>
  <c r="T64" i="40"/>
  <c r="AG64" i="40" s="1"/>
  <c r="AU208" i="3"/>
  <c r="AO66" i="35"/>
  <c r="AW66" i="35" s="1"/>
  <c r="AL66" i="53"/>
  <c r="AW66" i="53" s="1"/>
  <c r="AO66" i="57"/>
  <c r="AW66" i="57" s="1"/>
  <c r="AT64" i="32"/>
  <c r="AL65" i="50"/>
  <c r="AN66" i="56"/>
  <c r="AR65" i="34"/>
  <c r="AF65" i="33"/>
  <c r="AQ65" i="39"/>
  <c r="AQ65" i="53"/>
  <c r="AR65" i="54"/>
  <c r="AO65" i="42"/>
  <c r="AT65" i="40"/>
  <c r="AO65" i="45"/>
  <c r="AT64" i="37"/>
  <c r="AO64" i="41"/>
  <c r="AQ64" i="42"/>
  <c r="AU64" i="42"/>
  <c r="AQ64" i="50"/>
  <c r="AU64" i="50"/>
  <c r="V85" i="37"/>
  <c r="W85" i="37" s="1"/>
  <c r="X85" i="37" s="1"/>
  <c r="BL18" i="48"/>
  <c r="BB43" i="40"/>
  <c r="BB43" i="48"/>
  <c r="BA43" i="37"/>
  <c r="AM65" i="32"/>
  <c r="AN86" i="32" s="1"/>
  <c r="AO86" i="32" s="1"/>
  <c r="AP86" i="32" s="1"/>
  <c r="AQ86" i="32" s="1"/>
  <c r="AQ65" i="32"/>
  <c r="AQ66" i="54"/>
  <c r="AW66" i="54" s="1"/>
  <c r="AE193" i="3"/>
  <c r="AU65" i="31"/>
  <c r="AE218" i="3"/>
  <c r="AV66" i="56"/>
  <c r="AT65" i="47"/>
  <c r="AU65" i="44"/>
  <c r="AN65" i="43"/>
  <c r="AS65" i="33"/>
  <c r="AR65" i="53"/>
  <c r="AT65" i="42"/>
  <c r="AK65" i="52"/>
  <c r="AM65" i="47"/>
  <c r="AR65" i="55"/>
  <c r="AP63" i="32"/>
  <c r="AK64" i="33"/>
  <c r="AL85" i="33" s="1"/>
  <c r="AS64" i="34"/>
  <c r="N64" i="39"/>
  <c r="AR64" i="42"/>
  <c r="AP64" i="43"/>
  <c r="AR64" i="50"/>
  <c r="AM64" i="54"/>
  <c r="AQ64" i="54"/>
  <c r="BD40" i="55"/>
  <c r="AX19" i="34"/>
  <c r="BN19" i="42"/>
  <c r="AX19" i="44"/>
  <c r="P19" i="54"/>
  <c r="AX19" i="54"/>
  <c r="BN19" i="54"/>
  <c r="P19" i="58"/>
  <c r="BN19" i="58"/>
  <c r="BL18" i="52"/>
  <c r="BB43" i="55"/>
  <c r="BA43" i="49"/>
  <c r="AQ66" i="34"/>
  <c r="AW66" i="34" s="1"/>
  <c r="AX65" i="34" s="1"/>
  <c r="AN66" i="39"/>
  <c r="AP66" i="44"/>
  <c r="AV66" i="44" s="1"/>
  <c r="AQ66" i="52"/>
  <c r="AW66" i="52" s="1"/>
  <c r="AN66" i="58"/>
  <c r="AR66" i="58"/>
  <c r="AR65" i="31"/>
  <c r="AS65" i="54"/>
  <c r="AH65" i="35"/>
  <c r="W86" i="47"/>
  <c r="X86" i="47" s="1"/>
  <c r="Y86" i="47" s="1"/>
  <c r="Z86" i="47" s="1"/>
  <c r="AA86" i="47" s="1"/>
  <c r="AB86" i="47" s="1"/>
  <c r="AC86" i="47" s="1"/>
  <c r="AD86" i="47" s="1"/>
  <c r="AP65" i="53"/>
  <c r="AW65" i="53" s="1"/>
  <c r="AS65" i="58"/>
  <c r="AQ65" i="58"/>
  <c r="AN65" i="41"/>
  <c r="AH65" i="36"/>
  <c r="AH65" i="50"/>
  <c r="AQ63" i="32"/>
  <c r="N64" i="34"/>
  <c r="N64" i="36"/>
  <c r="AS64" i="42"/>
  <c r="AU64" i="51"/>
  <c r="N64" i="52"/>
  <c r="AN64" i="54"/>
  <c r="AS64" i="58"/>
  <c r="BG40" i="39"/>
  <c r="BJ40" i="41"/>
  <c r="C40" i="49"/>
  <c r="D40" i="49" s="1"/>
  <c r="E40" i="49" s="1"/>
  <c r="F40" i="49" s="1"/>
  <c r="G40" i="49" s="1"/>
  <c r="H40" i="49" s="1"/>
  <c r="I40" i="49" s="1"/>
  <c r="J40" i="49" s="1"/>
  <c r="K40" i="49" s="1"/>
  <c r="L40" i="49" s="1"/>
  <c r="M40" i="49" s="1"/>
  <c r="N40" i="49" s="1"/>
  <c r="BG40" i="55"/>
  <c r="BN19" i="56"/>
  <c r="AX19" i="40"/>
  <c r="P19" i="46"/>
  <c r="P64" i="36"/>
  <c r="AH65" i="48"/>
  <c r="AX18" i="41"/>
  <c r="AV18" i="41"/>
  <c r="BL18" i="39"/>
  <c r="BN18" i="39"/>
  <c r="BN18" i="45"/>
  <c r="BL18" i="45"/>
  <c r="AP65" i="31"/>
  <c r="N65" i="31"/>
  <c r="C86" i="58"/>
  <c r="D86" i="58" s="1"/>
  <c r="E86" i="58" s="1"/>
  <c r="F86" i="58" s="1"/>
  <c r="G86" i="58" s="1"/>
  <c r="H86" i="58" s="1"/>
  <c r="I86" i="58" s="1"/>
  <c r="J86" i="58" s="1"/>
  <c r="K86" i="58" s="1"/>
  <c r="L86" i="58" s="1"/>
  <c r="M86" i="58" s="1"/>
  <c r="N86" i="58" s="1"/>
  <c r="N65" i="58"/>
  <c r="AJ65" i="58"/>
  <c r="AH65" i="45"/>
  <c r="AK65" i="45"/>
  <c r="AL86" i="45" s="1"/>
  <c r="AM86" i="45" s="1"/>
  <c r="AN86" i="45" s="1"/>
  <c r="AO86" i="45" s="1"/>
  <c r="AP86" i="45" s="1"/>
  <c r="AQ86" i="45" s="1"/>
  <c r="AR86" i="45" s="1"/>
  <c r="AS86" i="45" s="1"/>
  <c r="AF65" i="45"/>
  <c r="AK65" i="36"/>
  <c r="AL86" i="36" s="1"/>
  <c r="AM86" i="36" s="1"/>
  <c r="N65" i="36"/>
  <c r="AL65" i="43"/>
  <c r="AF65" i="43"/>
  <c r="AN65" i="44"/>
  <c r="AF65" i="44"/>
  <c r="N65" i="37"/>
  <c r="AS65" i="37"/>
  <c r="N64" i="40"/>
  <c r="AM64" i="40"/>
  <c r="N64" i="58"/>
  <c r="AO64" i="58"/>
  <c r="G41" i="38"/>
  <c r="H41" i="38" s="1"/>
  <c r="I41" i="38" s="1"/>
  <c r="J41" i="38" s="1"/>
  <c r="K41" i="38" s="1"/>
  <c r="L41" i="38" s="1"/>
  <c r="M41" i="38" s="1"/>
  <c r="N41" i="38" s="1"/>
  <c r="AV18" i="43"/>
  <c r="AX18" i="43"/>
  <c r="AK39" i="51"/>
  <c r="AL39" i="51" s="1"/>
  <c r="AM39" i="51" s="1"/>
  <c r="AN39" i="51" s="1"/>
  <c r="AO39" i="51" s="1"/>
  <c r="AP39" i="51" s="1"/>
  <c r="AQ39" i="51" s="1"/>
  <c r="AR39" i="51" s="1"/>
  <c r="AS39" i="51" s="1"/>
  <c r="AT39" i="51" s="1"/>
  <c r="AU39" i="51" s="1"/>
  <c r="AV39" i="51" s="1"/>
  <c r="C86" i="42"/>
  <c r="D86" i="42" s="1"/>
  <c r="E86" i="42" s="1"/>
  <c r="F86" i="42" s="1"/>
  <c r="G86" i="42" s="1"/>
  <c r="H86" i="42" s="1"/>
  <c r="I86" i="42" s="1"/>
  <c r="J86" i="42" s="1"/>
  <c r="K86" i="42" s="1"/>
  <c r="L86" i="42" s="1"/>
  <c r="M86" i="42" s="1"/>
  <c r="N86" i="42" s="1"/>
  <c r="N65" i="42"/>
  <c r="AJ65" i="42"/>
  <c r="AH65" i="39"/>
  <c r="AR65" i="39"/>
  <c r="N65" i="39"/>
  <c r="AL65" i="39"/>
  <c r="AW65" i="39" s="1"/>
  <c r="N65" i="54"/>
  <c r="AP65" i="54"/>
  <c r="AO65" i="46"/>
  <c r="AF65" i="46"/>
  <c r="AF65" i="58"/>
  <c r="AP65" i="58"/>
  <c r="AL63" i="32"/>
  <c r="AV63" i="32" s="1"/>
  <c r="N63" i="32"/>
  <c r="N64" i="43"/>
  <c r="C85" i="43"/>
  <c r="D85" i="43" s="1"/>
  <c r="E85" i="43" s="1"/>
  <c r="F85" i="43" s="1"/>
  <c r="G85" i="43" s="1"/>
  <c r="H85" i="43" s="1"/>
  <c r="I85" i="43" s="1"/>
  <c r="J85" i="43" s="1"/>
  <c r="K85" i="43" s="1"/>
  <c r="L85" i="43" s="1"/>
  <c r="M85" i="43" s="1"/>
  <c r="N85" i="43" s="1"/>
  <c r="N64" i="46"/>
  <c r="AJ64" i="46"/>
  <c r="C85" i="46"/>
  <c r="D85" i="46" s="1"/>
  <c r="E85" i="46" s="1"/>
  <c r="F85" i="46" s="1"/>
  <c r="G85" i="46" s="1"/>
  <c r="H85" i="46" s="1"/>
  <c r="I85" i="46" s="1"/>
  <c r="J85" i="46" s="1"/>
  <c r="K85" i="46" s="1"/>
  <c r="L85" i="46" s="1"/>
  <c r="M85" i="46" s="1"/>
  <c r="N85" i="46" s="1"/>
  <c r="P19" i="32"/>
  <c r="G41" i="51"/>
  <c r="H41" i="51" s="1"/>
  <c r="I41" i="51" s="1"/>
  <c r="J41" i="51" s="1"/>
  <c r="K41" i="51" s="1"/>
  <c r="L41" i="51" s="1"/>
  <c r="M41" i="51" s="1"/>
  <c r="N41" i="51" s="1"/>
  <c r="AX18" i="36"/>
  <c r="AV18" i="36"/>
  <c r="AV18" i="44"/>
  <c r="AX18" i="44"/>
  <c r="AV18" i="49"/>
  <c r="AK39" i="49"/>
  <c r="AL39" i="49" s="1"/>
  <c r="AM39" i="49" s="1"/>
  <c r="AN39" i="49" s="1"/>
  <c r="AO39" i="49" s="1"/>
  <c r="AP39" i="49" s="1"/>
  <c r="AQ39" i="49" s="1"/>
  <c r="AR39" i="49" s="1"/>
  <c r="AS39" i="49" s="1"/>
  <c r="AT39" i="49" s="1"/>
  <c r="AU39" i="49" s="1"/>
  <c r="AV39" i="49" s="1"/>
  <c r="BL18" i="41"/>
  <c r="BN18" i="41"/>
  <c r="BL18" i="57"/>
  <c r="U86" i="49"/>
  <c r="V86" i="49" s="1"/>
  <c r="W86" i="49" s="1"/>
  <c r="X86" i="49" s="1"/>
  <c r="Y86" i="49" s="1"/>
  <c r="Z86" i="49" s="1"/>
  <c r="AA86" i="49" s="1"/>
  <c r="AB86" i="49" s="1"/>
  <c r="AC86" i="49" s="1"/>
  <c r="AD86" i="49" s="1"/>
  <c r="AE86" i="49" s="1"/>
  <c r="AF86" i="49" s="1"/>
  <c r="AF65" i="49"/>
  <c r="AJ65" i="49"/>
  <c r="C86" i="45"/>
  <c r="D86" i="45" s="1"/>
  <c r="E86" i="45" s="1"/>
  <c r="F86" i="45" s="1"/>
  <c r="G86" i="45" s="1"/>
  <c r="H86" i="45" s="1"/>
  <c r="I86" i="45" s="1"/>
  <c r="J86" i="45" s="1"/>
  <c r="K86" i="45" s="1"/>
  <c r="L86" i="45" s="1"/>
  <c r="M86" i="45" s="1"/>
  <c r="N86" i="45" s="1"/>
  <c r="N65" i="45"/>
  <c r="AF65" i="51"/>
  <c r="AQ65" i="51"/>
  <c r="AH65" i="57"/>
  <c r="AL65" i="57"/>
  <c r="AF65" i="57"/>
  <c r="AO65" i="37"/>
  <c r="AP86" i="37" s="1"/>
  <c r="AQ86" i="37" s="1"/>
  <c r="AH65" i="37"/>
  <c r="N65" i="43"/>
  <c r="AK65" i="43"/>
  <c r="AW65" i="43" s="1"/>
  <c r="AE86" i="47"/>
  <c r="AF86" i="47" s="1"/>
  <c r="N65" i="34"/>
  <c r="AP65" i="34"/>
  <c r="N65" i="33"/>
  <c r="AK65" i="33"/>
  <c r="AW65" i="33" s="1"/>
  <c r="N64" i="35"/>
  <c r="AK64" i="44"/>
  <c r="AL85" i="44" s="1"/>
  <c r="AM85" i="44" s="1"/>
  <c r="AN85" i="44" s="1"/>
  <c r="N64" i="44"/>
  <c r="P64" i="45"/>
  <c r="N64" i="45"/>
  <c r="AU64" i="47"/>
  <c r="N64" i="47"/>
  <c r="N64" i="48"/>
  <c r="AJ64" i="54"/>
  <c r="N64" i="54"/>
  <c r="C85" i="54"/>
  <c r="D85" i="54" s="1"/>
  <c r="E85" i="54" s="1"/>
  <c r="F85" i="54" s="1"/>
  <c r="G85" i="54" s="1"/>
  <c r="H85" i="54" s="1"/>
  <c r="I85" i="54" s="1"/>
  <c r="J85" i="54" s="1"/>
  <c r="K85" i="54" s="1"/>
  <c r="L85" i="54" s="1"/>
  <c r="M85" i="54" s="1"/>
  <c r="N85" i="54" s="1"/>
  <c r="AV66" i="41"/>
  <c r="AV18" i="45"/>
  <c r="AH65" i="31"/>
  <c r="AM65" i="31"/>
  <c r="AW65" i="31" s="1"/>
  <c r="AO65" i="34"/>
  <c r="AF65" i="34"/>
  <c r="AJ65" i="52"/>
  <c r="C86" i="52"/>
  <c r="D86" i="52" s="1"/>
  <c r="E86" i="52" s="1"/>
  <c r="AN64" i="32"/>
  <c r="AW64" i="32" s="1"/>
  <c r="AF64" i="32"/>
  <c r="AH64" i="32"/>
  <c r="N65" i="48"/>
  <c r="P65" i="48"/>
  <c r="AP65" i="48"/>
  <c r="AW65" i="48" s="1"/>
  <c r="N65" i="53"/>
  <c r="AS65" i="53"/>
  <c r="AM65" i="44"/>
  <c r="N65" i="44"/>
  <c r="N65" i="40"/>
  <c r="N64" i="33"/>
  <c r="AP64" i="33"/>
  <c r="AM64" i="42"/>
  <c r="N64" i="42"/>
  <c r="N65" i="56"/>
  <c r="N64" i="31"/>
  <c r="AN64" i="31"/>
  <c r="AB86" i="51"/>
  <c r="AC86" i="51" s="1"/>
  <c r="AD86" i="51" s="1"/>
  <c r="AE86" i="51" s="1"/>
  <c r="AF86" i="51" s="1"/>
  <c r="Z86" i="46"/>
  <c r="AA86" i="46" s="1"/>
  <c r="AB86" i="46" s="1"/>
  <c r="AC86" i="46" s="1"/>
  <c r="AD86" i="46" s="1"/>
  <c r="AE86" i="46" s="1"/>
  <c r="AF86" i="46" s="1"/>
  <c r="AQ39" i="33"/>
  <c r="AR39" i="33" s="1"/>
  <c r="AS39" i="33" s="1"/>
  <c r="AT39" i="33" s="1"/>
  <c r="AU39" i="33" s="1"/>
  <c r="AV39" i="33" s="1"/>
  <c r="AS39" i="39"/>
  <c r="AT39" i="39" s="1"/>
  <c r="AU39" i="39" s="1"/>
  <c r="AV39" i="39" s="1"/>
  <c r="AL86" i="33"/>
  <c r="AM86" i="33" s="1"/>
  <c r="AN86" i="33" s="1"/>
  <c r="AO86" i="33" s="1"/>
  <c r="AP86" i="33" s="1"/>
  <c r="AQ86" i="33" s="1"/>
  <c r="AR86" i="33" s="1"/>
  <c r="AS86" i="33" s="1"/>
  <c r="AT86" i="33" s="1"/>
  <c r="AU86" i="33" s="1"/>
  <c r="AV86" i="33" s="1"/>
  <c r="L86" i="37"/>
  <c r="M86" i="37" s="1"/>
  <c r="N86" i="37" s="1"/>
  <c r="D85" i="44"/>
  <c r="E85" i="44" s="1"/>
  <c r="F85" i="44" s="1"/>
  <c r="G85" i="44" s="1"/>
  <c r="H85" i="44" s="1"/>
  <c r="I85" i="44" s="1"/>
  <c r="J85" i="44" s="1"/>
  <c r="K85" i="44" s="1"/>
  <c r="L85" i="44" s="1"/>
  <c r="M85" i="44" s="1"/>
  <c r="N85" i="44" s="1"/>
  <c r="I85" i="45"/>
  <c r="J85" i="45" s="1"/>
  <c r="K85" i="45" s="1"/>
  <c r="L85" i="45" s="1"/>
  <c r="M85" i="45" s="1"/>
  <c r="N85" i="45" s="1"/>
  <c r="N85" i="47"/>
  <c r="F86" i="44"/>
  <c r="G86" i="44" s="1"/>
  <c r="H86" i="44" s="1"/>
  <c r="I86" i="44" s="1"/>
  <c r="J86" i="44" s="1"/>
  <c r="K86" i="44" s="1"/>
  <c r="L86" i="44" s="1"/>
  <c r="M86" i="44" s="1"/>
  <c r="N86" i="44" s="1"/>
  <c r="AR39" i="55"/>
  <c r="AS39" i="55" s="1"/>
  <c r="AT39" i="55" s="1"/>
  <c r="AU39" i="55" s="1"/>
  <c r="AV39" i="55" s="1"/>
  <c r="K86" i="55"/>
  <c r="D86" i="43"/>
  <c r="E86" i="43" s="1"/>
  <c r="F86" i="43" s="1"/>
  <c r="G86" i="43" s="1"/>
  <c r="H86" i="43" s="1"/>
  <c r="I86" i="43" s="1"/>
  <c r="J86" i="43" s="1"/>
  <c r="K86" i="43" s="1"/>
  <c r="L86" i="43" s="1"/>
  <c r="M86" i="43" s="1"/>
  <c r="N86" i="43" s="1"/>
  <c r="I86" i="54"/>
  <c r="J86" i="54" s="1"/>
  <c r="K86" i="54" s="1"/>
  <c r="L86" i="54" s="1"/>
  <c r="M86" i="54" s="1"/>
  <c r="N86" i="54" s="1"/>
  <c r="AP65" i="52"/>
  <c r="AS65" i="48"/>
  <c r="AM65" i="50"/>
  <c r="AS65" i="50"/>
  <c r="N39" i="50"/>
  <c r="D41" i="58"/>
  <c r="E41" i="58" s="1"/>
  <c r="E41" i="39"/>
  <c r="F41" i="39" s="1"/>
  <c r="G41" i="39" s="1"/>
  <c r="H41" i="39" s="1"/>
  <c r="I41" i="39" s="1"/>
  <c r="J41" i="39" s="1"/>
  <c r="I86" i="34"/>
  <c r="J86" i="34" s="1"/>
  <c r="K86" i="34" s="1"/>
  <c r="L86" i="34" s="1"/>
  <c r="M86" i="34" s="1"/>
  <c r="N86" i="34" s="1"/>
  <c r="W86" i="57"/>
  <c r="X86" i="57" s="1"/>
  <c r="Y86" i="57" s="1"/>
  <c r="Z86" i="57" s="1"/>
  <c r="AA86" i="57" s="1"/>
  <c r="AB86" i="57" s="1"/>
  <c r="AC86" i="57" s="1"/>
  <c r="AD86" i="57" s="1"/>
  <c r="AE86" i="57" s="1"/>
  <c r="AF86" i="57" s="1"/>
  <c r="AO39" i="50"/>
  <c r="AP39" i="50" s="1"/>
  <c r="AQ39" i="50" s="1"/>
  <c r="AR39" i="50" s="1"/>
  <c r="AS39" i="50" s="1"/>
  <c r="AT39" i="50" s="1"/>
  <c r="AU39" i="50" s="1"/>
  <c r="AV39" i="50" s="1"/>
  <c r="I86" i="48"/>
  <c r="J86" i="48" s="1"/>
  <c r="K86" i="48" s="1"/>
  <c r="L86" i="48" s="1"/>
  <c r="M86" i="48" s="1"/>
  <c r="N86" i="48" s="1"/>
  <c r="AM65" i="57"/>
  <c r="L86" i="53"/>
  <c r="M86" i="53" s="1"/>
  <c r="N86" i="53" s="1"/>
  <c r="AX18" i="38"/>
  <c r="AS65" i="36"/>
  <c r="AQ39" i="34"/>
  <c r="AR39" i="34" s="1"/>
  <c r="AS39" i="34" s="1"/>
  <c r="AT39" i="34" s="1"/>
  <c r="AU39" i="34" s="1"/>
  <c r="AV39" i="34" s="1"/>
  <c r="AU39" i="38"/>
  <c r="AV39" i="38" s="1"/>
  <c r="AA86" i="50"/>
  <c r="AB86" i="50" s="1"/>
  <c r="AC86" i="50" s="1"/>
  <c r="AD86" i="50" s="1"/>
  <c r="AE86" i="50" s="1"/>
  <c r="AF86" i="50" s="1"/>
  <c r="Y86" i="44"/>
  <c r="Z86" i="44" s="1"/>
  <c r="AA86" i="44" s="1"/>
  <c r="AB86" i="44" s="1"/>
  <c r="AC86" i="44" s="1"/>
  <c r="AD86" i="44" s="1"/>
  <c r="AE86" i="44" s="1"/>
  <c r="AF86" i="44" s="1"/>
  <c r="Y85" i="32"/>
  <c r="Z85" i="32" s="1"/>
  <c r="AA85" i="32" s="1"/>
  <c r="AB85" i="32" s="1"/>
  <c r="AC85" i="32" s="1"/>
  <c r="AD85" i="32" s="1"/>
  <c r="AE85" i="32" s="1"/>
  <c r="AF85" i="32" s="1"/>
  <c r="V86" i="45"/>
  <c r="W86" i="45" s="1"/>
  <c r="X86" i="45" s="1"/>
  <c r="Y86" i="45" s="1"/>
  <c r="Z86" i="45" s="1"/>
  <c r="AA86" i="45" s="1"/>
  <c r="AB86" i="45" s="1"/>
  <c r="AC86" i="45" s="1"/>
  <c r="AD86" i="45" s="1"/>
  <c r="AE86" i="45" s="1"/>
  <c r="AF86" i="45" s="1"/>
  <c r="AS39" i="40"/>
  <c r="AT39" i="40" s="1"/>
  <c r="AU39" i="40" s="1"/>
  <c r="AV39" i="40" s="1"/>
  <c r="G85" i="36"/>
  <c r="H85" i="36" s="1"/>
  <c r="I85" i="36" s="1"/>
  <c r="J85" i="36" s="1"/>
  <c r="K85" i="36" s="1"/>
  <c r="L85" i="36" s="1"/>
  <c r="M85" i="36" s="1"/>
  <c r="N85" i="36" s="1"/>
  <c r="I85" i="33"/>
  <c r="J85" i="33" s="1"/>
  <c r="K85" i="33" s="1"/>
  <c r="L85" i="33" s="1"/>
  <c r="M85" i="33" s="1"/>
  <c r="N85" i="33" s="1"/>
  <c r="AP64" i="45"/>
  <c r="AL87" i="37"/>
  <c r="AM87" i="37" s="1"/>
  <c r="AN87" i="37" s="1"/>
  <c r="AO87" i="37" s="1"/>
  <c r="AP87" i="37" s="1"/>
  <c r="AQ87" i="37" s="1"/>
  <c r="AR87" i="37" s="1"/>
  <c r="AS87" i="37" s="1"/>
  <c r="AT87" i="37" s="1"/>
  <c r="AU87" i="37" s="1"/>
  <c r="AV87" i="37" s="1"/>
  <c r="F85" i="42"/>
  <c r="G85" i="42" s="1"/>
  <c r="H85" i="42" s="1"/>
  <c r="I85" i="42" s="1"/>
  <c r="J85" i="42" s="1"/>
  <c r="K85" i="42" s="1"/>
  <c r="L85" i="42" s="1"/>
  <c r="M85" i="42" s="1"/>
  <c r="N85" i="42" s="1"/>
  <c r="X86" i="31"/>
  <c r="Y86" i="31" s="1"/>
  <c r="Z86" i="31" s="1"/>
  <c r="AA86" i="31" s="1"/>
  <c r="AB86" i="31" s="1"/>
  <c r="AC86" i="31" s="1"/>
  <c r="AD86" i="31" s="1"/>
  <c r="AE86" i="31" s="1"/>
  <c r="AF86" i="31" s="1"/>
  <c r="AV18" i="50"/>
  <c r="AV18" i="51"/>
  <c r="Z86" i="34"/>
  <c r="AP65" i="50"/>
  <c r="AQ65" i="49"/>
  <c r="BN18" i="57"/>
  <c r="J41" i="45"/>
  <c r="K41" i="45" s="1"/>
  <c r="L41" i="45" s="1"/>
  <c r="M41" i="45" s="1"/>
  <c r="N41" i="45" s="1"/>
  <c r="AV66" i="55"/>
  <c r="AF65" i="36"/>
  <c r="AM39" i="45"/>
  <c r="AN39" i="45" s="1"/>
  <c r="AO39" i="45" s="1"/>
  <c r="AP39" i="45" s="1"/>
  <c r="AQ39" i="45" s="1"/>
  <c r="AR39" i="45" s="1"/>
  <c r="AS39" i="45" s="1"/>
  <c r="AT39" i="45" s="1"/>
  <c r="AU39" i="45" s="1"/>
  <c r="AV39" i="45" s="1"/>
  <c r="N39" i="52"/>
  <c r="AA86" i="58"/>
  <c r="AB86" i="58" s="1"/>
  <c r="AC86" i="58" s="1"/>
  <c r="AD86" i="58" s="1"/>
  <c r="AE86" i="58" s="1"/>
  <c r="AF86" i="58" s="1"/>
  <c r="I85" i="35"/>
  <c r="J85" i="35" s="1"/>
  <c r="K85" i="35" s="1"/>
  <c r="L85" i="35" s="1"/>
  <c r="M85" i="35" s="1"/>
  <c r="N85" i="35" s="1"/>
  <c r="D86" i="41"/>
  <c r="D86" i="36"/>
  <c r="E86" i="36" s="1"/>
  <c r="F86" i="36" s="1"/>
  <c r="G86" i="36" s="1"/>
  <c r="H86" i="36" s="1"/>
  <c r="I86" i="36" s="1"/>
  <c r="J86" i="36" s="1"/>
  <c r="K86" i="36" s="1"/>
  <c r="L86" i="36" s="1"/>
  <c r="M86" i="36" s="1"/>
  <c r="N86" i="36" s="1"/>
  <c r="AC86" i="39"/>
  <c r="AD86" i="39" s="1"/>
  <c r="AE86" i="39" s="1"/>
  <c r="AF86" i="39" s="1"/>
  <c r="H86" i="40"/>
  <c r="I86" i="40" s="1"/>
  <c r="J86" i="40" s="1"/>
  <c r="K86" i="40" s="1"/>
  <c r="L86" i="40" s="1"/>
  <c r="M86" i="40" s="1"/>
  <c r="N86" i="40" s="1"/>
  <c r="E84" i="32"/>
  <c r="F84" i="32" s="1"/>
  <c r="G84" i="32" s="1"/>
  <c r="H84" i="32" s="1"/>
  <c r="I84" i="32" s="1"/>
  <c r="J84" i="32" s="1"/>
  <c r="K84" i="32" s="1"/>
  <c r="L84" i="32" s="1"/>
  <c r="M84" i="32" s="1"/>
  <c r="N84" i="32" s="1"/>
  <c r="D86" i="33"/>
  <c r="E86" i="33" s="1"/>
  <c r="F86" i="33" s="1"/>
  <c r="G86" i="33" s="1"/>
  <c r="H86" i="33" s="1"/>
  <c r="I86" i="33" s="1"/>
  <c r="J86" i="33" s="1"/>
  <c r="K86" i="33" s="1"/>
  <c r="L86" i="33" s="1"/>
  <c r="M86" i="33" s="1"/>
  <c r="N86" i="33" s="1"/>
  <c r="AU63" i="3"/>
  <c r="AQ64" i="32"/>
  <c r="AL65" i="42"/>
  <c r="AK66" i="46"/>
  <c r="AV66" i="46" s="1"/>
  <c r="AM65" i="36"/>
  <c r="AU65" i="36"/>
  <c r="AV66" i="51"/>
  <c r="AV66" i="31"/>
  <c r="AL86" i="38"/>
  <c r="AM86" i="38" s="1"/>
  <c r="AM66" i="33"/>
  <c r="AW66" i="33" s="1"/>
  <c r="B14" i="30"/>
  <c r="B18" i="30"/>
  <c r="B10" i="30"/>
  <c r="B14" i="19"/>
  <c r="B18" i="19"/>
  <c r="B18" i="10"/>
  <c r="B14" i="10"/>
  <c r="B10" i="19"/>
  <c r="G18" i="4"/>
  <c r="G14" i="4"/>
  <c r="B10" i="8"/>
  <c r="B18" i="8"/>
  <c r="B14" i="8"/>
  <c r="B18" i="5"/>
  <c r="B10" i="5"/>
  <c r="B18" i="24"/>
  <c r="B14" i="24"/>
  <c r="B18" i="21"/>
  <c r="B14" i="21"/>
  <c r="B18" i="13"/>
  <c r="B14" i="13"/>
  <c r="B18" i="4"/>
  <c r="B14" i="4"/>
  <c r="B18" i="26"/>
  <c r="B10" i="26"/>
  <c r="B14" i="26"/>
  <c r="B14" i="23"/>
  <c r="B18" i="23"/>
  <c r="B18" i="15"/>
  <c r="B14" i="15"/>
  <c r="F20" i="18"/>
  <c r="F20" i="12"/>
  <c r="B10" i="6"/>
  <c r="B10" i="15"/>
  <c r="B10" i="23"/>
  <c r="B10" i="10"/>
  <c r="B18" i="28"/>
  <c r="B14" i="28"/>
  <c r="B10" i="28"/>
  <c r="B18" i="17"/>
  <c r="B14" i="17"/>
  <c r="B10" i="4"/>
  <c r="B10" i="13"/>
  <c r="B10" i="21"/>
  <c r="K17" i="7"/>
  <c r="K13" i="23"/>
  <c r="F9" i="28"/>
  <c r="F9" i="19"/>
  <c r="F9" i="9"/>
  <c r="B13" i="5"/>
  <c r="B14" i="5" s="1"/>
  <c r="K33" i="3"/>
  <c r="F13" i="20"/>
  <c r="F13" i="4"/>
  <c r="F17" i="18"/>
  <c r="K13" i="28"/>
  <c r="K20" i="21"/>
  <c r="F17" i="30"/>
  <c r="F17" i="26"/>
  <c r="F17" i="22"/>
  <c r="K13" i="12"/>
  <c r="AC31" i="3"/>
  <c r="I13" i="30" s="1"/>
  <c r="AC30" i="3"/>
  <c r="I13" i="29" s="1"/>
  <c r="AC29" i="3"/>
  <c r="I13" i="28" s="1"/>
  <c r="AC27" i="3"/>
  <c r="I13" i="26" s="1"/>
  <c r="AC26" i="3"/>
  <c r="I13" i="25" s="1"/>
  <c r="AC25" i="3"/>
  <c r="I13" i="24" s="1"/>
  <c r="AC24" i="3"/>
  <c r="I13" i="23" s="1"/>
  <c r="AC23" i="3"/>
  <c r="I13" i="22" s="1"/>
  <c r="G10" i="28"/>
  <c r="AC22" i="3"/>
  <c r="I13" i="21" s="1"/>
  <c r="AC21" i="3"/>
  <c r="I13" i="20" s="1"/>
  <c r="V5" i="3"/>
  <c r="J20" i="2" s="1"/>
  <c r="G10" i="22"/>
  <c r="AG6" i="3"/>
  <c r="I17" i="4" s="1"/>
  <c r="AG31" i="3"/>
  <c r="I17" i="30" s="1"/>
  <c r="AG29" i="3"/>
  <c r="I17" i="28" s="1"/>
  <c r="AC28" i="3"/>
  <c r="I13" i="27" s="1"/>
  <c r="AG26" i="3"/>
  <c r="I17" i="25" s="1"/>
  <c r="AG24" i="3"/>
  <c r="I17" i="23" s="1"/>
  <c r="AG22" i="3"/>
  <c r="I17" i="21" s="1"/>
  <c r="X5" i="3"/>
  <c r="H9" i="2" s="1"/>
  <c r="Y6" i="3"/>
  <c r="I9" i="4" s="1"/>
  <c r="Z15" i="3"/>
  <c r="V16" i="3"/>
  <c r="J20" i="15" s="1"/>
  <c r="K20" i="15" s="1"/>
  <c r="T8" i="3"/>
  <c r="H20" i="6" s="1"/>
  <c r="K20" i="6" s="1"/>
  <c r="U8" i="3"/>
  <c r="I20" i="6" s="1"/>
  <c r="T5" i="3"/>
  <c r="H20" i="2" s="1"/>
  <c r="G14" i="10"/>
  <c r="U14" i="3"/>
  <c r="I20" i="13" s="1"/>
  <c r="S14" i="3"/>
  <c r="S5" i="3"/>
  <c r="G20" i="2" s="1"/>
  <c r="W5" i="3"/>
  <c r="G9" i="2" s="1"/>
  <c r="W14" i="3"/>
  <c r="Y14" i="3"/>
  <c r="I9" i="13" s="1"/>
  <c r="Y21" i="3"/>
  <c r="I9" i="20" s="1"/>
  <c r="W21" i="3"/>
  <c r="G9" i="20" s="1"/>
  <c r="G10" i="20" s="1"/>
  <c r="W27" i="3"/>
  <c r="G9" i="26" s="1"/>
  <c r="G10" i="26" s="1"/>
  <c r="Y27" i="3"/>
  <c r="I9" i="26" s="1"/>
  <c r="S16" i="3"/>
  <c r="G20" i="15" s="1"/>
  <c r="U16" i="3"/>
  <c r="I20" i="15" s="1"/>
  <c r="Y18" i="3"/>
  <c r="I9" i="17" s="1"/>
  <c r="X18" i="3"/>
  <c r="H9" i="17" s="1"/>
  <c r="K9" i="17" s="1"/>
  <c r="W19" i="3"/>
  <c r="G9" i="18" s="1"/>
  <c r="G10" i="18" s="1"/>
  <c r="Y19" i="3"/>
  <c r="I9" i="18" s="1"/>
  <c r="AD8" i="3"/>
  <c r="AD5" i="3"/>
  <c r="J13" i="2" s="1"/>
  <c r="V9" i="3"/>
  <c r="J20" i="7" s="1"/>
  <c r="K20" i="7" s="1"/>
  <c r="V13" i="3"/>
  <c r="J20" i="12" s="1"/>
  <c r="K20" i="12" s="1"/>
  <c r="T15" i="3"/>
  <c r="H20" i="14" s="1"/>
  <c r="K20" i="14" s="1"/>
  <c r="V21" i="3"/>
  <c r="J20" i="20" s="1"/>
  <c r="K20" i="20" s="1"/>
  <c r="K9" i="30"/>
  <c r="G18" i="25"/>
  <c r="K13" i="5"/>
  <c r="K9" i="26"/>
  <c r="K9" i="20"/>
  <c r="K9" i="13"/>
  <c r="G14" i="28"/>
  <c r="G18" i="23"/>
  <c r="G10" i="21"/>
  <c r="F20" i="2"/>
  <c r="K13" i="7"/>
  <c r="G10" i="25"/>
  <c r="K20" i="9"/>
  <c r="G14" i="25"/>
  <c r="G14" i="23"/>
  <c r="K20" i="8"/>
  <c r="F20" i="24"/>
  <c r="F20" i="9"/>
  <c r="AE20" i="3"/>
  <c r="G17" i="19" s="1"/>
  <c r="G18" i="19" s="1"/>
  <c r="K20" i="23"/>
  <c r="K13" i="4"/>
  <c r="K13" i="17"/>
  <c r="K9" i="19"/>
  <c r="K20" i="17"/>
  <c r="G10" i="9"/>
  <c r="P19" i="39"/>
  <c r="K9" i="24"/>
  <c r="K20" i="11"/>
  <c r="N18" i="31"/>
  <c r="P19" i="33"/>
  <c r="K20" i="19"/>
  <c r="K13" i="26"/>
  <c r="K13" i="29"/>
  <c r="K17" i="23"/>
  <c r="G10" i="4"/>
  <c r="K17" i="5"/>
  <c r="K13" i="25"/>
  <c r="K9" i="23"/>
  <c r="AH65" i="52"/>
  <c r="AH65" i="46"/>
  <c r="E41" i="56"/>
  <c r="F41" i="56" s="1"/>
  <c r="G41" i="56" s="1"/>
  <c r="H41" i="56" s="1"/>
  <c r="I41" i="56" s="1"/>
  <c r="J41" i="56" s="1"/>
  <c r="K41" i="56" s="1"/>
  <c r="L41" i="56" s="1"/>
  <c r="M41" i="56" s="1"/>
  <c r="N41" i="56" s="1"/>
  <c r="D41" i="43"/>
  <c r="E41" i="43" s="1"/>
  <c r="F41" i="43" s="1"/>
  <c r="G41" i="43" s="1"/>
  <c r="H41" i="43" s="1"/>
  <c r="I41" i="43" s="1"/>
  <c r="J41" i="43" s="1"/>
  <c r="K41" i="43" s="1"/>
  <c r="L41" i="43" s="1"/>
  <c r="M41" i="43" s="1"/>
  <c r="N41" i="43" s="1"/>
  <c r="K20" i="16"/>
  <c r="G10" i="24"/>
  <c r="F20" i="16"/>
  <c r="B10" i="24"/>
  <c r="AK18" i="58"/>
  <c r="AL39" i="58" s="1"/>
  <c r="AM39" i="58" s="1"/>
  <c r="AN39" i="58" s="1"/>
  <c r="AO39" i="58" s="1"/>
  <c r="AP39" i="58" s="1"/>
  <c r="AQ39" i="58" s="1"/>
  <c r="AR39" i="58" s="1"/>
  <c r="AS39" i="58" s="1"/>
  <c r="AT39" i="58" s="1"/>
  <c r="AU39" i="58" s="1"/>
  <c r="AV39" i="58" s="1"/>
  <c r="AU98" i="3"/>
  <c r="BH18" i="34"/>
  <c r="AQ104" i="3"/>
  <c r="BH18" i="31" s="1"/>
  <c r="AZ18" i="36"/>
  <c r="BM18" i="36" s="1"/>
  <c r="AU109" i="3"/>
  <c r="BA18" i="37"/>
  <c r="BM18" i="37" s="1"/>
  <c r="AJ104" i="3"/>
  <c r="BA18" i="31" s="1"/>
  <c r="BI18" i="40"/>
  <c r="BM18" i="40" s="1"/>
  <c r="AR104" i="3"/>
  <c r="BI18" i="31" s="1"/>
  <c r="AU112" i="3"/>
  <c r="BA18" i="42"/>
  <c r="BM18" i="42" s="1"/>
  <c r="AU114" i="3"/>
  <c r="AZ18" i="51"/>
  <c r="BM18" i="51" s="1"/>
  <c r="AU123" i="3"/>
  <c r="BI18" i="58"/>
  <c r="BM18" i="58" s="1"/>
  <c r="AU130" i="3"/>
  <c r="G18" i="28"/>
  <c r="K20" i="24"/>
  <c r="K17" i="21"/>
  <c r="K9" i="25"/>
  <c r="U29" i="3"/>
  <c r="I20" i="28" s="1"/>
  <c r="AX18" i="35"/>
  <c r="AX18" i="51"/>
  <c r="D41" i="47"/>
  <c r="E41" i="47" s="1"/>
  <c r="F41" i="47" s="1"/>
  <c r="G41" i="47" s="1"/>
  <c r="H41" i="47" s="1"/>
  <c r="I41" i="47" s="1"/>
  <c r="J41" i="47" s="1"/>
  <c r="K41" i="47" s="1"/>
  <c r="L41" i="47" s="1"/>
  <c r="M41" i="47" s="1"/>
  <c r="N41" i="47" s="1"/>
  <c r="F20" i="25"/>
  <c r="F20" i="21"/>
  <c r="F20" i="15"/>
  <c r="F20" i="6"/>
  <c r="H20" i="4"/>
  <c r="K20" i="4" s="1"/>
  <c r="K17" i="9"/>
  <c r="P19" i="44"/>
  <c r="G14" i="24"/>
  <c r="AX18" i="32"/>
  <c r="AX18" i="34"/>
  <c r="D41" i="37"/>
  <c r="E41" i="37" s="1"/>
  <c r="F41" i="37" s="1"/>
  <c r="G41" i="37" s="1"/>
  <c r="H41" i="37" s="1"/>
  <c r="I41" i="37" s="1"/>
  <c r="J41" i="37" s="1"/>
  <c r="K41" i="37" s="1"/>
  <c r="L41" i="37" s="1"/>
  <c r="M41" i="37" s="1"/>
  <c r="N41" i="37" s="1"/>
  <c r="D41" i="42"/>
  <c r="E41" i="42" s="1"/>
  <c r="F41" i="42" s="1"/>
  <c r="G41" i="42" s="1"/>
  <c r="H41" i="42" s="1"/>
  <c r="I41" i="42" s="1"/>
  <c r="J41" i="42" s="1"/>
  <c r="K41" i="42" s="1"/>
  <c r="L41" i="42" s="1"/>
  <c r="M41" i="42" s="1"/>
  <c r="N41" i="42" s="1"/>
  <c r="AK18" i="57"/>
  <c r="AL39" i="57" s="1"/>
  <c r="AM39" i="57" s="1"/>
  <c r="AN39" i="57" s="1"/>
  <c r="AO39" i="57" s="1"/>
  <c r="AP39" i="57" s="1"/>
  <c r="AQ39" i="57" s="1"/>
  <c r="AR39" i="57" s="1"/>
  <c r="AS39" i="57" s="1"/>
  <c r="AT39" i="57" s="1"/>
  <c r="AU39" i="57" s="1"/>
  <c r="AV39" i="57" s="1"/>
  <c r="AU97" i="3"/>
  <c r="AU110" i="3"/>
  <c r="K13" i="8"/>
  <c r="K17" i="8"/>
  <c r="K9" i="27"/>
  <c r="K17" i="30"/>
  <c r="K9" i="10"/>
  <c r="AG27" i="3"/>
  <c r="I17" i="26" s="1"/>
  <c r="G41" i="41"/>
  <c r="H41" i="41" s="1"/>
  <c r="I41" i="41" s="1"/>
  <c r="J41" i="41" s="1"/>
  <c r="K41" i="41" s="1"/>
  <c r="L41" i="41" s="1"/>
  <c r="M41" i="41" s="1"/>
  <c r="N41" i="41" s="1"/>
  <c r="AM87" i="40"/>
  <c r="AN87" i="40" s="1"/>
  <c r="AO87" i="40" s="1"/>
  <c r="AP87" i="40" s="1"/>
  <c r="AQ87" i="40" s="1"/>
  <c r="AR87" i="40" s="1"/>
  <c r="AS87" i="40" s="1"/>
  <c r="AT87" i="40" s="1"/>
  <c r="AU87" i="40" s="1"/>
  <c r="AV87" i="40" s="1"/>
  <c r="AU40" i="3"/>
  <c r="D41" i="50"/>
  <c r="E41" i="50" s="1"/>
  <c r="F41" i="50" s="1"/>
  <c r="G41" i="50" s="1"/>
  <c r="H41" i="50" s="1"/>
  <c r="I41" i="50" s="1"/>
  <c r="J41" i="50" s="1"/>
  <c r="K41" i="50" s="1"/>
  <c r="L41" i="50" s="1"/>
  <c r="M41" i="50" s="1"/>
  <c r="N41" i="50" s="1"/>
  <c r="K20" i="10"/>
  <c r="F20" i="5"/>
  <c r="AS18" i="54"/>
  <c r="AW18" i="54" s="1"/>
  <c r="AU94" i="3"/>
  <c r="C65" i="49"/>
  <c r="D86" i="49" s="1"/>
  <c r="E86" i="49" s="1"/>
  <c r="F86" i="49" s="1"/>
  <c r="G86" i="49" s="1"/>
  <c r="H86" i="49" s="1"/>
  <c r="I86" i="49" s="1"/>
  <c r="J86" i="49" s="1"/>
  <c r="K86" i="49" s="1"/>
  <c r="L86" i="49" s="1"/>
  <c r="M86" i="49" s="1"/>
  <c r="N86" i="49" s="1"/>
  <c r="AE185" i="3"/>
  <c r="D65" i="41"/>
  <c r="O65" i="41" s="1"/>
  <c r="AE177" i="3"/>
  <c r="K65" i="55"/>
  <c r="O65" i="55" s="1"/>
  <c r="P65" i="55" s="1"/>
  <c r="AE191" i="3"/>
  <c r="BE18" i="34"/>
  <c r="AN104" i="3"/>
  <c r="BE18" i="31" s="1"/>
  <c r="AZ18" i="43"/>
  <c r="BM18" i="43" s="1"/>
  <c r="AU115" i="3"/>
  <c r="B65" i="50"/>
  <c r="O65" i="50" s="1"/>
  <c r="AE186" i="3"/>
  <c r="AZ18" i="34"/>
  <c r="BM18" i="34" s="1"/>
  <c r="AU107" i="3"/>
  <c r="AU65" i="58"/>
  <c r="AV65" i="58" s="1"/>
  <c r="B14" i="6"/>
  <c r="AU52" i="3"/>
  <c r="AU125" i="3"/>
  <c r="AU108" i="3"/>
  <c r="BD18" i="33"/>
  <c r="BM18" i="33" s="1"/>
  <c r="AM104" i="3"/>
  <c r="BD18" i="31" s="1"/>
  <c r="AZ18" i="55"/>
  <c r="BM18" i="55" s="1"/>
  <c r="AU127" i="3"/>
  <c r="BA43" i="38"/>
  <c r="AZ39" i="38"/>
  <c r="BB43" i="49"/>
  <c r="BA43" i="41"/>
  <c r="P65" i="33"/>
  <c r="BB43" i="36"/>
  <c r="B65" i="57"/>
  <c r="O65" i="57" s="1"/>
  <c r="B65" i="35"/>
  <c r="AE172" i="3"/>
  <c r="AE189" i="3"/>
  <c r="AQ65" i="40"/>
  <c r="AW65" i="40" s="1"/>
  <c r="W65" i="38"/>
  <c r="X86" i="38" s="1"/>
  <c r="Y86" i="38" s="1"/>
  <c r="Z86" i="38" s="1"/>
  <c r="AA86" i="38" s="1"/>
  <c r="AB86" i="38" s="1"/>
  <c r="AC86" i="38" s="1"/>
  <c r="AD86" i="38" s="1"/>
  <c r="AE86" i="38" s="1"/>
  <c r="AF86" i="38" s="1"/>
  <c r="AE227" i="3"/>
  <c r="E65" i="52"/>
  <c r="N65" i="52" s="1"/>
  <c r="AE188" i="3"/>
  <c r="BB43" i="45"/>
  <c r="B65" i="47"/>
  <c r="O65" i="47" s="1"/>
  <c r="AE183" i="3"/>
  <c r="P65" i="54"/>
  <c r="D85" i="32"/>
  <c r="E85" i="32" s="1"/>
  <c r="F85" i="32" s="1"/>
  <c r="G85" i="32" s="1"/>
  <c r="H85" i="32" s="1"/>
  <c r="I85" i="32" s="1"/>
  <c r="J85" i="32" s="1"/>
  <c r="K85" i="32" s="1"/>
  <c r="L85" i="32" s="1"/>
  <c r="M85" i="32" s="1"/>
  <c r="N85" i="32" s="1"/>
  <c r="AN65" i="36"/>
  <c r="AR65" i="40"/>
  <c r="AT65" i="46"/>
  <c r="P65" i="40"/>
  <c r="P65" i="44"/>
  <c r="AM65" i="46"/>
  <c r="AR65" i="38"/>
  <c r="AG11" i="3"/>
  <c r="I17" i="9" s="1"/>
  <c r="P19" i="51"/>
  <c r="BN19" i="51"/>
  <c r="AC7" i="3"/>
  <c r="I13" i="5" s="1"/>
  <c r="Y8" i="3"/>
  <c r="I9" i="6" s="1"/>
  <c r="Y10" i="3"/>
  <c r="I9" i="8" s="1"/>
  <c r="AE10" i="3"/>
  <c r="G17" i="8" s="1"/>
  <c r="G18" i="8" s="1"/>
  <c r="U15" i="3"/>
  <c r="I20" i="14" s="1"/>
  <c r="AB19" i="3"/>
  <c r="H13" i="18" s="1"/>
  <c r="K13" i="18" s="1"/>
  <c r="AV19" i="53"/>
  <c r="BN19" i="55"/>
  <c r="AG12" i="3"/>
  <c r="I17" i="11" s="1"/>
  <c r="AE13" i="3"/>
  <c r="G17" i="12" s="1"/>
  <c r="G18" i="12" s="1"/>
  <c r="AE18" i="3"/>
  <c r="G17" i="17" s="1"/>
  <c r="G18" i="17" s="1"/>
  <c r="Y7" i="3"/>
  <c r="I9" i="5" s="1"/>
  <c r="Y31" i="3"/>
  <c r="I9" i="30" s="1"/>
  <c r="P65" i="51"/>
  <c r="AE21" i="37"/>
  <c r="AC23" i="37"/>
  <c r="AE23" i="37" s="1"/>
  <c r="AD21" i="39"/>
  <c r="AA23" i="39"/>
  <c r="AD23" i="39" s="1"/>
  <c r="AV20" i="31"/>
  <c r="AL41" i="31"/>
  <c r="AM41" i="31" s="1"/>
  <c r="AN41" i="31" s="1"/>
  <c r="AO41" i="31" s="1"/>
  <c r="AP41" i="31" s="1"/>
  <c r="AQ41" i="31" s="1"/>
  <c r="AR41" i="31" s="1"/>
  <c r="AS41" i="31" s="1"/>
  <c r="AT41" i="31" s="1"/>
  <c r="AU41" i="31" s="1"/>
  <c r="AV41" i="31" s="1"/>
  <c r="AD21" i="41"/>
  <c r="AA23" i="41"/>
  <c r="AD23" i="41" s="1"/>
  <c r="P19" i="41"/>
  <c r="W23" i="57"/>
  <c r="AA23" i="50"/>
  <c r="AD23" i="50" s="1"/>
  <c r="AD21" i="50"/>
  <c r="AD22" i="38"/>
  <c r="AA23" i="38"/>
  <c r="AD23" i="38" s="1"/>
  <c r="AE22" i="55"/>
  <c r="AC23" i="55"/>
  <c r="AE23" i="55" s="1"/>
  <c r="D41" i="31"/>
  <c r="E41" i="31" s="1"/>
  <c r="F41" i="31" s="1"/>
  <c r="G41" i="31" s="1"/>
  <c r="H41" i="31" s="1"/>
  <c r="I41" i="31" s="1"/>
  <c r="J41" i="31" s="1"/>
  <c r="K41" i="31" s="1"/>
  <c r="L41" i="31" s="1"/>
  <c r="M41" i="31" s="1"/>
  <c r="N41" i="31" s="1"/>
  <c r="P19" i="31"/>
  <c r="AC23" i="39"/>
  <c r="AE23" i="39" s="1"/>
  <c r="AE21" i="39"/>
  <c r="AE21" i="47"/>
  <c r="AC23" i="47"/>
  <c r="AE23" i="47" s="1"/>
  <c r="BN19" i="31"/>
  <c r="BL20" i="31"/>
  <c r="W23" i="41"/>
  <c r="AE21" i="52"/>
  <c r="AC23" i="52"/>
  <c r="AE23" i="52" s="1"/>
  <c r="AC23" i="53"/>
  <c r="AE23" i="53" s="1"/>
  <c r="AE21" i="53"/>
  <c r="AE21" i="51"/>
  <c r="AC23" i="51"/>
  <c r="AE23" i="51" s="1"/>
  <c r="AA23" i="40"/>
  <c r="AD23" i="40" s="1"/>
  <c r="AD22" i="40"/>
  <c r="W23" i="55"/>
  <c r="W23" i="50"/>
  <c r="J41" i="53"/>
  <c r="K41" i="53" s="1"/>
  <c r="L41" i="53" s="1"/>
  <c r="M41" i="53" s="1"/>
  <c r="N41" i="53" s="1"/>
  <c r="AN86" i="34"/>
  <c r="AO86" i="34" s="1"/>
  <c r="Y23" i="54"/>
  <c r="K41" i="39"/>
  <c r="L41" i="39" s="1"/>
  <c r="M41" i="39" s="1"/>
  <c r="N41" i="39" s="1"/>
  <c r="W23" i="58"/>
  <c r="W23" i="43"/>
  <c r="N20" i="31"/>
  <c r="N20" i="45"/>
  <c r="N20" i="44"/>
  <c r="F41" i="54"/>
  <c r="G41" i="54" s="1"/>
  <c r="H41" i="54" s="1"/>
  <c r="I41" i="54" s="1"/>
  <c r="J41" i="54" s="1"/>
  <c r="K41" i="54" s="1"/>
  <c r="L41" i="54" s="1"/>
  <c r="M41" i="54" s="1"/>
  <c r="N41" i="54" s="1"/>
  <c r="P19" i="47"/>
  <c r="P19" i="45"/>
  <c r="AA23" i="37"/>
  <c r="AD23" i="37" s="1"/>
  <c r="Y23" i="42"/>
  <c r="N20" i="46"/>
  <c r="W23" i="44"/>
  <c r="P64" i="34"/>
  <c r="U86" i="40"/>
  <c r="V86" i="40" s="1"/>
  <c r="W86" i="40" s="1"/>
  <c r="X86" i="40" s="1"/>
  <c r="Y86" i="40" s="1"/>
  <c r="Z86" i="40" s="1"/>
  <c r="AA86" i="40" s="1"/>
  <c r="AB86" i="40" s="1"/>
  <c r="AC86" i="40" s="1"/>
  <c r="AD86" i="40" s="1"/>
  <c r="AE86" i="40" s="1"/>
  <c r="AF86" i="40" s="1"/>
  <c r="Y23" i="58"/>
  <c r="AN86" i="55"/>
  <c r="AO86" i="55" s="1"/>
  <c r="AP86" i="55" s="1"/>
  <c r="AQ86" i="55" s="1"/>
  <c r="P64" i="41"/>
  <c r="AX19" i="57"/>
  <c r="P19" i="36"/>
  <c r="BN19" i="36"/>
  <c r="F41" i="58"/>
  <c r="G41" i="58" s="1"/>
  <c r="H41" i="58" s="1"/>
  <c r="I41" i="58" s="1"/>
  <c r="J41" i="58" s="1"/>
  <c r="K41" i="58" s="1"/>
  <c r="L41" i="58" s="1"/>
  <c r="M41" i="58" s="1"/>
  <c r="N41" i="58" s="1"/>
  <c r="AL41" i="52"/>
  <c r="AM41" i="52" s="1"/>
  <c r="AN41" i="52" s="1"/>
  <c r="AO41" i="52" s="1"/>
  <c r="AP41" i="52" s="1"/>
  <c r="AQ41" i="52" s="1"/>
  <c r="AR41" i="52" s="1"/>
  <c r="AS41" i="52" s="1"/>
  <c r="AT41" i="52" s="1"/>
  <c r="AU41" i="52" s="1"/>
  <c r="AV41" i="52" s="1"/>
  <c r="AK64" i="39"/>
  <c r="AK64" i="53"/>
  <c r="AL64" i="39"/>
  <c r="AM64" i="43"/>
  <c r="AN64" i="46"/>
  <c r="AO64" i="48"/>
  <c r="AP64" i="35"/>
  <c r="AP64" i="40"/>
  <c r="AQ65" i="56"/>
  <c r="AR64" i="31"/>
  <c r="AR64" i="46"/>
  <c r="AS64" i="46"/>
  <c r="AS64" i="50"/>
  <c r="AT64" i="35"/>
  <c r="AT64" i="54"/>
  <c r="AT64" i="58"/>
  <c r="AU64" i="44"/>
  <c r="AU64" i="54"/>
  <c r="AU64" i="58"/>
  <c r="AL87" i="52"/>
  <c r="AL86" i="31"/>
  <c r="AM86" i="31" s="1"/>
  <c r="AN86" i="31" s="1"/>
  <c r="AO86" i="31" s="1"/>
  <c r="AP86" i="31" s="1"/>
  <c r="AQ86" i="31" s="1"/>
  <c r="AR86" i="31" s="1"/>
  <c r="AS86" i="31" s="1"/>
  <c r="AT86" i="31" s="1"/>
  <c r="AU86" i="31" s="1"/>
  <c r="AV86" i="31" s="1"/>
  <c r="AL87" i="48"/>
  <c r="AM87" i="48" s="1"/>
  <c r="AN87" i="48" s="1"/>
  <c r="AO87" i="48" s="1"/>
  <c r="AP87" i="48" s="1"/>
  <c r="AQ87" i="48" s="1"/>
  <c r="AR87" i="48" s="1"/>
  <c r="AS87" i="48" s="1"/>
  <c r="AT87" i="48" s="1"/>
  <c r="AU87" i="48" s="1"/>
  <c r="AV87" i="48" s="1"/>
  <c r="P266" i="3"/>
  <c r="W21" i="33" s="1"/>
  <c r="W23" i="33" s="1"/>
  <c r="AV20" i="49"/>
  <c r="AX18" i="48"/>
  <c r="AX18" i="53"/>
  <c r="AK64" i="43"/>
  <c r="AK64" i="47"/>
  <c r="AL64" i="43"/>
  <c r="AL64" i="47"/>
  <c r="AL64" i="51"/>
  <c r="AM64" i="52"/>
  <c r="AM64" i="58"/>
  <c r="AP64" i="44"/>
  <c r="AP64" i="54"/>
  <c r="AQ64" i="40"/>
  <c r="AS64" i="35"/>
  <c r="AK64" i="36"/>
  <c r="AK64" i="55"/>
  <c r="AK64" i="38"/>
  <c r="AM64" i="45"/>
  <c r="AN64" i="44"/>
  <c r="AN64" i="58"/>
  <c r="AO64" i="40"/>
  <c r="AO65" i="56"/>
  <c r="AP64" i="37"/>
  <c r="AQ64" i="44"/>
  <c r="AQ64" i="58"/>
  <c r="AR64" i="44"/>
  <c r="AR64" i="48"/>
  <c r="AS64" i="48"/>
  <c r="AT64" i="52"/>
  <c r="AT65" i="56"/>
  <c r="AU64" i="31"/>
  <c r="AU64" i="52"/>
  <c r="AU65" i="56"/>
  <c r="W87" i="52"/>
  <c r="X87" i="52" s="1"/>
  <c r="Y87" i="52" s="1"/>
  <c r="Z87" i="52" s="1"/>
  <c r="AA87" i="52" s="1"/>
  <c r="AB87" i="52" s="1"/>
  <c r="AC87" i="52" s="1"/>
  <c r="AD87" i="52" s="1"/>
  <c r="AE87" i="52" s="1"/>
  <c r="AF87" i="52" s="1"/>
  <c r="P65" i="53"/>
  <c r="P65" i="47"/>
  <c r="AT65" i="54"/>
  <c r="AK64" i="45"/>
  <c r="AL85" i="45" s="1"/>
  <c r="AL64" i="34"/>
  <c r="AM64" i="34"/>
  <c r="AO64" i="44"/>
  <c r="AP64" i="31"/>
  <c r="AQ64" i="31"/>
  <c r="AQ64" i="52"/>
  <c r="AR64" i="37"/>
  <c r="AR65" i="56"/>
  <c r="AH64" i="42"/>
  <c r="AU64" i="40"/>
  <c r="AF64" i="49"/>
  <c r="AH64" i="49"/>
  <c r="AL64" i="49"/>
  <c r="AJ64" i="53"/>
  <c r="U85" i="53"/>
  <c r="V85" i="53" s="1"/>
  <c r="W85" i="53" s="1"/>
  <c r="X85" i="53" s="1"/>
  <c r="Y85" i="53" s="1"/>
  <c r="Z85" i="53" s="1"/>
  <c r="AA85" i="53" s="1"/>
  <c r="AB85" i="53" s="1"/>
  <c r="AC85" i="53" s="1"/>
  <c r="AD85" i="53" s="1"/>
  <c r="AE85" i="53" s="1"/>
  <c r="AF85" i="53" s="1"/>
  <c r="AM64" i="48"/>
  <c r="X85" i="48"/>
  <c r="AH64" i="37"/>
  <c r="AF64" i="46"/>
  <c r="W85" i="49"/>
  <c r="X85" i="49" s="1"/>
  <c r="Y85" i="49" s="1"/>
  <c r="Z85" i="49" s="1"/>
  <c r="AA85" i="49" s="1"/>
  <c r="AB85" i="49" s="1"/>
  <c r="AC85" i="49" s="1"/>
  <c r="AD85" i="49" s="1"/>
  <c r="AE85" i="49" s="1"/>
  <c r="AF85" i="49" s="1"/>
  <c r="X85" i="44"/>
  <c r="Y85" i="44" s="1"/>
  <c r="Z85" i="44" s="1"/>
  <c r="AA85" i="44" s="1"/>
  <c r="AB85" i="44" s="1"/>
  <c r="AC85" i="44" s="1"/>
  <c r="AD85" i="44" s="1"/>
  <c r="AE85" i="44" s="1"/>
  <c r="AF85" i="44" s="1"/>
  <c r="AF64" i="42"/>
  <c r="V85" i="45"/>
  <c r="W85" i="45" s="1"/>
  <c r="X85" i="45" s="1"/>
  <c r="Y85" i="45" s="1"/>
  <c r="Z85" i="45" s="1"/>
  <c r="AA85" i="45" s="1"/>
  <c r="AB85" i="45" s="1"/>
  <c r="AC85" i="45" s="1"/>
  <c r="AD85" i="45" s="1"/>
  <c r="AE85" i="45" s="1"/>
  <c r="AF85" i="45" s="1"/>
  <c r="AQ64" i="46"/>
  <c r="AA85" i="54"/>
  <c r="AB85" i="54" s="1"/>
  <c r="AC85" i="54" s="1"/>
  <c r="AD85" i="54" s="1"/>
  <c r="AE85" i="54" s="1"/>
  <c r="AF85" i="54" s="1"/>
  <c r="X85" i="46"/>
  <c r="Y85" i="46" s="1"/>
  <c r="Z85" i="46" s="1"/>
  <c r="AA85" i="46" s="1"/>
  <c r="AB85" i="46" s="1"/>
  <c r="AC85" i="46" s="1"/>
  <c r="AD85" i="46" s="1"/>
  <c r="AE85" i="46" s="1"/>
  <c r="AF85" i="46" s="1"/>
  <c r="AH64" i="44"/>
  <c r="AV66" i="57"/>
  <c r="AM84" i="32"/>
  <c r="AN84" i="32" s="1"/>
  <c r="AO84" i="32" s="1"/>
  <c r="AP84" i="32" s="1"/>
  <c r="AQ84" i="32" s="1"/>
  <c r="AR84" i="32" s="1"/>
  <c r="AS84" i="32" s="1"/>
  <c r="AT84" i="32" s="1"/>
  <c r="AU84" i="32" s="1"/>
  <c r="AV84" i="32" s="1"/>
  <c r="V85" i="36"/>
  <c r="W85" i="36" s="1"/>
  <c r="X85" i="36" s="1"/>
  <c r="AN87" i="41"/>
  <c r="AO87" i="41" s="1"/>
  <c r="AP87" i="41" s="1"/>
  <c r="AQ87" i="41" s="1"/>
  <c r="AR87" i="41" s="1"/>
  <c r="AS87" i="41" s="1"/>
  <c r="AT87" i="41" s="1"/>
  <c r="AU87" i="41" s="1"/>
  <c r="AV87" i="41" s="1"/>
  <c r="AH65" i="40"/>
  <c r="AL86" i="46"/>
  <c r="AM86" i="46" s="1"/>
  <c r="AT64" i="42"/>
  <c r="Y85" i="37"/>
  <c r="Z85" i="37" s="1"/>
  <c r="AA85" i="37" s="1"/>
  <c r="AB85" i="37" s="1"/>
  <c r="AC85" i="37" s="1"/>
  <c r="AD85" i="37" s="1"/>
  <c r="AE85" i="37" s="1"/>
  <c r="AF85" i="37" s="1"/>
  <c r="AF64" i="54"/>
  <c r="AH64" i="46"/>
  <c r="AO86" i="53"/>
  <c r="AP86" i="53" s="1"/>
  <c r="AQ86" i="53" s="1"/>
  <c r="AR86" i="53" s="1"/>
  <c r="AS86" i="53" s="1"/>
  <c r="AT86" i="53" s="1"/>
  <c r="AU86" i="53" s="1"/>
  <c r="AV86" i="53" s="1"/>
  <c r="AR64" i="54"/>
  <c r="AK64" i="57"/>
  <c r="AL85" i="57" s="1"/>
  <c r="AM85" i="57" s="1"/>
  <c r="AN85" i="57" s="1"/>
  <c r="AO85" i="57" s="1"/>
  <c r="AP85" i="57" s="1"/>
  <c r="AQ85" i="57" s="1"/>
  <c r="AR85" i="57" s="1"/>
  <c r="AS85" i="57" s="1"/>
  <c r="AT85" i="57" s="1"/>
  <c r="AU85" i="57" s="1"/>
  <c r="AV85" i="57" s="1"/>
  <c r="AF64" i="57"/>
  <c r="AH64" i="57"/>
  <c r="AH64" i="53"/>
  <c r="AL64" i="53"/>
  <c r="AF64" i="53"/>
  <c r="AK87" i="43"/>
  <c r="AL87" i="43" s="1"/>
  <c r="AM87" i="43" s="1"/>
  <c r="AN87" i="43" s="1"/>
  <c r="AO87" i="43" s="1"/>
  <c r="AP87" i="43" s="1"/>
  <c r="AQ87" i="43" s="1"/>
  <c r="AR87" i="43" s="1"/>
  <c r="AS87" i="43" s="1"/>
  <c r="AT87" i="43" s="1"/>
  <c r="AU87" i="43" s="1"/>
  <c r="AV87" i="43" s="1"/>
  <c r="AJ64" i="40"/>
  <c r="U85" i="40"/>
  <c r="V85" i="40" s="1"/>
  <c r="W85" i="40" s="1"/>
  <c r="X85" i="40" s="1"/>
  <c r="Y85" i="40" s="1"/>
  <c r="Z85" i="40" s="1"/>
  <c r="AA85" i="40" s="1"/>
  <c r="AB85" i="40" s="1"/>
  <c r="AC85" i="40" s="1"/>
  <c r="AD85" i="40" s="1"/>
  <c r="AE85" i="40" s="1"/>
  <c r="AF85" i="40" s="1"/>
  <c r="AH64" i="45"/>
  <c r="AF64" i="45"/>
  <c r="AL64" i="45"/>
  <c r="AH64" i="41"/>
  <c r="AF64" i="41"/>
  <c r="AM64" i="41"/>
  <c r="AN85" i="41" s="1"/>
  <c r="AO85" i="41" s="1"/>
  <c r="AP85" i="41" s="1"/>
  <c r="AQ85" i="41" s="1"/>
  <c r="AR85" i="41" s="1"/>
  <c r="AS85" i="41" s="1"/>
  <c r="AT85" i="41" s="1"/>
  <c r="AU85" i="41" s="1"/>
  <c r="AV85" i="41" s="1"/>
  <c r="AM85" i="45"/>
  <c r="AH64" i="58"/>
  <c r="AV66" i="43"/>
  <c r="AO85" i="35"/>
  <c r="AD85" i="50"/>
  <c r="AE85" i="50" s="1"/>
  <c r="AF85" i="50" s="1"/>
  <c r="AM85" i="32"/>
  <c r="X85" i="34"/>
  <c r="Y85" i="34" s="1"/>
  <c r="Z85" i="34" s="1"/>
  <c r="AA85" i="34" s="1"/>
  <c r="AB85" i="34" s="1"/>
  <c r="AC85" i="34" s="1"/>
  <c r="AD85" i="34" s="1"/>
  <c r="AE85" i="34" s="1"/>
  <c r="AF85" i="34" s="1"/>
  <c r="AL87" i="56"/>
  <c r="AM87" i="56" s="1"/>
  <c r="AN87" i="56" s="1"/>
  <c r="AO87" i="56" s="1"/>
  <c r="AP87" i="56" s="1"/>
  <c r="AQ87" i="56" s="1"/>
  <c r="AR87" i="56" s="1"/>
  <c r="AS87" i="56" s="1"/>
  <c r="AT87" i="56" s="1"/>
  <c r="AU87" i="56" s="1"/>
  <c r="AV87" i="56" s="1"/>
  <c r="AM87" i="54"/>
  <c r="AN87" i="54" s="1"/>
  <c r="AO87" i="54" s="1"/>
  <c r="AP87" i="54" s="1"/>
  <c r="AQ87" i="54" s="1"/>
  <c r="AR87" i="54" s="1"/>
  <c r="AS87" i="54" s="1"/>
  <c r="AT87" i="54" s="1"/>
  <c r="AU87" i="54" s="1"/>
  <c r="AV87" i="54" s="1"/>
  <c r="AM87" i="52"/>
  <c r="AN87" i="52" s="1"/>
  <c r="AO87" i="52" s="1"/>
  <c r="AP87" i="52" s="1"/>
  <c r="AQ87" i="52" s="1"/>
  <c r="AR87" i="52" s="1"/>
  <c r="AS87" i="52" s="1"/>
  <c r="AT87" i="52" s="1"/>
  <c r="AU87" i="52" s="1"/>
  <c r="AV87" i="52" s="1"/>
  <c r="AK86" i="39"/>
  <c r="AL86" i="39" s="1"/>
  <c r="AM86" i="39" s="1"/>
  <c r="AN86" i="39" s="1"/>
  <c r="AO86" i="39" s="1"/>
  <c r="AP86" i="39" s="1"/>
  <c r="AQ86" i="39" s="1"/>
  <c r="AR86" i="39" s="1"/>
  <c r="AS86" i="39" s="1"/>
  <c r="AT86" i="39" s="1"/>
  <c r="AU86" i="39" s="1"/>
  <c r="AV86" i="39" s="1"/>
  <c r="X85" i="41"/>
  <c r="Y85" i="41" s="1"/>
  <c r="Z85" i="41" s="1"/>
  <c r="AA85" i="41" s="1"/>
  <c r="AB85" i="41" s="1"/>
  <c r="AC85" i="41" s="1"/>
  <c r="AD85" i="41" s="1"/>
  <c r="AE85" i="41" s="1"/>
  <c r="AF85" i="41" s="1"/>
  <c r="AL87" i="45"/>
  <c r="AM87" i="45" s="1"/>
  <c r="AN87" i="45" s="1"/>
  <c r="AO87" i="45" s="1"/>
  <c r="AP87" i="45" s="1"/>
  <c r="AQ87" i="45" s="1"/>
  <c r="AR87" i="45" s="1"/>
  <c r="AS87" i="45" s="1"/>
  <c r="AT87" i="45" s="1"/>
  <c r="AU87" i="45" s="1"/>
  <c r="AV87" i="45" s="1"/>
  <c r="AM88" i="56"/>
  <c r="AN88" i="56" s="1"/>
  <c r="AO88" i="56" s="1"/>
  <c r="AP88" i="56" s="1"/>
  <c r="AQ88" i="56" s="1"/>
  <c r="AR88" i="56" s="1"/>
  <c r="AS88" i="56" s="1"/>
  <c r="AT88" i="56" s="1"/>
  <c r="AU88" i="56" s="1"/>
  <c r="AV88" i="56" s="1"/>
  <c r="AL87" i="35"/>
  <c r="AM87" i="35" s="1"/>
  <c r="AN87" i="35" s="1"/>
  <c r="AO87" i="35" s="1"/>
  <c r="AP87" i="35" s="1"/>
  <c r="AQ87" i="35" s="1"/>
  <c r="AR87" i="35" s="1"/>
  <c r="AS87" i="35" s="1"/>
  <c r="AT87" i="35" s="1"/>
  <c r="AU87" i="35" s="1"/>
  <c r="AV87" i="35" s="1"/>
  <c r="W87" i="35"/>
  <c r="X87" i="35" s="1"/>
  <c r="Y87" i="35" s="1"/>
  <c r="Z87" i="35" s="1"/>
  <c r="AA87" i="35" s="1"/>
  <c r="AB87" i="35" s="1"/>
  <c r="AC87" i="35" s="1"/>
  <c r="AD87" i="35" s="1"/>
  <c r="AE87" i="35" s="1"/>
  <c r="AF87" i="35" s="1"/>
  <c r="AS64" i="37"/>
  <c r="AL64" i="55"/>
  <c r="AF64" i="35"/>
  <c r="AV65" i="53"/>
  <c r="AN64" i="37"/>
  <c r="W85" i="55"/>
  <c r="X85" i="55" s="1"/>
  <c r="Y85" i="55" s="1"/>
  <c r="Z85" i="55" s="1"/>
  <c r="AA85" i="55" s="1"/>
  <c r="AB85" i="55" s="1"/>
  <c r="AC85" i="55" s="1"/>
  <c r="AD85" i="55" s="1"/>
  <c r="AE85" i="55" s="1"/>
  <c r="AF85" i="55" s="1"/>
  <c r="AH64" i="43"/>
  <c r="AV66" i="40"/>
  <c r="AH65" i="44"/>
  <c r="AO87" i="55"/>
  <c r="AP87" i="55" s="1"/>
  <c r="AQ87" i="55" s="1"/>
  <c r="AR87" i="55" s="1"/>
  <c r="AS87" i="55" s="1"/>
  <c r="AT87" i="55" s="1"/>
  <c r="AU87" i="55" s="1"/>
  <c r="AV87" i="55" s="1"/>
  <c r="AF64" i="50"/>
  <c r="AL87" i="34"/>
  <c r="AM87" i="34" s="1"/>
  <c r="AN87" i="34" s="1"/>
  <c r="AO87" i="34" s="1"/>
  <c r="AP87" i="34" s="1"/>
  <c r="AQ87" i="34" s="1"/>
  <c r="AR87" i="34" s="1"/>
  <c r="AS87" i="34" s="1"/>
  <c r="AT87" i="34" s="1"/>
  <c r="AU87" i="34" s="1"/>
  <c r="AV87" i="34" s="1"/>
  <c r="AF64" i="52"/>
  <c r="AM86" i="40"/>
  <c r="AN86" i="40" s="1"/>
  <c r="AO86" i="40" s="1"/>
  <c r="AP86" i="40" s="1"/>
  <c r="AQ86" i="40" s="1"/>
  <c r="AR86" i="40" s="1"/>
  <c r="AH64" i="54"/>
  <c r="AO87" i="47"/>
  <c r="AP87" i="47" s="1"/>
  <c r="AQ87" i="47" s="1"/>
  <c r="AR87" i="47" s="1"/>
  <c r="AS87" i="47" s="1"/>
  <c r="AT87" i="47" s="1"/>
  <c r="AU87" i="47" s="1"/>
  <c r="AV87" i="47" s="1"/>
  <c r="V87" i="57"/>
  <c r="W87" i="57" s="1"/>
  <c r="X87" i="57" s="1"/>
  <c r="Y87" i="57" s="1"/>
  <c r="Z87" i="57" s="1"/>
  <c r="AA87" i="57" s="1"/>
  <c r="AB87" i="57" s="1"/>
  <c r="AC87" i="57" s="1"/>
  <c r="AD87" i="57" s="1"/>
  <c r="AE87" i="57" s="1"/>
  <c r="AF87" i="57" s="1"/>
  <c r="AL86" i="48"/>
  <c r="AM86" i="48" s="1"/>
  <c r="AN86" i="48" s="1"/>
  <c r="AO86" i="48" s="1"/>
  <c r="AP86" i="48" s="1"/>
  <c r="AQ86" i="48" s="1"/>
  <c r="AR86" i="48" s="1"/>
  <c r="AS86" i="48" s="1"/>
  <c r="AT86" i="48" s="1"/>
  <c r="AT64" i="46"/>
  <c r="AS64" i="54"/>
  <c r="AV66" i="48"/>
  <c r="AH64" i="50"/>
  <c r="AM64" i="50"/>
  <c r="AW64" i="50" s="1"/>
  <c r="AN64" i="36"/>
  <c r="AH64" i="36"/>
  <c r="AF64" i="36"/>
  <c r="AO64" i="31"/>
  <c r="AF64" i="31"/>
  <c r="AH64" i="31"/>
  <c r="U85" i="47"/>
  <c r="V85" i="47" s="1"/>
  <c r="W85" i="47" s="1"/>
  <c r="X85" i="47" s="1"/>
  <c r="Y85" i="47" s="1"/>
  <c r="Z85" i="47" s="1"/>
  <c r="AA85" i="47" s="1"/>
  <c r="AB85" i="47" s="1"/>
  <c r="AC85" i="47" s="1"/>
  <c r="AD85" i="47" s="1"/>
  <c r="AE85" i="47" s="1"/>
  <c r="AF85" i="47" s="1"/>
  <c r="AF64" i="47"/>
  <c r="AJ64" i="47"/>
  <c r="AH64" i="47"/>
  <c r="AN64" i="48"/>
  <c r="AF64" i="48"/>
  <c r="AH64" i="48"/>
  <c r="AV66" i="49"/>
  <c r="AK87" i="49"/>
  <c r="AL87" i="49" s="1"/>
  <c r="AM87" i="49" s="1"/>
  <c r="AN87" i="49" s="1"/>
  <c r="AO87" i="49" s="1"/>
  <c r="AP87" i="49" s="1"/>
  <c r="AQ87" i="49" s="1"/>
  <c r="AR87" i="49" s="1"/>
  <c r="AS87" i="49" s="1"/>
  <c r="AT87" i="49" s="1"/>
  <c r="AU87" i="49" s="1"/>
  <c r="AV87" i="49" s="1"/>
  <c r="AF64" i="38"/>
  <c r="AJ64" i="38"/>
  <c r="U85" i="38"/>
  <c r="V85" i="38" s="1"/>
  <c r="W85" i="38" s="1"/>
  <c r="X85" i="38" s="1"/>
  <c r="Y85" i="38" s="1"/>
  <c r="Z85" i="38" s="1"/>
  <c r="AA85" i="38" s="1"/>
  <c r="AB85" i="38" s="1"/>
  <c r="AC85" i="38" s="1"/>
  <c r="AD85" i="38" s="1"/>
  <c r="AE85" i="38" s="1"/>
  <c r="AF85" i="38" s="1"/>
  <c r="AH64" i="38"/>
  <c r="AN64" i="52"/>
  <c r="AH64" i="52"/>
  <c r="AV66" i="58"/>
  <c r="AK87" i="58"/>
  <c r="AL87" i="58" s="1"/>
  <c r="AM87" i="58" s="1"/>
  <c r="AN87" i="58" s="1"/>
  <c r="AO87" i="58" s="1"/>
  <c r="AP87" i="58" s="1"/>
  <c r="AQ87" i="58" s="1"/>
  <c r="AR87" i="58" s="1"/>
  <c r="AS87" i="58" s="1"/>
  <c r="AT87" i="58" s="1"/>
  <c r="AU87" i="58" s="1"/>
  <c r="AV87" i="58" s="1"/>
  <c r="AL86" i="51"/>
  <c r="AM86" i="51" s="1"/>
  <c r="AN86" i="51" s="1"/>
  <c r="AO86" i="51" s="1"/>
  <c r="AP86" i="51" s="1"/>
  <c r="AQ86" i="51" s="1"/>
  <c r="AR86" i="51" s="1"/>
  <c r="AS86" i="51" s="1"/>
  <c r="AT86" i="51" s="1"/>
  <c r="AU86" i="51" s="1"/>
  <c r="AV86" i="51" s="1"/>
  <c r="AV65" i="51"/>
  <c r="AV65" i="34"/>
  <c r="AH64" i="34"/>
  <c r="AK64" i="34"/>
  <c r="AL85" i="34" s="1"/>
  <c r="AM85" i="34" s="1"/>
  <c r="AH64" i="51"/>
  <c r="AK64" i="51"/>
  <c r="AW64" i="51" s="1"/>
  <c r="AF64" i="51"/>
  <c r="AN64" i="40"/>
  <c r="AF64" i="40"/>
  <c r="AH64" i="40"/>
  <c r="AN65" i="56"/>
  <c r="AW65" i="56" s="1"/>
  <c r="AF65" i="56"/>
  <c r="AU64" i="37"/>
  <c r="AF64" i="37"/>
  <c r="AF64" i="43"/>
  <c r="AF64" i="44"/>
  <c r="U85" i="58"/>
  <c r="V85" i="58" s="1"/>
  <c r="W85" i="58" s="1"/>
  <c r="X85" i="58" s="1"/>
  <c r="Y85" i="58" s="1"/>
  <c r="Z85" i="58" s="1"/>
  <c r="AA85" i="58" s="1"/>
  <c r="AB85" i="58" s="1"/>
  <c r="AC85" i="58" s="1"/>
  <c r="AD85" i="58" s="1"/>
  <c r="AE85" i="58" s="1"/>
  <c r="AF85" i="58" s="1"/>
  <c r="AK85" i="50"/>
  <c r="AL85" i="50" s="1"/>
  <c r="AM85" i="50" s="1"/>
  <c r="AM87" i="36"/>
  <c r="AN87" i="36" s="1"/>
  <c r="AO87" i="36" s="1"/>
  <c r="AP87" i="36" s="1"/>
  <c r="AQ87" i="36" s="1"/>
  <c r="AR87" i="36" s="1"/>
  <c r="AS87" i="36" s="1"/>
  <c r="AT87" i="36" s="1"/>
  <c r="AU87" i="36" s="1"/>
  <c r="AV87" i="36" s="1"/>
  <c r="AH64" i="55"/>
  <c r="AV66" i="35"/>
  <c r="U85" i="42"/>
  <c r="V85" i="42" s="1"/>
  <c r="W85" i="42" s="1"/>
  <c r="X85" i="42" s="1"/>
  <c r="Y85" i="42" s="1"/>
  <c r="Z85" i="42" s="1"/>
  <c r="AA85" i="42" s="1"/>
  <c r="AB85" i="42" s="1"/>
  <c r="AC85" i="42" s="1"/>
  <c r="AD85" i="42" s="1"/>
  <c r="AE85" i="42" s="1"/>
  <c r="AF85" i="42" s="1"/>
  <c r="AJ64" i="42"/>
  <c r="AW64" i="42" s="1"/>
  <c r="Z85" i="31"/>
  <c r="AA85" i="31" s="1"/>
  <c r="AB85" i="31" s="1"/>
  <c r="AC85" i="31" s="1"/>
  <c r="AD85" i="31" s="1"/>
  <c r="AE85" i="31" s="1"/>
  <c r="AF85" i="31" s="1"/>
  <c r="Y85" i="36"/>
  <c r="Z85" i="36" s="1"/>
  <c r="AA85" i="36" s="1"/>
  <c r="AB85" i="36" s="1"/>
  <c r="AC85" i="36" s="1"/>
  <c r="AD85" i="36" s="1"/>
  <c r="AE85" i="36" s="1"/>
  <c r="AF85" i="36" s="1"/>
  <c r="AF66" i="45"/>
  <c r="U85" i="52"/>
  <c r="V85" i="52" s="1"/>
  <c r="W85" i="52" s="1"/>
  <c r="X85" i="52" s="1"/>
  <c r="Y85" i="52" s="1"/>
  <c r="Z85" i="52" s="1"/>
  <c r="AA85" i="52" s="1"/>
  <c r="AB85" i="52" s="1"/>
  <c r="AC85" i="52" s="1"/>
  <c r="AD85" i="52" s="1"/>
  <c r="AE85" i="52" s="1"/>
  <c r="AF85" i="52" s="1"/>
  <c r="AJ64" i="52"/>
  <c r="AR65" i="42"/>
  <c r="AT65" i="37"/>
  <c r="AT65" i="57"/>
  <c r="AO64" i="35"/>
  <c r="AU64" i="35"/>
  <c r="AM64" i="39"/>
  <c r="AS64" i="40"/>
  <c r="AQ64" i="48"/>
  <c r="AR64" i="52"/>
  <c r="AK85" i="43"/>
  <c r="AF64" i="58"/>
  <c r="AF64" i="33"/>
  <c r="AJ64" i="55"/>
  <c r="Z85" i="35"/>
  <c r="AA85" i="35" s="1"/>
  <c r="AB85" i="35" s="1"/>
  <c r="AC85" i="35" s="1"/>
  <c r="AD85" i="35" s="1"/>
  <c r="AE85" i="35" s="1"/>
  <c r="AF85" i="35" s="1"/>
  <c r="AO87" i="44"/>
  <c r="AP87" i="44" s="1"/>
  <c r="AQ87" i="44" s="1"/>
  <c r="AR87" i="44" s="1"/>
  <c r="AS87" i="44" s="1"/>
  <c r="AT87" i="44" s="1"/>
  <c r="AU87" i="44" s="1"/>
  <c r="AV87" i="44" s="1"/>
  <c r="AJ66" i="38"/>
  <c r="AW66" i="38" s="1"/>
  <c r="AN65" i="49"/>
  <c r="AQ65" i="55"/>
  <c r="AS65" i="45"/>
  <c r="AV65" i="45" s="1"/>
  <c r="AU65" i="57"/>
  <c r="AR64" i="35"/>
  <c r="AS64" i="44"/>
  <c r="AU64" i="48"/>
  <c r="AO64" i="52"/>
  <c r="AS65" i="56"/>
  <c r="AP64" i="58"/>
  <c r="AL64" i="38"/>
  <c r="AS64" i="31"/>
  <c r="AN64" i="33"/>
  <c r="Y85" i="33"/>
  <c r="Z85" i="33" s="1"/>
  <c r="AA85" i="33" s="1"/>
  <c r="AB85" i="33" s="1"/>
  <c r="AC85" i="33" s="1"/>
  <c r="AD85" i="33" s="1"/>
  <c r="AE85" i="33" s="1"/>
  <c r="AF85" i="33" s="1"/>
  <c r="U85" i="43"/>
  <c r="V85" i="43" s="1"/>
  <c r="W85" i="43" s="1"/>
  <c r="X85" i="43" s="1"/>
  <c r="Y85" i="43" s="1"/>
  <c r="Z85" i="43" s="1"/>
  <c r="AA85" i="43" s="1"/>
  <c r="AB85" i="43" s="1"/>
  <c r="AC85" i="43" s="1"/>
  <c r="AD85" i="43" s="1"/>
  <c r="AE85" i="43" s="1"/>
  <c r="AF85" i="43" s="1"/>
  <c r="AF64" i="55"/>
  <c r="AJ64" i="58"/>
  <c r="AV66" i="38"/>
  <c r="Y85" i="48"/>
  <c r="Z85" i="48" s="1"/>
  <c r="AA85" i="48" s="1"/>
  <c r="AB85" i="48" s="1"/>
  <c r="AC85" i="48" s="1"/>
  <c r="AD85" i="48" s="1"/>
  <c r="AE85" i="48" s="1"/>
  <c r="AF85" i="48" s="1"/>
  <c r="V85" i="51"/>
  <c r="W85" i="51" s="1"/>
  <c r="X85" i="51" s="1"/>
  <c r="Y85" i="51" s="1"/>
  <c r="Z85" i="51" s="1"/>
  <c r="AA85" i="51" s="1"/>
  <c r="AB85" i="51" s="1"/>
  <c r="AC85" i="51" s="1"/>
  <c r="AD85" i="51" s="1"/>
  <c r="AE85" i="51" s="1"/>
  <c r="AF85" i="51" s="1"/>
  <c r="AM65" i="54"/>
  <c r="AW65" i="54" s="1"/>
  <c r="AO65" i="49"/>
  <c r="AR65" i="57"/>
  <c r="AR64" i="40"/>
  <c r="AT64" i="40"/>
  <c r="AS64" i="52"/>
  <c r="AP65" i="56"/>
  <c r="AV66" i="36"/>
  <c r="Y86" i="56"/>
  <c r="Z86" i="56" s="1"/>
  <c r="AA86" i="56" s="1"/>
  <c r="AB86" i="56" s="1"/>
  <c r="AC86" i="56" s="1"/>
  <c r="AD86" i="56" s="1"/>
  <c r="AE86" i="56" s="1"/>
  <c r="AF86" i="56" s="1"/>
  <c r="AN85" i="32"/>
  <c r="AO85" i="32" s="1"/>
  <c r="AP85" i="32" s="1"/>
  <c r="AQ85" i="32" s="1"/>
  <c r="AR85" i="32" s="1"/>
  <c r="AS85" i="32" s="1"/>
  <c r="AT85" i="32" s="1"/>
  <c r="AU85" i="32" s="1"/>
  <c r="AV85" i="32" s="1"/>
  <c r="AF64" i="34"/>
  <c r="AS65" i="57"/>
  <c r="AQ64" i="35"/>
  <c r="AT64" i="44"/>
  <c r="AT64" i="48"/>
  <c r="AT64" i="31"/>
  <c r="AU207" i="3"/>
  <c r="BB44" i="38"/>
  <c r="BB43" i="38"/>
  <c r="BB43" i="57"/>
  <c r="BB44" i="57"/>
  <c r="BB43" i="46"/>
  <c r="BB44" i="46"/>
  <c r="BB43" i="34"/>
  <c r="BB44" i="34"/>
  <c r="BB43" i="50"/>
  <c r="BB44" i="50"/>
  <c r="BB44" i="35"/>
  <c r="BB43" i="35"/>
  <c r="BB43" i="53"/>
  <c r="BB44" i="53"/>
  <c r="BG40" i="33"/>
  <c r="BB44" i="47"/>
  <c r="AE21" i="33"/>
  <c r="AC23" i="33"/>
  <c r="AE23" i="33" s="1"/>
  <c r="AE22" i="31"/>
  <c r="AD22" i="31"/>
  <c r="AE21" i="49"/>
  <c r="AC23" i="49"/>
  <c r="AE23" i="49" s="1"/>
  <c r="AE21" i="44"/>
  <c r="AC23" i="44"/>
  <c r="AE23" i="44" s="1"/>
  <c r="AA23" i="52"/>
  <c r="AD23" i="52" s="1"/>
  <c r="AD22" i="52"/>
  <c r="AC23" i="54"/>
  <c r="AE23" i="54" s="1"/>
  <c r="AE22" i="54"/>
  <c r="AE22" i="38"/>
  <c r="AC23" i="38"/>
  <c r="AE23" i="38" s="1"/>
  <c r="AC23" i="57"/>
  <c r="AE23" i="57" s="1"/>
  <c r="AD21" i="42"/>
  <c r="AA23" i="42"/>
  <c r="AD23" i="42" s="1"/>
  <c r="AE21" i="36"/>
  <c r="AC32" i="3"/>
  <c r="I13" i="10" s="1"/>
  <c r="AC23" i="41"/>
  <c r="AE23" i="41" s="1"/>
  <c r="R264" i="3"/>
  <c r="AA21" i="31" s="1"/>
  <c r="AA23" i="31" s="1"/>
  <c r="AC17" i="3"/>
  <c r="I13" i="16" s="1"/>
  <c r="O274" i="3"/>
  <c r="AC21" i="42" s="1"/>
  <c r="K13" i="27"/>
  <c r="K17" i="27"/>
  <c r="AV65" i="44"/>
  <c r="P264" i="3"/>
  <c r="W21" i="31" s="1"/>
  <c r="W23" i="31" s="1"/>
  <c r="L264" i="3"/>
  <c r="O264" i="3" s="1"/>
  <c r="AC21" i="31" s="1"/>
  <c r="AA23" i="46"/>
  <c r="AD23" i="46" s="1"/>
  <c r="AA23" i="48"/>
  <c r="AD23" i="48" s="1"/>
  <c r="AC23" i="45"/>
  <c r="AE23" i="45" s="1"/>
  <c r="AA23" i="45"/>
  <c r="AD23" i="45" s="1"/>
  <c r="AD21" i="45"/>
  <c r="AC23" i="56"/>
  <c r="AE23" i="56" s="1"/>
  <c r="K20" i="25"/>
  <c r="G10" i="14"/>
  <c r="G14" i="14"/>
  <c r="R289" i="3"/>
  <c r="AA21" i="57" s="1"/>
  <c r="AC6" i="3"/>
  <c r="I13" i="4" s="1"/>
  <c r="K13" i="24"/>
  <c r="AE25" i="3"/>
  <c r="G17" i="24" s="1"/>
  <c r="G18" i="24" s="1"/>
  <c r="AG25" i="3"/>
  <c r="I17" i="24" s="1"/>
  <c r="AH64" i="35"/>
  <c r="K9" i="7"/>
  <c r="Q285" i="3"/>
  <c r="Y21" i="53" s="1"/>
  <c r="Y23" i="53" s="1"/>
  <c r="AV18" i="37"/>
  <c r="C39" i="57"/>
  <c r="D39" i="57" s="1"/>
  <c r="E39" i="57" s="1"/>
  <c r="F39" i="57" s="1"/>
  <c r="G39" i="57" s="1"/>
  <c r="H39" i="57" s="1"/>
  <c r="I39" i="57" s="1"/>
  <c r="J39" i="57" s="1"/>
  <c r="K39" i="57" s="1"/>
  <c r="L39" i="57" s="1"/>
  <c r="M39" i="57" s="1"/>
  <c r="N39" i="57" s="1"/>
  <c r="N18" i="57"/>
  <c r="AU65" i="3"/>
  <c r="C18" i="44"/>
  <c r="O18" i="44" s="1"/>
  <c r="AJ18" i="52"/>
  <c r="AW18" i="52" s="1"/>
  <c r="AU92" i="3"/>
  <c r="BN18" i="44"/>
  <c r="AV20" i="35"/>
  <c r="AV20" i="36"/>
  <c r="P65" i="34"/>
  <c r="AT65" i="48"/>
  <c r="AK65" i="57"/>
  <c r="P65" i="57"/>
  <c r="AU126" i="3"/>
  <c r="AU121" i="3"/>
  <c r="AU120" i="3"/>
  <c r="AI104" i="3"/>
  <c r="AU119" i="3"/>
  <c r="AU124" i="3"/>
  <c r="AU122" i="3"/>
  <c r="AU117" i="3"/>
  <c r="AU116" i="3"/>
  <c r="AU131" i="3"/>
  <c r="BA43" i="56"/>
  <c r="AZ39" i="56"/>
  <c r="P65" i="43"/>
  <c r="AQ65" i="37"/>
  <c r="BA43" i="36"/>
  <c r="AA86" i="34"/>
  <c r="AB86" i="34" s="1"/>
  <c r="AC86" i="34" s="1"/>
  <c r="AD86" i="34" s="1"/>
  <c r="AE86" i="34" s="1"/>
  <c r="AF86" i="34" s="1"/>
  <c r="P65" i="42"/>
  <c r="P65" i="58"/>
  <c r="AU65" i="49"/>
  <c r="P65" i="45"/>
  <c r="AE176" i="3"/>
  <c r="AE180" i="3"/>
  <c r="AE187" i="3"/>
  <c r="D85" i="49"/>
  <c r="E85" i="49" s="1"/>
  <c r="F85" i="49" s="1"/>
  <c r="G85" i="49" s="1"/>
  <c r="H85" i="49" s="1"/>
  <c r="I85" i="49" s="1"/>
  <c r="J85" i="49" s="1"/>
  <c r="K85" i="49" s="1"/>
  <c r="L85" i="49" s="1"/>
  <c r="M85" i="49" s="1"/>
  <c r="N85" i="49" s="1"/>
  <c r="AE175" i="3"/>
  <c r="AU200" i="3"/>
  <c r="T64" i="39"/>
  <c r="AG64" i="39" s="1"/>
  <c r="BN19" i="34"/>
  <c r="BE40" i="38"/>
  <c r="Y9" i="3"/>
  <c r="I9" i="7" s="1"/>
  <c r="Y32" i="3"/>
  <c r="I9" i="10" s="1"/>
  <c r="AX19" i="42"/>
  <c r="BN19" i="45"/>
  <c r="Y12" i="3"/>
  <c r="I9" i="11" s="1"/>
  <c r="AG13" i="3"/>
  <c r="I17" i="12" s="1"/>
  <c r="U18" i="3"/>
  <c r="I20" i="17" s="1"/>
  <c r="U22" i="3"/>
  <c r="I20" i="21" s="1"/>
  <c r="U19" i="3"/>
  <c r="I20" i="18" s="1"/>
  <c r="H86" i="56" l="1"/>
  <c r="I86" i="56" s="1"/>
  <c r="J86" i="56" s="1"/>
  <c r="K86" i="56" s="1"/>
  <c r="L86" i="56" s="1"/>
  <c r="M86" i="56" s="1"/>
  <c r="N86" i="56" s="1"/>
  <c r="AK86" i="52"/>
  <c r="AL86" i="52" s="1"/>
  <c r="AM86" i="52" s="1"/>
  <c r="AX66" i="56"/>
  <c r="C39" i="31"/>
  <c r="D39" i="31" s="1"/>
  <c r="E39" i="31" s="1"/>
  <c r="F39" i="31" s="1"/>
  <c r="G39" i="31" s="1"/>
  <c r="H39" i="31" s="1"/>
  <c r="I39" i="31" s="1"/>
  <c r="J39" i="31" s="1"/>
  <c r="K39" i="31" s="1"/>
  <c r="L39" i="31" s="1"/>
  <c r="M39" i="31" s="1"/>
  <c r="N39" i="31" s="1"/>
  <c r="O18" i="31"/>
  <c r="P18" i="31" s="1"/>
  <c r="O64" i="55"/>
  <c r="AG65" i="38"/>
  <c r="O65" i="52"/>
  <c r="P64" i="37"/>
  <c r="P65" i="37"/>
  <c r="AX19" i="43"/>
  <c r="P18" i="38"/>
  <c r="AH64" i="33"/>
  <c r="BN19" i="52"/>
  <c r="BN18" i="52"/>
  <c r="BN19" i="53"/>
  <c r="AX19" i="51"/>
  <c r="AW64" i="45"/>
  <c r="P18" i="46"/>
  <c r="AW64" i="41"/>
  <c r="P18" i="51"/>
  <c r="AW64" i="34"/>
  <c r="AX19" i="56"/>
  <c r="P18" i="47"/>
  <c r="P18" i="40"/>
  <c r="AK85" i="54"/>
  <c r="AL85" i="54" s="1"/>
  <c r="AM85" i="54" s="1"/>
  <c r="AW64" i="54"/>
  <c r="AK85" i="46"/>
  <c r="AL85" i="46" s="1"/>
  <c r="AM85" i="46" s="1"/>
  <c r="AN85" i="46" s="1"/>
  <c r="AO85" i="46" s="1"/>
  <c r="AP85" i="46" s="1"/>
  <c r="AQ85" i="46" s="1"/>
  <c r="AR85" i="46" s="1"/>
  <c r="AS85" i="46" s="1"/>
  <c r="AT85" i="46" s="1"/>
  <c r="AU85" i="46" s="1"/>
  <c r="AV85" i="46" s="1"/>
  <c r="AK86" i="42"/>
  <c r="AL86" i="42" s="1"/>
  <c r="AW65" i="42"/>
  <c r="P64" i="35"/>
  <c r="P64" i="44"/>
  <c r="AH65" i="49"/>
  <c r="P18" i="43"/>
  <c r="P19" i="43"/>
  <c r="AW66" i="46"/>
  <c r="AW66" i="39"/>
  <c r="P18" i="48"/>
  <c r="P19" i="48"/>
  <c r="BN19" i="39"/>
  <c r="AX19" i="35"/>
  <c r="AW65" i="37"/>
  <c r="BN18" i="49"/>
  <c r="AW64" i="57"/>
  <c r="AW18" i="58"/>
  <c r="P18" i="37"/>
  <c r="AK85" i="53"/>
  <c r="AL85" i="53" s="1"/>
  <c r="AW64" i="53"/>
  <c r="AW64" i="58"/>
  <c r="AW64" i="55"/>
  <c r="AK85" i="40"/>
  <c r="AL85" i="40" s="1"/>
  <c r="AM85" i="40" s="1"/>
  <c r="AN85" i="40" s="1"/>
  <c r="AW64" i="40"/>
  <c r="AK86" i="49"/>
  <c r="AK86" i="44"/>
  <c r="AL86" i="44" s="1"/>
  <c r="AM86" i="44" s="1"/>
  <c r="AW65" i="44"/>
  <c r="AH65" i="53"/>
  <c r="O64" i="35"/>
  <c r="P64" i="53"/>
  <c r="AX18" i="47"/>
  <c r="AX19" i="47"/>
  <c r="AW65" i="32"/>
  <c r="AW65" i="45"/>
  <c r="BN19" i="35"/>
  <c r="AW65" i="36"/>
  <c r="BN18" i="38"/>
  <c r="BN19" i="38"/>
  <c r="AW66" i="44"/>
  <c r="P18" i="33"/>
  <c r="AX19" i="52"/>
  <c r="AH65" i="43"/>
  <c r="AW64" i="43"/>
  <c r="AW64" i="52"/>
  <c r="AN85" i="34"/>
  <c r="AO85" i="34" s="1"/>
  <c r="AP85" i="34" s="1"/>
  <c r="AQ85" i="34" s="1"/>
  <c r="AR85" i="34" s="1"/>
  <c r="AS85" i="34" s="1"/>
  <c r="AT85" i="34" s="1"/>
  <c r="AU85" i="34" s="1"/>
  <c r="AV85" i="34" s="1"/>
  <c r="AW64" i="38"/>
  <c r="AX64" i="47"/>
  <c r="AW64" i="47"/>
  <c r="P65" i="35"/>
  <c r="O65" i="35"/>
  <c r="AW65" i="58"/>
  <c r="AO87" i="39"/>
  <c r="AP87" i="39" s="1"/>
  <c r="AQ87" i="39" s="1"/>
  <c r="AR87" i="39" s="1"/>
  <c r="AS87" i="39" s="1"/>
  <c r="AT87" i="39" s="1"/>
  <c r="AU87" i="39" s="1"/>
  <c r="AV87" i="39" s="1"/>
  <c r="O64" i="40"/>
  <c r="O65" i="49"/>
  <c r="AW18" i="57"/>
  <c r="BN18" i="46"/>
  <c r="BN19" i="46"/>
  <c r="P18" i="44"/>
  <c r="AK87" i="31"/>
  <c r="AL87" i="31" s="1"/>
  <c r="AM87" i="31" s="1"/>
  <c r="AN87" i="31" s="1"/>
  <c r="AO87" i="31" s="1"/>
  <c r="AP87" i="31" s="1"/>
  <c r="AQ87" i="31" s="1"/>
  <c r="AR87" i="31" s="1"/>
  <c r="AS87" i="31" s="1"/>
  <c r="AT87" i="31" s="1"/>
  <c r="AU87" i="31" s="1"/>
  <c r="AV87" i="31" s="1"/>
  <c r="AW66" i="31"/>
  <c r="BN18" i="56"/>
  <c r="P18" i="35"/>
  <c r="AK85" i="36"/>
  <c r="AL85" i="36" s="1"/>
  <c r="AM85" i="36" s="1"/>
  <c r="AN85" i="36" s="1"/>
  <c r="AW64" i="36"/>
  <c r="P18" i="53"/>
  <c r="P19" i="53"/>
  <c r="BM18" i="32"/>
  <c r="AX19" i="33"/>
  <c r="AX18" i="33"/>
  <c r="AH65" i="47"/>
  <c r="AK87" i="42"/>
  <c r="AL87" i="42" s="1"/>
  <c r="AM87" i="42" s="1"/>
  <c r="AN87" i="42" s="1"/>
  <c r="AO87" i="42" s="1"/>
  <c r="AP87" i="42" s="1"/>
  <c r="AQ87" i="42" s="1"/>
  <c r="AR87" i="42" s="1"/>
  <c r="AS87" i="42" s="1"/>
  <c r="AT87" i="42" s="1"/>
  <c r="AU87" i="42" s="1"/>
  <c r="AV87" i="42" s="1"/>
  <c r="AW66" i="42"/>
  <c r="AV66" i="42"/>
  <c r="AW66" i="58"/>
  <c r="AW64" i="44"/>
  <c r="AV65" i="46"/>
  <c r="AX65" i="40"/>
  <c r="AM86" i="42"/>
  <c r="AN86" i="42" s="1"/>
  <c r="AO86" i="42" s="1"/>
  <c r="AP86" i="42" s="1"/>
  <c r="AQ86" i="42" s="1"/>
  <c r="AR86" i="42" s="1"/>
  <c r="K20" i="2"/>
  <c r="U5" i="3"/>
  <c r="I20" i="2" s="1"/>
  <c r="P65" i="52"/>
  <c r="T33" i="3"/>
  <c r="AV66" i="39"/>
  <c r="AN85" i="54"/>
  <c r="AO85" i="54" s="1"/>
  <c r="AP85" i="54" s="1"/>
  <c r="AQ85" i="54" s="1"/>
  <c r="AR85" i="54" s="1"/>
  <c r="AS85" i="54" s="1"/>
  <c r="AT85" i="54" s="1"/>
  <c r="AU85" i="54" s="1"/>
  <c r="AV85" i="54" s="1"/>
  <c r="P64" i="40"/>
  <c r="AR86" i="32"/>
  <c r="AS86" i="32" s="1"/>
  <c r="AT86" i="32" s="1"/>
  <c r="AU86" i="32" s="1"/>
  <c r="AV86" i="32" s="1"/>
  <c r="AA23" i="36"/>
  <c r="AD23" i="36" s="1"/>
  <c r="AD21" i="36"/>
  <c r="G10" i="2"/>
  <c r="P19" i="57"/>
  <c r="AS86" i="42"/>
  <c r="AT86" i="42" s="1"/>
  <c r="AU86" i="42" s="1"/>
  <c r="AV86" i="42" s="1"/>
  <c r="AJ65" i="35"/>
  <c r="AO85" i="44"/>
  <c r="AP85" i="44" s="1"/>
  <c r="AQ85" i="44" s="1"/>
  <c r="AR85" i="44" s="1"/>
  <c r="AS85" i="44" s="1"/>
  <c r="AV66" i="52"/>
  <c r="AV66" i="54"/>
  <c r="AL64" i="46"/>
  <c r="AW64" i="46" s="1"/>
  <c r="AX64" i="46" s="1"/>
  <c r="P64" i="46"/>
  <c r="AV66" i="34"/>
  <c r="AV66" i="53"/>
  <c r="N64" i="38"/>
  <c r="P64" i="38"/>
  <c r="AL64" i="33"/>
  <c r="AM85" i="33" s="1"/>
  <c r="AN85" i="33" s="1"/>
  <c r="AO85" i="33" s="1"/>
  <c r="AP85" i="33" s="1"/>
  <c r="AQ85" i="33" s="1"/>
  <c r="AR85" i="33" s="1"/>
  <c r="AS85" i="33" s="1"/>
  <c r="AT85" i="33" s="1"/>
  <c r="AU85" i="33" s="1"/>
  <c r="AV85" i="33" s="1"/>
  <c r="P64" i="33"/>
  <c r="P19" i="56"/>
  <c r="AN64" i="39"/>
  <c r="P64" i="39"/>
  <c r="E85" i="38"/>
  <c r="F85" i="38" s="1"/>
  <c r="G85" i="38" s="1"/>
  <c r="H85" i="38" s="1"/>
  <c r="I85" i="38" s="1"/>
  <c r="J85" i="38" s="1"/>
  <c r="K85" i="38" s="1"/>
  <c r="L85" i="38" s="1"/>
  <c r="M85" i="38" s="1"/>
  <c r="N85" i="38" s="1"/>
  <c r="AX65" i="53"/>
  <c r="AV64" i="43"/>
  <c r="AX64" i="50"/>
  <c r="AX63" i="32"/>
  <c r="AV65" i="32"/>
  <c r="P64" i="51"/>
  <c r="N64" i="51"/>
  <c r="E85" i="51"/>
  <c r="F85" i="51" s="1"/>
  <c r="G85" i="51" s="1"/>
  <c r="H85" i="51" s="1"/>
  <c r="I85" i="51" s="1"/>
  <c r="J85" i="51" s="1"/>
  <c r="K85" i="51" s="1"/>
  <c r="L85" i="51" s="1"/>
  <c r="M85" i="51" s="1"/>
  <c r="N85" i="51" s="1"/>
  <c r="AM87" i="53"/>
  <c r="AN87" i="53" s="1"/>
  <c r="AO87" i="53" s="1"/>
  <c r="AP87" i="53" s="1"/>
  <c r="AQ87" i="53" s="1"/>
  <c r="AR87" i="53" s="1"/>
  <c r="AS87" i="53" s="1"/>
  <c r="AT87" i="53" s="1"/>
  <c r="AU87" i="53" s="1"/>
  <c r="AV87" i="53" s="1"/>
  <c r="AP87" i="57"/>
  <c r="AQ87" i="57" s="1"/>
  <c r="AR87" i="57" s="1"/>
  <c r="AS87" i="57" s="1"/>
  <c r="AT87" i="57" s="1"/>
  <c r="AU87" i="57" s="1"/>
  <c r="AV87" i="57" s="1"/>
  <c r="C85" i="58"/>
  <c r="D85" i="58" s="1"/>
  <c r="E85" i="58" s="1"/>
  <c r="F85" i="58" s="1"/>
  <c r="G85" i="58" s="1"/>
  <c r="H85" i="58" s="1"/>
  <c r="I85" i="58" s="1"/>
  <c r="J85" i="58" s="1"/>
  <c r="K85" i="58" s="1"/>
  <c r="L85" i="58" s="1"/>
  <c r="M85" i="58" s="1"/>
  <c r="N85" i="58" s="1"/>
  <c r="P64" i="58"/>
  <c r="P64" i="55"/>
  <c r="N64" i="55"/>
  <c r="D85" i="34"/>
  <c r="E85" i="34" s="1"/>
  <c r="F85" i="34" s="1"/>
  <c r="G85" i="34" s="1"/>
  <c r="H85" i="34" s="1"/>
  <c r="I85" i="34" s="1"/>
  <c r="J85" i="34" s="1"/>
  <c r="K85" i="34" s="1"/>
  <c r="L85" i="34" s="1"/>
  <c r="M85" i="34" s="1"/>
  <c r="N85" i="34" s="1"/>
  <c r="C85" i="31"/>
  <c r="D85" i="31" s="1"/>
  <c r="E85" i="31" s="1"/>
  <c r="F85" i="31" s="1"/>
  <c r="G85" i="31" s="1"/>
  <c r="H85" i="31" s="1"/>
  <c r="I85" i="31" s="1"/>
  <c r="J85" i="31" s="1"/>
  <c r="K85" i="31" s="1"/>
  <c r="L85" i="31" s="1"/>
  <c r="M85" i="31" s="1"/>
  <c r="N85" i="31" s="1"/>
  <c r="AJ64" i="31"/>
  <c r="P64" i="31"/>
  <c r="C85" i="48"/>
  <c r="D85" i="48" s="1"/>
  <c r="E85" i="48" s="1"/>
  <c r="F85" i="48" s="1"/>
  <c r="G85" i="48" s="1"/>
  <c r="H85" i="48" s="1"/>
  <c r="I85" i="48" s="1"/>
  <c r="J85" i="48" s="1"/>
  <c r="K85" i="48" s="1"/>
  <c r="L85" i="48" s="1"/>
  <c r="M85" i="48" s="1"/>
  <c r="N85" i="48" s="1"/>
  <c r="AJ64" i="48"/>
  <c r="P64" i="48"/>
  <c r="AO64" i="49"/>
  <c r="AV64" i="49" s="1"/>
  <c r="P64" i="49"/>
  <c r="N64" i="49"/>
  <c r="AX64" i="45"/>
  <c r="AX65" i="44"/>
  <c r="AO85" i="36"/>
  <c r="AP85" i="36" s="1"/>
  <c r="AQ85" i="36" s="1"/>
  <c r="AR85" i="36" s="1"/>
  <c r="AS85" i="36" s="1"/>
  <c r="AT85" i="36" s="1"/>
  <c r="AU85" i="36" s="1"/>
  <c r="AV85" i="36" s="1"/>
  <c r="AV64" i="44"/>
  <c r="AX64" i="43"/>
  <c r="AX65" i="43"/>
  <c r="AP86" i="34"/>
  <c r="AQ86" i="34" s="1"/>
  <c r="AR86" i="34" s="1"/>
  <c r="AS86" i="34" s="1"/>
  <c r="AT86" i="34" s="1"/>
  <c r="AU86" i="34" s="1"/>
  <c r="AV86" i="34" s="1"/>
  <c r="AV65" i="31"/>
  <c r="AX65" i="31"/>
  <c r="AL85" i="43"/>
  <c r="AM85" i="43" s="1"/>
  <c r="AN85" i="43" s="1"/>
  <c r="AO85" i="43" s="1"/>
  <c r="AP85" i="43" s="1"/>
  <c r="AQ85" i="43" s="1"/>
  <c r="AR85" i="43" s="1"/>
  <c r="AS85" i="43" s="1"/>
  <c r="AT85" i="43" s="1"/>
  <c r="AU85" i="43" s="1"/>
  <c r="AV85" i="43" s="1"/>
  <c r="AX65" i="58"/>
  <c r="AV65" i="40"/>
  <c r="AK86" i="35"/>
  <c r="AL86" i="35" s="1"/>
  <c r="AM86" i="35" s="1"/>
  <c r="AN86" i="35" s="1"/>
  <c r="AO86" i="35" s="1"/>
  <c r="AP86" i="35" s="1"/>
  <c r="AQ86" i="35" s="1"/>
  <c r="AR86" i="35" s="1"/>
  <c r="AS86" i="35" s="1"/>
  <c r="AT86" i="35" s="1"/>
  <c r="AU86" i="35" s="1"/>
  <c r="AV86" i="35" s="1"/>
  <c r="AV65" i="36"/>
  <c r="AN86" i="44"/>
  <c r="AO86" i="44" s="1"/>
  <c r="AP86" i="44" s="1"/>
  <c r="AQ86" i="44" s="1"/>
  <c r="AR86" i="44" s="1"/>
  <c r="AS86" i="44" s="1"/>
  <c r="AT86" i="44" s="1"/>
  <c r="AU86" i="44" s="1"/>
  <c r="AV86" i="44" s="1"/>
  <c r="AL86" i="43"/>
  <c r="AM86" i="43" s="1"/>
  <c r="AN86" i="43" s="1"/>
  <c r="AO86" i="43" s="1"/>
  <c r="AP86" i="43" s="1"/>
  <c r="AQ86" i="43" s="1"/>
  <c r="AR86" i="43" s="1"/>
  <c r="AS86" i="43" s="1"/>
  <c r="AT86" i="43" s="1"/>
  <c r="AU86" i="43" s="1"/>
  <c r="AV86" i="43" s="1"/>
  <c r="AV65" i="43"/>
  <c r="AV65" i="33"/>
  <c r="AK86" i="58"/>
  <c r="AL86" i="58" s="1"/>
  <c r="AM86" i="58" s="1"/>
  <c r="AN86" i="58" s="1"/>
  <c r="AO86" i="58" s="1"/>
  <c r="AP86" i="58" s="1"/>
  <c r="AQ86" i="58" s="1"/>
  <c r="AR86" i="58" s="1"/>
  <c r="AS86" i="58" s="1"/>
  <c r="AT86" i="58" s="1"/>
  <c r="AU86" i="58" s="1"/>
  <c r="AS86" i="40"/>
  <c r="AT86" i="40" s="1"/>
  <c r="AU86" i="40" s="1"/>
  <c r="AV86" i="40" s="1"/>
  <c r="AN85" i="45"/>
  <c r="AO85" i="45" s="1"/>
  <c r="AP85" i="45" s="1"/>
  <c r="AQ85" i="45" s="1"/>
  <c r="AR85" i="45" s="1"/>
  <c r="AS85" i="45" s="1"/>
  <c r="AT85" i="45" s="1"/>
  <c r="AU85" i="45" s="1"/>
  <c r="AV85" i="45" s="1"/>
  <c r="AX65" i="36"/>
  <c r="AX64" i="32"/>
  <c r="AV64" i="32"/>
  <c r="P19" i="42"/>
  <c r="AX65" i="39"/>
  <c r="AV65" i="39"/>
  <c r="P19" i="38"/>
  <c r="AU86" i="48"/>
  <c r="AV86" i="48" s="1"/>
  <c r="AX64" i="44"/>
  <c r="AV64" i="50"/>
  <c r="AN86" i="36"/>
  <c r="AO86" i="36" s="1"/>
  <c r="AP86" i="36" s="1"/>
  <c r="AQ86" i="36" s="1"/>
  <c r="AR86" i="36" s="1"/>
  <c r="AS86" i="36" s="1"/>
  <c r="AT86" i="36" s="1"/>
  <c r="AU86" i="36" s="1"/>
  <c r="AV86" i="36" s="1"/>
  <c r="AV64" i="37"/>
  <c r="AL87" i="46"/>
  <c r="AM87" i="46" s="1"/>
  <c r="AN87" i="46" s="1"/>
  <c r="AO87" i="46" s="1"/>
  <c r="AP87" i="46" s="1"/>
  <c r="AQ87" i="46" s="1"/>
  <c r="AR87" i="46" s="1"/>
  <c r="AS87" i="46" s="1"/>
  <c r="AT87" i="46" s="1"/>
  <c r="AU87" i="46" s="1"/>
  <c r="AV87" i="46" s="1"/>
  <c r="AX64" i="37"/>
  <c r="AX65" i="33"/>
  <c r="AV66" i="33"/>
  <c r="AN87" i="33"/>
  <c r="AO87" i="33" s="1"/>
  <c r="AP87" i="33" s="1"/>
  <c r="AQ87" i="33" s="1"/>
  <c r="AR87" i="33" s="1"/>
  <c r="AS87" i="33" s="1"/>
  <c r="AT87" i="33" s="1"/>
  <c r="AU87" i="33" s="1"/>
  <c r="AV87" i="33" s="1"/>
  <c r="Y5" i="3"/>
  <c r="AC19" i="3"/>
  <c r="I13" i="18" s="1"/>
  <c r="V33" i="3"/>
  <c r="G20" i="13"/>
  <c r="G14" i="13" s="1"/>
  <c r="S33" i="3"/>
  <c r="AG20" i="3"/>
  <c r="I17" i="19" s="1"/>
  <c r="G18" i="15"/>
  <c r="G14" i="15"/>
  <c r="G10" i="15"/>
  <c r="G9" i="13"/>
  <c r="W33" i="3"/>
  <c r="J9" i="14"/>
  <c r="K9" i="14" s="1"/>
  <c r="Z33" i="3"/>
  <c r="X33" i="3"/>
  <c r="J13" i="6"/>
  <c r="K13" i="6" s="1"/>
  <c r="AD33" i="3"/>
  <c r="Z5" i="3"/>
  <c r="J9" i="2" s="1"/>
  <c r="K9" i="2" s="1"/>
  <c r="AV64" i="53"/>
  <c r="AN86" i="46"/>
  <c r="AO86" i="46" s="1"/>
  <c r="AP86" i="46" s="1"/>
  <c r="AQ86" i="46" s="1"/>
  <c r="AR86" i="46" s="1"/>
  <c r="AS86" i="46" s="1"/>
  <c r="AT86" i="46" s="1"/>
  <c r="AU86" i="46" s="1"/>
  <c r="AV86" i="46" s="1"/>
  <c r="AG21" i="3"/>
  <c r="I17" i="20" s="1"/>
  <c r="AE21" i="3"/>
  <c r="G17" i="20" s="1"/>
  <c r="G18" i="20" s="1"/>
  <c r="Y20" i="3"/>
  <c r="I9" i="19" s="1"/>
  <c r="AE17" i="3"/>
  <c r="G17" i="16" s="1"/>
  <c r="G18" i="16" s="1"/>
  <c r="AG17" i="3"/>
  <c r="I17" i="16" s="1"/>
  <c r="AH30" i="3"/>
  <c r="J17" i="29" s="1"/>
  <c r="K17" i="29" s="1"/>
  <c r="AC8" i="3"/>
  <c r="I13" i="6" s="1"/>
  <c r="AA8" i="3"/>
  <c r="AA5" i="3"/>
  <c r="G13" i="2" s="1"/>
  <c r="G14" i="2" s="1"/>
  <c r="AJ65" i="47"/>
  <c r="AW65" i="47" s="1"/>
  <c r="N65" i="47"/>
  <c r="C86" i="47"/>
  <c r="D86" i="47" s="1"/>
  <c r="E86" i="47" s="1"/>
  <c r="F86" i="47" s="1"/>
  <c r="G86" i="47" s="1"/>
  <c r="H86" i="47" s="1"/>
  <c r="I86" i="47" s="1"/>
  <c r="J86" i="47" s="1"/>
  <c r="K86" i="47" s="1"/>
  <c r="L86" i="47" s="1"/>
  <c r="M86" i="47" s="1"/>
  <c r="N86" i="47" s="1"/>
  <c r="BL18" i="33"/>
  <c r="BN18" i="33"/>
  <c r="BL18" i="43"/>
  <c r="BN18" i="43"/>
  <c r="N65" i="55"/>
  <c r="AS65" i="55"/>
  <c r="N65" i="49"/>
  <c r="P65" i="49"/>
  <c r="AK65" i="49"/>
  <c r="AL86" i="49" s="1"/>
  <c r="AM86" i="49" s="1"/>
  <c r="AN86" i="49" s="1"/>
  <c r="AO86" i="49" s="1"/>
  <c r="AP86" i="49" s="1"/>
  <c r="AQ86" i="49" s="1"/>
  <c r="AR86" i="49" s="1"/>
  <c r="AS86" i="49" s="1"/>
  <c r="AT86" i="49" s="1"/>
  <c r="AU86" i="49" s="1"/>
  <c r="AV86" i="49" s="1"/>
  <c r="L86" i="55"/>
  <c r="M86" i="55" s="1"/>
  <c r="N86" i="55" s="1"/>
  <c r="BN18" i="40"/>
  <c r="BL18" i="40"/>
  <c r="BL18" i="36"/>
  <c r="BN18" i="36"/>
  <c r="AX18" i="58"/>
  <c r="AV18" i="58"/>
  <c r="AV86" i="58"/>
  <c r="AV64" i="55"/>
  <c r="AM85" i="49"/>
  <c r="AN85" i="49" s="1"/>
  <c r="AO85" i="49" s="1"/>
  <c r="AP85" i="49" s="1"/>
  <c r="AQ85" i="49" s="1"/>
  <c r="AR85" i="49" s="1"/>
  <c r="AS85" i="49" s="1"/>
  <c r="AT85" i="49" s="1"/>
  <c r="AU85" i="49" s="1"/>
  <c r="AV85" i="49" s="1"/>
  <c r="AM65" i="38"/>
  <c r="AW65" i="38" s="1"/>
  <c r="AF65" i="38"/>
  <c r="AH65" i="38"/>
  <c r="N65" i="35"/>
  <c r="C86" i="35"/>
  <c r="D86" i="35" s="1"/>
  <c r="E86" i="35" s="1"/>
  <c r="F86" i="35" s="1"/>
  <c r="G86" i="35" s="1"/>
  <c r="H86" i="35" s="1"/>
  <c r="I86" i="35" s="1"/>
  <c r="J86" i="35" s="1"/>
  <c r="K86" i="35" s="1"/>
  <c r="L86" i="35" s="1"/>
  <c r="M86" i="35" s="1"/>
  <c r="N86" i="35" s="1"/>
  <c r="F86" i="52"/>
  <c r="G86" i="52" s="1"/>
  <c r="H86" i="52" s="1"/>
  <c r="I86" i="52" s="1"/>
  <c r="J86" i="52" s="1"/>
  <c r="K86" i="52" s="1"/>
  <c r="L86" i="52" s="1"/>
  <c r="M86" i="52" s="1"/>
  <c r="N86" i="52" s="1"/>
  <c r="BL18" i="58"/>
  <c r="BN18" i="58"/>
  <c r="BL18" i="42"/>
  <c r="BN18" i="42"/>
  <c r="AE15" i="3"/>
  <c r="G17" i="14" s="1"/>
  <c r="G18" i="14" s="1"/>
  <c r="AG15" i="3"/>
  <c r="I17" i="14" s="1"/>
  <c r="AC11" i="3"/>
  <c r="I13" i="9" s="1"/>
  <c r="AA11" i="3"/>
  <c r="G13" i="9" s="1"/>
  <c r="G14" i="9" s="1"/>
  <c r="AE7" i="3"/>
  <c r="G17" i="5" s="1"/>
  <c r="G18" i="5" s="1"/>
  <c r="AG7" i="3"/>
  <c r="I17" i="5" s="1"/>
  <c r="AJ65" i="57"/>
  <c r="N65" i="57"/>
  <c r="C86" i="57"/>
  <c r="D86" i="57" s="1"/>
  <c r="E86" i="57" s="1"/>
  <c r="F86" i="57" s="1"/>
  <c r="G86" i="57" s="1"/>
  <c r="H86" i="57" s="1"/>
  <c r="I86" i="57" s="1"/>
  <c r="J86" i="57" s="1"/>
  <c r="K86" i="57" s="1"/>
  <c r="L86" i="57" s="1"/>
  <c r="M86" i="57" s="1"/>
  <c r="N86" i="57" s="1"/>
  <c r="BN18" i="55"/>
  <c r="BL18" i="55"/>
  <c r="C86" i="50"/>
  <c r="D86" i="50" s="1"/>
  <c r="E86" i="50" s="1"/>
  <c r="F86" i="50" s="1"/>
  <c r="G86" i="50" s="1"/>
  <c r="H86" i="50" s="1"/>
  <c r="I86" i="50" s="1"/>
  <c r="J86" i="50" s="1"/>
  <c r="K86" i="50" s="1"/>
  <c r="L86" i="50" s="1"/>
  <c r="M86" i="50" s="1"/>
  <c r="N86" i="50" s="1"/>
  <c r="P65" i="50"/>
  <c r="N65" i="50"/>
  <c r="P65" i="41"/>
  <c r="N65" i="41"/>
  <c r="AL65" i="41"/>
  <c r="AW65" i="41" s="1"/>
  <c r="AX18" i="54"/>
  <c r="AV18" i="54"/>
  <c r="BN18" i="37"/>
  <c r="BL18" i="37"/>
  <c r="AT39" i="54"/>
  <c r="AU39" i="54" s="1"/>
  <c r="AV39" i="54" s="1"/>
  <c r="AH12" i="3"/>
  <c r="AH5" i="3"/>
  <c r="J17" i="2" s="1"/>
  <c r="AE32" i="3"/>
  <c r="G17" i="10" s="1"/>
  <c r="G18" i="10" s="1"/>
  <c r="AG32" i="3"/>
  <c r="I17" i="10" s="1"/>
  <c r="AG10" i="3"/>
  <c r="I17" i="8" s="1"/>
  <c r="AE8" i="3"/>
  <c r="G17" i="6" s="1"/>
  <c r="G18" i="6" s="1"/>
  <c r="AG8" i="3"/>
  <c r="I17" i="6" s="1"/>
  <c r="BL18" i="34"/>
  <c r="BN18" i="34"/>
  <c r="AV18" i="57"/>
  <c r="AX18" i="57"/>
  <c r="AM65" i="52"/>
  <c r="AW65" i="52" s="1"/>
  <c r="BN18" i="51"/>
  <c r="BL18" i="51"/>
  <c r="E86" i="41"/>
  <c r="F86" i="41" s="1"/>
  <c r="G86" i="41" s="1"/>
  <c r="H86" i="41" s="1"/>
  <c r="I86" i="41" s="1"/>
  <c r="J86" i="41" s="1"/>
  <c r="K86" i="41" s="1"/>
  <c r="L86" i="41" s="1"/>
  <c r="M86" i="41" s="1"/>
  <c r="N86" i="41" s="1"/>
  <c r="AJ65" i="50"/>
  <c r="AW65" i="50" s="1"/>
  <c r="AX18" i="45"/>
  <c r="AX19" i="45"/>
  <c r="AX19" i="31"/>
  <c r="AX18" i="31"/>
  <c r="AO85" i="40"/>
  <c r="AP85" i="40" s="1"/>
  <c r="AQ85" i="40" s="1"/>
  <c r="AR85" i="40" s="1"/>
  <c r="AS85" i="40" s="1"/>
  <c r="AT85" i="40" s="1"/>
  <c r="AU85" i="40" s="1"/>
  <c r="AV85" i="40" s="1"/>
  <c r="AM85" i="53"/>
  <c r="AN85" i="53" s="1"/>
  <c r="AO85" i="53" s="1"/>
  <c r="AP85" i="53" s="1"/>
  <c r="AQ85" i="53" s="1"/>
  <c r="AR85" i="53" s="1"/>
  <c r="AS85" i="53" s="1"/>
  <c r="AT85" i="53" s="1"/>
  <c r="AU85" i="53" s="1"/>
  <c r="AV85" i="53" s="1"/>
  <c r="P19" i="35"/>
  <c r="AX64" i="40"/>
  <c r="AV64" i="45"/>
  <c r="AX64" i="53"/>
  <c r="AX64" i="54"/>
  <c r="AV64" i="54"/>
  <c r="AV64" i="46"/>
  <c r="AV64" i="52"/>
  <c r="AO85" i="37"/>
  <c r="AP85" i="37" s="1"/>
  <c r="AQ85" i="37" s="1"/>
  <c r="AR85" i="37" s="1"/>
  <c r="AS85" i="37" s="1"/>
  <c r="AT85" i="37" s="1"/>
  <c r="AU85" i="37" s="1"/>
  <c r="AV85" i="37" s="1"/>
  <c r="AX64" i="41"/>
  <c r="AV64" i="41"/>
  <c r="AX64" i="57"/>
  <c r="AV64" i="57"/>
  <c r="AK87" i="38"/>
  <c r="AL87" i="38" s="1"/>
  <c r="AM87" i="38" s="1"/>
  <c r="AN87" i="38" s="1"/>
  <c r="AO87" i="38" s="1"/>
  <c r="AP87" i="38" s="1"/>
  <c r="AQ87" i="38" s="1"/>
  <c r="AR87" i="38" s="1"/>
  <c r="AS87" i="38" s="1"/>
  <c r="AT87" i="38" s="1"/>
  <c r="AU87" i="38" s="1"/>
  <c r="AV87" i="38" s="1"/>
  <c r="AV64" i="35"/>
  <c r="AX64" i="35"/>
  <c r="AK85" i="52"/>
  <c r="AL85" i="52" s="1"/>
  <c r="AM85" i="52" s="1"/>
  <c r="AN85" i="52" s="1"/>
  <c r="AO85" i="52" s="1"/>
  <c r="AP85" i="52" s="1"/>
  <c r="AQ85" i="52" s="1"/>
  <c r="AR85" i="52" s="1"/>
  <c r="AS85" i="52" s="1"/>
  <c r="AT85" i="52" s="1"/>
  <c r="AU85" i="52" s="1"/>
  <c r="AV85" i="52" s="1"/>
  <c r="AX64" i="52"/>
  <c r="AK85" i="47"/>
  <c r="AL85" i="47" s="1"/>
  <c r="AM85" i="47" s="1"/>
  <c r="AN85" i="47" s="1"/>
  <c r="AO85" i="47" s="1"/>
  <c r="AP85" i="47" s="1"/>
  <c r="AQ85" i="47" s="1"/>
  <c r="AR85" i="47" s="1"/>
  <c r="AS85" i="47" s="1"/>
  <c r="AT85" i="47" s="1"/>
  <c r="AU85" i="47" s="1"/>
  <c r="AV85" i="47" s="1"/>
  <c r="AV64" i="47"/>
  <c r="AV64" i="31"/>
  <c r="AP85" i="35"/>
  <c r="AQ85" i="35" s="1"/>
  <c r="AR85" i="35" s="1"/>
  <c r="AS85" i="35" s="1"/>
  <c r="AT85" i="35" s="1"/>
  <c r="AU85" i="35" s="1"/>
  <c r="AV85" i="35" s="1"/>
  <c r="AX65" i="54"/>
  <c r="AV65" i="54"/>
  <c r="AX65" i="46"/>
  <c r="AV64" i="40"/>
  <c r="AX64" i="34"/>
  <c r="AV64" i="34"/>
  <c r="AX65" i="45"/>
  <c r="AX64" i="58"/>
  <c r="AV64" i="58"/>
  <c r="AK85" i="58"/>
  <c r="AL85" i="58" s="1"/>
  <c r="AM85" i="58" s="1"/>
  <c r="AN85" i="58" s="1"/>
  <c r="AO85" i="58" s="1"/>
  <c r="AP85" i="58" s="1"/>
  <c r="AQ85" i="58" s="1"/>
  <c r="AR85" i="58" s="1"/>
  <c r="AS85" i="58" s="1"/>
  <c r="AT85" i="58" s="1"/>
  <c r="AU85" i="58" s="1"/>
  <c r="AV85" i="58" s="1"/>
  <c r="AV64" i="33"/>
  <c r="AT85" i="44"/>
  <c r="AU85" i="44" s="1"/>
  <c r="AV85" i="44" s="1"/>
  <c r="AV65" i="56"/>
  <c r="AX65" i="56"/>
  <c r="AK85" i="38"/>
  <c r="AL85" i="38" s="1"/>
  <c r="AM85" i="38" s="1"/>
  <c r="AN85" i="38" s="1"/>
  <c r="AO85" i="38" s="1"/>
  <c r="AP85" i="38" s="1"/>
  <c r="AQ85" i="38" s="1"/>
  <c r="AR85" i="38" s="1"/>
  <c r="AS85" i="38" s="1"/>
  <c r="AT85" i="38" s="1"/>
  <c r="AU85" i="38" s="1"/>
  <c r="AV85" i="38" s="1"/>
  <c r="AV64" i="38"/>
  <c r="AO86" i="56"/>
  <c r="AP86" i="56" s="1"/>
  <c r="AQ86" i="56" s="1"/>
  <c r="AR86" i="56" s="1"/>
  <c r="AS86" i="56" s="1"/>
  <c r="AT86" i="56" s="1"/>
  <c r="AU86" i="56" s="1"/>
  <c r="AV86" i="56" s="1"/>
  <c r="AX64" i="55"/>
  <c r="AK85" i="55"/>
  <c r="AL85" i="55" s="1"/>
  <c r="AM85" i="55" s="1"/>
  <c r="AN85" i="55" s="1"/>
  <c r="AO85" i="55" s="1"/>
  <c r="AP85" i="55" s="1"/>
  <c r="AQ85" i="55" s="1"/>
  <c r="AR85" i="55" s="1"/>
  <c r="AS85" i="55" s="1"/>
  <c r="AT85" i="55" s="1"/>
  <c r="AU85" i="55" s="1"/>
  <c r="AV85" i="55" s="1"/>
  <c r="AX65" i="42"/>
  <c r="AV65" i="42"/>
  <c r="AV64" i="42"/>
  <c r="AX64" i="42"/>
  <c r="AK85" i="42"/>
  <c r="AL85" i="42" s="1"/>
  <c r="AM85" i="42" s="1"/>
  <c r="AN85" i="42" s="1"/>
  <c r="AO85" i="42" s="1"/>
  <c r="AP85" i="42" s="1"/>
  <c r="AQ85" i="42" s="1"/>
  <c r="AR85" i="42" s="1"/>
  <c r="AS85" i="42" s="1"/>
  <c r="AT85" i="42" s="1"/>
  <c r="AU85" i="42" s="1"/>
  <c r="AV85" i="42" s="1"/>
  <c r="AN85" i="50"/>
  <c r="AO85" i="50" s="1"/>
  <c r="AP85" i="50" s="1"/>
  <c r="AQ85" i="50" s="1"/>
  <c r="AR85" i="50" s="1"/>
  <c r="AS85" i="50" s="1"/>
  <c r="AT85" i="50" s="1"/>
  <c r="AU85" i="50" s="1"/>
  <c r="AV85" i="50" s="1"/>
  <c r="AT86" i="45"/>
  <c r="AU86" i="45" s="1"/>
  <c r="AV86" i="45" s="1"/>
  <c r="AV64" i="51"/>
  <c r="AL85" i="51"/>
  <c r="AM85" i="51" s="1"/>
  <c r="AN85" i="51" s="1"/>
  <c r="AO85" i="51" s="1"/>
  <c r="AP85" i="51" s="1"/>
  <c r="AQ85" i="51" s="1"/>
  <c r="AR85" i="51" s="1"/>
  <c r="AS85" i="51" s="1"/>
  <c r="AT85" i="51" s="1"/>
  <c r="AU85" i="51" s="1"/>
  <c r="AV85" i="51" s="1"/>
  <c r="AX64" i="51"/>
  <c r="AR86" i="55"/>
  <c r="AS86" i="55" s="1"/>
  <c r="AX64" i="36"/>
  <c r="AV64" i="36"/>
  <c r="AN86" i="54"/>
  <c r="AO86" i="54" s="1"/>
  <c r="AP86" i="54" s="1"/>
  <c r="AQ86" i="54" s="1"/>
  <c r="AR86" i="54" s="1"/>
  <c r="AS86" i="54" s="1"/>
  <c r="AT86" i="54" s="1"/>
  <c r="AU86" i="54" s="1"/>
  <c r="AV86" i="54" s="1"/>
  <c r="AC23" i="31"/>
  <c r="AD21" i="31"/>
  <c r="AE21" i="31"/>
  <c r="AB20" i="3"/>
  <c r="H13" i="19" s="1"/>
  <c r="K13" i="19" s="1"/>
  <c r="AC20" i="3"/>
  <c r="I13" i="19" s="1"/>
  <c r="AZ18" i="31"/>
  <c r="BM18" i="31" s="1"/>
  <c r="AU104" i="3"/>
  <c r="AV18" i="52"/>
  <c r="AK39" i="52"/>
  <c r="AL39" i="52" s="1"/>
  <c r="AM39" i="52" s="1"/>
  <c r="AN39" i="52" s="1"/>
  <c r="AO39" i="52" s="1"/>
  <c r="AP39" i="52" s="1"/>
  <c r="AQ39" i="52" s="1"/>
  <c r="AR39" i="52" s="1"/>
  <c r="AS39" i="52" s="1"/>
  <c r="AT39" i="52" s="1"/>
  <c r="AU39" i="52" s="1"/>
  <c r="AV39" i="52" s="1"/>
  <c r="AX18" i="52"/>
  <c r="AC23" i="42"/>
  <c r="AE23" i="42" s="1"/>
  <c r="AE21" i="42"/>
  <c r="AF18" i="3"/>
  <c r="H17" i="17" s="1"/>
  <c r="K17" i="17" s="1"/>
  <c r="AG18" i="3"/>
  <c r="I17" i="17" s="1"/>
  <c r="AV65" i="37"/>
  <c r="AX65" i="37"/>
  <c r="D39" i="44"/>
  <c r="E39" i="44" s="1"/>
  <c r="F39" i="44" s="1"/>
  <c r="G39" i="44" s="1"/>
  <c r="H39" i="44" s="1"/>
  <c r="I39" i="44" s="1"/>
  <c r="J39" i="44" s="1"/>
  <c r="K39" i="44" s="1"/>
  <c r="L39" i="44" s="1"/>
  <c r="M39" i="44" s="1"/>
  <c r="N39" i="44" s="1"/>
  <c r="N18" i="44"/>
  <c r="AD21" i="57"/>
  <c r="AA23" i="57"/>
  <c r="AD23" i="57" s="1"/>
  <c r="AF14" i="3"/>
  <c r="AG14" i="3"/>
  <c r="I17" i="13" s="1"/>
  <c r="AV65" i="48"/>
  <c r="AX65" i="48"/>
  <c r="AR86" i="37"/>
  <c r="AS86" i="37" s="1"/>
  <c r="AT86" i="37" s="1"/>
  <c r="AU86" i="37" s="1"/>
  <c r="AV86" i="37" s="1"/>
  <c r="AX65" i="51"/>
  <c r="AC14" i="3"/>
  <c r="I13" i="13" s="1"/>
  <c r="AB14" i="3"/>
  <c r="AE14" i="3"/>
  <c r="AF64" i="39"/>
  <c r="U85" i="39"/>
  <c r="V85" i="39" s="1"/>
  <c r="W85" i="39" s="1"/>
  <c r="X85" i="39" s="1"/>
  <c r="Y85" i="39" s="1"/>
  <c r="Z85" i="39" s="1"/>
  <c r="AA85" i="39" s="1"/>
  <c r="AB85" i="39" s="1"/>
  <c r="AC85" i="39" s="1"/>
  <c r="AD85" i="39" s="1"/>
  <c r="AE85" i="39" s="1"/>
  <c r="AF85" i="39" s="1"/>
  <c r="AJ64" i="39"/>
  <c r="AW64" i="39" s="1"/>
  <c r="AH64" i="39"/>
  <c r="AK86" i="57" l="1"/>
  <c r="AL86" i="57" s="1"/>
  <c r="AM86" i="57" s="1"/>
  <c r="AN86" i="57" s="1"/>
  <c r="AO86" i="57" s="1"/>
  <c r="AP86" i="57" s="1"/>
  <c r="AQ86" i="57" s="1"/>
  <c r="AR86" i="57" s="1"/>
  <c r="AS86" i="57" s="1"/>
  <c r="AT86" i="57" s="1"/>
  <c r="AU86" i="57" s="1"/>
  <c r="AV86" i="57" s="1"/>
  <c r="AW65" i="57"/>
  <c r="AK85" i="48"/>
  <c r="AL85" i="48" s="1"/>
  <c r="AM85" i="48" s="1"/>
  <c r="AN85" i="48" s="1"/>
  <c r="AO85" i="48" s="1"/>
  <c r="AP85" i="48" s="1"/>
  <c r="AQ85" i="48" s="1"/>
  <c r="AR85" i="48" s="1"/>
  <c r="AS85" i="48" s="1"/>
  <c r="AT85" i="48" s="1"/>
  <c r="AU85" i="48" s="1"/>
  <c r="AV85" i="48" s="1"/>
  <c r="AW64" i="48"/>
  <c r="AV65" i="35"/>
  <c r="AW65" i="35"/>
  <c r="AX65" i="35" s="1"/>
  <c r="AW65" i="49"/>
  <c r="AX65" i="49" s="1"/>
  <c r="AW64" i="33"/>
  <c r="AX64" i="33" s="1"/>
  <c r="AW65" i="55"/>
  <c r="AX65" i="55" s="1"/>
  <c r="AK85" i="31"/>
  <c r="AL85" i="31" s="1"/>
  <c r="AM85" i="31" s="1"/>
  <c r="AN85" i="31" s="1"/>
  <c r="AO85" i="31" s="1"/>
  <c r="AP85" i="31" s="1"/>
  <c r="AQ85" i="31" s="1"/>
  <c r="AR85" i="31" s="1"/>
  <c r="AS85" i="31" s="1"/>
  <c r="AT85" i="31" s="1"/>
  <c r="AU85" i="31" s="1"/>
  <c r="AV85" i="31" s="1"/>
  <c r="AW64" i="31"/>
  <c r="AX64" i="31" s="1"/>
  <c r="AW64" i="49"/>
  <c r="AX64" i="49" s="1"/>
  <c r="U33" i="3"/>
  <c r="G10" i="13"/>
  <c r="AV64" i="48"/>
  <c r="AX64" i="48"/>
  <c r="AX65" i="57"/>
  <c r="AV65" i="57"/>
  <c r="AT86" i="55"/>
  <c r="AU86" i="55" s="1"/>
  <c r="AV86" i="55" s="1"/>
  <c r="AV65" i="55"/>
  <c r="AV65" i="49"/>
  <c r="AK86" i="50"/>
  <c r="AL86" i="50" s="1"/>
  <c r="AM86" i="50" s="1"/>
  <c r="AN86" i="50" s="1"/>
  <c r="AO86" i="50" s="1"/>
  <c r="AP86" i="50" s="1"/>
  <c r="AQ86" i="50" s="1"/>
  <c r="AR86" i="50" s="1"/>
  <c r="AS86" i="50" s="1"/>
  <c r="AT86" i="50" s="1"/>
  <c r="AU86" i="50" s="1"/>
  <c r="AV86" i="50" s="1"/>
  <c r="AX65" i="50"/>
  <c r="AV65" i="50"/>
  <c r="AN86" i="52"/>
  <c r="AO86" i="52" s="1"/>
  <c r="AP86" i="52" s="1"/>
  <c r="AQ86" i="52" s="1"/>
  <c r="AR86" i="52" s="1"/>
  <c r="AS86" i="52" s="1"/>
  <c r="AT86" i="52" s="1"/>
  <c r="AU86" i="52" s="1"/>
  <c r="AV86" i="52" s="1"/>
  <c r="AV65" i="52"/>
  <c r="AX65" i="52"/>
  <c r="J17" i="11"/>
  <c r="K17" i="11" s="1"/>
  <c r="AH33" i="3"/>
  <c r="G13" i="6"/>
  <c r="G14" i="6" s="1"/>
  <c r="AA33" i="3"/>
  <c r="AX65" i="38"/>
  <c r="AN86" i="38"/>
  <c r="AO86" i="38" s="1"/>
  <c r="AP86" i="38" s="1"/>
  <c r="AQ86" i="38" s="1"/>
  <c r="AR86" i="38" s="1"/>
  <c r="AS86" i="38" s="1"/>
  <c r="AT86" i="38" s="1"/>
  <c r="AU86" i="38" s="1"/>
  <c r="AV86" i="38" s="1"/>
  <c r="AV65" i="38"/>
  <c r="AK86" i="47"/>
  <c r="AL86" i="47" s="1"/>
  <c r="AM86" i="47" s="1"/>
  <c r="AN86" i="47" s="1"/>
  <c r="AO86" i="47" s="1"/>
  <c r="AP86" i="47" s="1"/>
  <c r="AQ86" i="47" s="1"/>
  <c r="AR86" i="47" s="1"/>
  <c r="AS86" i="47" s="1"/>
  <c r="AT86" i="47" s="1"/>
  <c r="AU86" i="47" s="1"/>
  <c r="AV86" i="47" s="1"/>
  <c r="AX65" i="47"/>
  <c r="AV65" i="47"/>
  <c r="Y33" i="3"/>
  <c r="I9" i="2"/>
  <c r="AX65" i="41"/>
  <c r="AM86" i="41"/>
  <c r="AN86" i="41" s="1"/>
  <c r="AO86" i="41" s="1"/>
  <c r="AP86" i="41" s="1"/>
  <c r="AQ86" i="41" s="1"/>
  <c r="AR86" i="41" s="1"/>
  <c r="AS86" i="41" s="1"/>
  <c r="AT86" i="41" s="1"/>
  <c r="AU86" i="41" s="1"/>
  <c r="AV86" i="41" s="1"/>
  <c r="AV65" i="41"/>
  <c r="AX64" i="38"/>
  <c r="AE5" i="3"/>
  <c r="G17" i="2" s="1"/>
  <c r="G18" i="2" s="1"/>
  <c r="H13" i="13"/>
  <c r="K13" i="13" s="1"/>
  <c r="AB33" i="3"/>
  <c r="H17" i="13"/>
  <c r="K17" i="13" s="1"/>
  <c r="AF33" i="3"/>
  <c r="AK85" i="39"/>
  <c r="AL85" i="39" s="1"/>
  <c r="AM85" i="39" s="1"/>
  <c r="AN85" i="39" s="1"/>
  <c r="AO85" i="39" s="1"/>
  <c r="AP85" i="39" s="1"/>
  <c r="AQ85" i="39" s="1"/>
  <c r="AR85" i="39" s="1"/>
  <c r="AS85" i="39" s="1"/>
  <c r="AT85" i="39" s="1"/>
  <c r="AU85" i="39" s="1"/>
  <c r="AV85" i="39" s="1"/>
  <c r="AX64" i="39"/>
  <c r="AV64" i="39"/>
  <c r="G17" i="13"/>
  <c r="G18" i="13" s="1"/>
  <c r="AE33" i="3"/>
  <c r="AF5" i="3"/>
  <c r="H17" i="2" s="1"/>
  <c r="K17" i="2" s="1"/>
  <c r="AG5" i="3"/>
  <c r="BL18" i="31"/>
  <c r="BN18" i="31"/>
  <c r="AC5" i="3"/>
  <c r="AB5" i="3"/>
  <c r="H13" i="2" s="1"/>
  <c r="K13" i="2" s="1"/>
  <c r="AE23" i="31"/>
  <c r="AD23" i="31"/>
  <c r="I17" i="2" l="1"/>
  <c r="AG33" i="3"/>
  <c r="I13" i="2"/>
  <c r="AC33" i="3"/>
</calcChain>
</file>

<file path=xl/sharedStrings.xml><?xml version="1.0" encoding="utf-8"?>
<sst xmlns="http://schemas.openxmlformats.org/spreadsheetml/2006/main" count="9527" uniqueCount="155">
  <si>
    <t>รหัสหน่วยงาน</t>
  </si>
  <si>
    <t>ปี</t>
  </si>
  <si>
    <t>เดือน</t>
  </si>
  <si>
    <t>รวมทั้งหมด</t>
  </si>
  <si>
    <t>ที่อยู่อาศัย</t>
  </si>
  <si>
    <t>ราชการ</t>
  </si>
  <si>
    <t>ธุรกิจขนาดเล็ก</t>
  </si>
  <si>
    <t>รัฐวิสาหกิจ</t>
  </si>
  <si>
    <t>ธุรกิจขนาดใหญ่</t>
  </si>
  <si>
    <t>อุตสาหกรรม</t>
  </si>
  <si>
    <t>อัตราค่าน้ำคงที่</t>
  </si>
  <si>
    <t>092559</t>
  </si>
  <si>
    <t>หน่วยน้ำ</t>
  </si>
  <si>
    <t>อัตราการใช้น้ำ</t>
  </si>
  <si>
    <t>รายได้ค่าน้ำ</t>
  </si>
  <si>
    <t>ค่าน้ำ/หน่วย</t>
  </si>
  <si>
    <t>6M</t>
  </si>
  <si>
    <t>วัน</t>
  </si>
  <si>
    <t>ประเภท 1</t>
  </si>
  <si>
    <t>ประเภท 2</t>
  </si>
  <si>
    <t>ประเภท 3</t>
  </si>
  <si>
    <t>รวม</t>
  </si>
  <si>
    <t>092558</t>
  </si>
  <si>
    <t>ประเภท</t>
  </si>
  <si>
    <t>ปี 2559</t>
  </si>
  <si>
    <t>ผู้ใช้น้ำ</t>
  </si>
  <si>
    <t>รายได้ค่าน้ำ/หน่วย</t>
  </si>
  <si>
    <t>ปี 2560</t>
  </si>
  <si>
    <t xml:space="preserve">ประเภท 2 </t>
  </si>
  <si>
    <t>ธ.เล็ก + ราชการ</t>
  </si>
  <si>
    <t>ธ.ใหญ่+รัฐฯ+อุตฯ</t>
  </si>
  <si>
    <t xml:space="preserve">ประเภท 1 </t>
  </si>
  <si>
    <t>(ราย)</t>
  </si>
  <si>
    <t>(ล้าน ลบ.ม.)</t>
  </si>
  <si>
    <t>(ลบ.ม./ราย/วัน)</t>
  </si>
  <si>
    <t>(ล้านบาท)</t>
  </si>
  <si>
    <t>(บาท/ลบ.ม.)</t>
  </si>
  <si>
    <t>น้ำขาย</t>
  </si>
  <si>
    <t>อ.การใช้น้ำ</t>
  </si>
  <si>
    <t>รายได้</t>
  </si>
  <si>
    <t>เขตธุรกิจ</t>
  </si>
  <si>
    <t>กปภ.สาขา</t>
  </si>
  <si>
    <t>กปภ.ข.9</t>
  </si>
  <si>
    <t>เชียงใหม่(พ)</t>
  </si>
  <si>
    <t>ฮอด</t>
  </si>
  <si>
    <t>สันกำแพง</t>
  </si>
  <si>
    <t>แม่ริม</t>
  </si>
  <si>
    <t>แม่แตง</t>
  </si>
  <si>
    <t>ฝาง</t>
  </si>
  <si>
    <t>แม่ฮ่องสอน</t>
  </si>
  <si>
    <t>แม่สะเรียง</t>
  </si>
  <si>
    <t>ลำพูน</t>
  </si>
  <si>
    <t>บ้านโฮ่ง</t>
  </si>
  <si>
    <t>ลำปาง</t>
  </si>
  <si>
    <t>เกาะคา</t>
  </si>
  <si>
    <t>เถิน</t>
  </si>
  <si>
    <t>แพร่</t>
  </si>
  <si>
    <t>เด่นชัย</t>
  </si>
  <si>
    <t>ร้องกวาง</t>
  </si>
  <si>
    <t>น่าน</t>
  </si>
  <si>
    <t>ท่าวังผา</t>
  </si>
  <si>
    <t>พะเยา</t>
  </si>
  <si>
    <t>จุน</t>
  </si>
  <si>
    <t>เชียงราย</t>
  </si>
  <si>
    <t>พาน</t>
  </si>
  <si>
    <t>เทิง</t>
  </si>
  <si>
    <t>เวียงเชียงของ</t>
  </si>
  <si>
    <t>แม่สาย</t>
  </si>
  <si>
    <t>แม่ขะจาน</t>
  </si>
  <si>
    <t>จอมทอง</t>
  </si>
  <si>
    <t>จำนวนผู้ใช้น้ำ  อัตราการใช้น้ำ รายได้ค่าน้ำ  จำแนกตามประเภทผู้ใช้น้ำ</t>
  </si>
  <si>
    <t>Update :</t>
  </si>
  <si>
    <t>หมายเหตุ :  ข้อมูลจากรายงาน M.10, R-099</t>
  </si>
  <si>
    <t>ปริมาณน้ำผ่านมาตร</t>
  </si>
  <si>
    <t>ต.ค.</t>
  </si>
  <si>
    <t>พ.ย.</t>
  </si>
  <si>
    <t>ธ.ค.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</si>
  <si>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</si>
  <si>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</si>
  <si>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</si>
  <si>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</si>
  <si>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</si>
  <si>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</si>
  <si>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</si>
  <si>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</si>
  <si>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</si>
  <si>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จำนวนผู้ใช้น้ำเพิ่ม 2560</t>
  </si>
  <si>
    <t>จำนวนผู้ใช้น้ำเพิ่ม 2559</t>
  </si>
  <si>
    <t>เป้าหมาย 2560</t>
  </si>
  <si>
    <t>สะสม</t>
  </si>
  <si>
    <t>ผล</t>
  </si>
  <si>
    <t>ต่าง</t>
  </si>
  <si>
    <t>Y59</t>
  </si>
  <si>
    <t>Y60</t>
  </si>
  <si>
    <t>เป้า 60</t>
  </si>
  <si>
    <t>ทั้งปี</t>
  </si>
  <si>
    <t>1M</t>
  </si>
  <si>
    <t>2M</t>
  </si>
  <si>
    <t>3M</t>
  </si>
  <si>
    <t>4M</t>
  </si>
  <si>
    <t>5M</t>
  </si>
  <si>
    <t>7M</t>
  </si>
  <si>
    <t>8M</t>
  </si>
  <si>
    <t>9M</t>
  </si>
  <si>
    <t>10M</t>
  </si>
  <si>
    <t>11M</t>
  </si>
  <si>
    <t>12M</t>
  </si>
  <si>
    <t>ผู้ใช้น้ำเพิ่ม : ราย</t>
  </si>
  <si>
    <t>ผู้ใช้น้ำเพิ่ม</t>
  </si>
  <si>
    <t>ปริมาณน้ำจำหน่าย : ล้าน ลบ.ม.</t>
  </si>
  <si>
    <t>ปริมาณน้ำจำหน่าย 2560</t>
  </si>
  <si>
    <t>ปริมาณน้ำสูญเสีย 2560</t>
  </si>
  <si>
    <t>ปริมาณน้ำจำหน่าย 2559</t>
  </si>
  <si>
    <t>ปริมาณน้ำสูญเสีย 2559</t>
  </si>
  <si>
    <t>ปริมาณน้ำสูญเสีย : ล้าน ลบ.ม.</t>
  </si>
  <si>
    <t>น้ำจำหน่าย</t>
  </si>
  <si>
    <t>น้ำสูญเสีย</t>
  </si>
  <si>
    <t>อัตราน้ำสูญเสีย</t>
  </si>
  <si>
    <t>Q1</t>
  </si>
  <si>
    <t>Q2</t>
  </si>
  <si>
    <t>Q3</t>
  </si>
  <si>
    <t>Q4</t>
  </si>
  <si>
    <t>อัตราน้ำสูญเสีย 2560</t>
  </si>
  <si>
    <t>ข้อตกลง</t>
  </si>
  <si>
    <t>อัตราน้ำสูญเสีย 2559</t>
  </si>
  <si>
    <t>ผลต่าง</t>
  </si>
  <si>
    <t>รายได้ดำเนินงาน</t>
  </si>
  <si>
    <t>รายได้ 60</t>
  </si>
  <si>
    <t>รายได้ 2559</t>
  </si>
  <si>
    <t>ค่าใช้จ่ายดำเนินงาน</t>
  </si>
  <si>
    <t>ค่าใช้จ่าย 2559</t>
  </si>
  <si>
    <t>ค่าใช้จ่าย 60 - ไม่รวม I,F</t>
  </si>
  <si>
    <t>รายได้ดำเนินงาน : ล้านบาท</t>
  </si>
  <si>
    <t>ค่าใช้จ่ายดำเนินงาน : ล้านบาท</t>
  </si>
  <si>
    <t>กำไร/ขาดทุนดำเนินงาน : ล้านบาท</t>
  </si>
  <si>
    <t>หมายเหตุ : ค่าใช้จ่ายดำเนินงาน ไม่รวม 1I, 1F</t>
  </si>
  <si>
    <t>กำไร/ขาดทุน
จากการดำเนินงาน</t>
  </si>
  <si>
    <t>สะสม 9 เดือน</t>
  </si>
  <si>
    <t>9 เดือน</t>
  </si>
  <si>
    <t>Q1/2560</t>
  </si>
  <si>
    <t>เป้า</t>
  </si>
  <si>
    <t>Q2/2560</t>
  </si>
  <si>
    <t>Q3/2560</t>
  </si>
  <si>
    <t>Q4/2560</t>
  </si>
  <si>
    <t>ปกติ</t>
  </si>
  <si>
    <t>ขยายเขต</t>
  </si>
  <si>
    <t>ผู้ใช้น้ำขยายเขต 60</t>
  </si>
  <si>
    <t>รวม(Q4)</t>
  </si>
  <si>
    <t>เป้าหมายผู้ใช้น้ำขยายเขต 60</t>
  </si>
  <si>
    <t>ผู้ใช้น้ำเพิ่มปกติ 60</t>
  </si>
  <si>
    <t>เป้าหมายผู้ใช้น้ำปกติ 60</t>
  </si>
  <si>
    <t>092560</t>
  </si>
  <si>
    <t>สะสม 12 เดือน</t>
  </si>
  <si>
    <t>งวดสะสม 12 เดือน (ต.ค. - ก.ย.)</t>
  </si>
  <si>
    <t>12 เดือน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</si>
</sst>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87" formatCode="_-* #,##0_-;\-* #,##0_-;_-* &quot;-&quot;??_-;_-@_-"/>
    <numFmt numFmtId="188" formatCode="_-* #,##0.000_-;\-* #,##0.000_-;_-* &quot;-&quot;??_-;_-@_-"/>
    <numFmt numFmtId="189" formatCode="_(* #,##0.00_);_(* \(#,##0.00\);_(* &quot;-&quot;??_);_(@_)"/>
    <numFmt numFmtId="190" formatCode="0.0%"/>
    <numFmt numFmtId="191" formatCode="#,##0_ ;\-#,##0\ "/>
    <numFmt numFmtId="192" formatCode="0.000"/>
    <numFmt numFmtId="193" formatCode="#,##0.000_ ;\-#,##0.000\ "/>
    <numFmt numFmtId="194" formatCode="_-* #,##0.0_-;\-* #,##0.0_-;_-* &quot;-&quot;??_-;_-@_-"/>
    <numFmt numFmtId="195" formatCode="#,##0.0_ ;\-#,##0.0\ "/>
    <numFmt numFmtId="196" formatCode="#,##0.00_ ;\-#,##0.00\ "/>
  </numFmts>
  <fonts count="46" x14ac:knownFonts="1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1"/>
      <color indexed="8"/>
      <name val="Tahoma"/>
      <family val="2"/>
    </font>
    <font>
      <sz val="11"/>
      <color indexed="8"/>
      <name val="Tahoma"/>
      <family val="2"/>
      <charset val="222"/>
    </font>
    <font>
      <b/>
      <sz val="14"/>
      <name val="TH SarabunPSK"/>
      <family val="2"/>
    </font>
    <font>
      <b/>
      <sz val="12"/>
      <name val="TH SarabunPSK"/>
      <family val="2"/>
    </font>
    <font>
      <b/>
      <sz val="13.5"/>
      <name val="TH SarabunPSK"/>
      <family val="2"/>
    </font>
    <font>
      <b/>
      <sz val="13"/>
      <name val="TH SarabunPSK"/>
      <family val="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FF0000"/>
      <name val="Tahoma"/>
      <family val="2"/>
      <charset val="222"/>
      <scheme val="minor"/>
    </font>
    <font>
      <sz val="10"/>
      <color rgb="FF0070C0"/>
      <name val="Arial"/>
      <family val="2"/>
    </font>
    <font>
      <b/>
      <sz val="16"/>
      <color theme="1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1"/>
      <color theme="1"/>
      <name val="Tahoma"/>
      <family val="2"/>
      <scheme val="minor"/>
    </font>
    <font>
      <b/>
      <sz val="11"/>
      <color rgb="FFFF0000"/>
      <name val="Tahoma"/>
      <family val="2"/>
      <charset val="222"/>
      <scheme val="minor"/>
    </font>
    <font>
      <sz val="11"/>
      <color rgb="FF000099"/>
      <name val="Tahoma"/>
      <family val="2"/>
      <charset val="222"/>
      <scheme val="minor"/>
    </font>
    <font>
      <b/>
      <sz val="11"/>
      <color rgb="FF000099"/>
      <name val="Tahoma"/>
      <family val="2"/>
      <charset val="222"/>
      <scheme val="minor"/>
    </font>
    <font>
      <b/>
      <sz val="14"/>
      <color rgb="FFFF0000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000099"/>
      <name val="TH SarabunPSK"/>
      <family val="2"/>
    </font>
    <font>
      <b/>
      <sz val="14"/>
      <color rgb="FFC00000"/>
      <name val="TH SarabunPSK"/>
      <family val="2"/>
    </font>
    <font>
      <sz val="11"/>
      <name val="Tahoma"/>
      <family val="2"/>
      <charset val="222"/>
      <scheme val="minor"/>
    </font>
    <font>
      <b/>
      <sz val="14"/>
      <color rgb="FFFFFFFF"/>
      <name val="TH SarabunPSK"/>
      <family val="2"/>
    </font>
    <font>
      <b/>
      <sz val="14"/>
      <color theme="0" tint="-0.499984740745262"/>
      <name val="TH SarabunPSK"/>
      <family val="2"/>
    </font>
    <font>
      <b/>
      <sz val="13"/>
      <color rgb="FF000099"/>
      <name val="TH SarabunPSK"/>
      <family val="2"/>
    </font>
    <font>
      <b/>
      <sz val="13"/>
      <color rgb="FFC00000"/>
      <name val="TH SarabunPSK"/>
      <family val="2"/>
    </font>
    <font>
      <b/>
      <sz val="13"/>
      <color rgb="FF000000"/>
      <name val="TH SarabunPSK"/>
      <family val="2"/>
    </font>
    <font>
      <b/>
      <sz val="13.5"/>
      <color rgb="FF000099"/>
      <name val="TH SarabunPSK"/>
      <family val="2"/>
    </font>
    <font>
      <b/>
      <sz val="13.5"/>
      <color rgb="FFC00000"/>
      <name val="TH SarabunPSK"/>
      <family val="2"/>
    </font>
    <font>
      <b/>
      <sz val="13.5"/>
      <color rgb="FF000000"/>
      <name val="TH SarabunPSK"/>
      <family val="2"/>
    </font>
    <font>
      <sz val="13.5"/>
      <color theme="1"/>
      <name val="Tahoma"/>
      <family val="2"/>
      <charset val="222"/>
      <scheme val="minor"/>
    </font>
    <font>
      <b/>
      <sz val="13.5"/>
      <color theme="1"/>
      <name val="TH SarabunPSK"/>
      <family val="2"/>
    </font>
    <font>
      <b/>
      <sz val="13.5"/>
      <color rgb="FFFF0000"/>
      <name val="TH SarabunPSK"/>
      <family val="2"/>
    </font>
    <font>
      <b/>
      <sz val="13.5"/>
      <color rgb="FFFFFFFF"/>
      <name val="TH SarabunPSK"/>
      <family val="2"/>
    </font>
    <font>
      <b/>
      <sz val="13"/>
      <color rgb="FFFFFFFF"/>
      <name val="TH SarabunPSK"/>
      <family val="2"/>
    </font>
    <font>
      <b/>
      <sz val="13"/>
      <color theme="1"/>
      <name val="TH SarabunPSK"/>
      <family val="2"/>
    </font>
    <font>
      <sz val="13"/>
      <color theme="1"/>
      <name val="Tahoma"/>
      <family val="2"/>
      <charset val="222"/>
      <scheme val="minor"/>
    </font>
    <font>
      <b/>
      <sz val="26"/>
      <color theme="1"/>
      <name val="TH SarabunPSK"/>
      <family val="2"/>
    </font>
    <font>
      <b/>
      <sz val="12"/>
      <color rgb="FFFFFFFF"/>
      <name val="TH SarabunPSK"/>
      <family val="2"/>
    </font>
    <font>
      <b/>
      <sz val="13"/>
      <color rgb="FFFF0000"/>
      <name val="TH SarabunPSK"/>
      <family val="2"/>
    </font>
  </fonts>
  <fills count="3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FFB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9CC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/>
      <bottom style="thick">
        <color rgb="FFFFFFFF"/>
      </bottom>
      <diagonal/>
    </border>
  </borders>
  <cellStyleXfs count="23">
    <xf numFmtId="0" fontId="0" fillId="0" borderId="0"/>
    <xf numFmtId="43" fontId="1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7" fillId="0" borderId="0" applyFont="0" applyFill="0" applyBorder="0" applyAlignment="0" applyProtection="0"/>
    <xf numFmtId="189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</cellStyleXfs>
  <cellXfs count="888">
    <xf numFmtId="0" fontId="0" fillId="0" borderId="0" xfId="0"/>
    <xf numFmtId="0" fontId="1" fillId="0" borderId="0" xfId="22"/>
    <xf numFmtId="49" fontId="1" fillId="0" borderId="1" xfId="22" applyNumberFormat="1" applyFill="1" applyBorder="1" applyAlignment="1">
      <alignment horizontal="center" vertical="center"/>
    </xf>
    <xf numFmtId="49" fontId="1" fillId="0" borderId="2" xfId="22" applyNumberFormat="1" applyFill="1" applyBorder="1" applyAlignment="1">
      <alignment horizontal="center" vertical="center"/>
    </xf>
    <xf numFmtId="0" fontId="1" fillId="0" borderId="2" xfId="22" applyFill="1" applyBorder="1" applyAlignment="1">
      <alignment horizontal="center" vertical="center"/>
    </xf>
    <xf numFmtId="0" fontId="1" fillId="0" borderId="3" xfId="22" applyFill="1" applyBorder="1" applyAlignment="1">
      <alignment horizontal="center" vertical="center"/>
    </xf>
    <xf numFmtId="0" fontId="1" fillId="0" borderId="4" xfId="22" applyFill="1" applyBorder="1" applyAlignment="1">
      <alignment horizontal="center" vertical="center"/>
    </xf>
    <xf numFmtId="49" fontId="1" fillId="0" borderId="5" xfId="22" applyNumberFormat="1" applyFill="1" applyBorder="1" applyAlignment="1">
      <alignment horizontal="center" vertical="center"/>
    </xf>
    <xf numFmtId="0" fontId="1" fillId="0" borderId="0" xfId="22" applyFill="1" applyAlignment="1">
      <alignment horizontal="center"/>
    </xf>
    <xf numFmtId="0" fontId="1" fillId="0" borderId="6" xfId="22" applyBorder="1" applyAlignment="1">
      <alignment horizontal="center"/>
    </xf>
    <xf numFmtId="0" fontId="1" fillId="0" borderId="7" xfId="22" applyBorder="1" applyAlignment="1">
      <alignment horizontal="center"/>
    </xf>
    <xf numFmtId="49" fontId="1" fillId="0" borderId="8" xfId="22" applyNumberFormat="1" applyBorder="1" applyAlignment="1">
      <alignment horizontal="center"/>
    </xf>
    <xf numFmtId="187" fontId="1" fillId="0" borderId="9" xfId="1" applyNumberFormat="1" applyFont="1" applyBorder="1" applyAlignment="1">
      <alignment horizontal="center"/>
    </xf>
    <xf numFmtId="187" fontId="1" fillId="0" borderId="10" xfId="1" applyNumberFormat="1" applyFont="1" applyBorder="1"/>
    <xf numFmtId="188" fontId="1" fillId="0" borderId="10" xfId="1" applyNumberFormat="1" applyFont="1" applyBorder="1"/>
    <xf numFmtId="189" fontId="1" fillId="0" borderId="11" xfId="1" applyNumberFormat="1" applyFont="1" applyBorder="1"/>
    <xf numFmtId="188" fontId="1" fillId="0" borderId="12" xfId="1" applyNumberFormat="1" applyFont="1" applyBorder="1"/>
    <xf numFmtId="187" fontId="1" fillId="0" borderId="9" xfId="1" applyNumberFormat="1" applyFont="1" applyBorder="1"/>
    <xf numFmtId="187" fontId="1" fillId="0" borderId="13" xfId="1" applyNumberFormat="1" applyFont="1" applyBorder="1"/>
    <xf numFmtId="187" fontId="1" fillId="0" borderId="6" xfId="1" applyNumberFormat="1" applyFont="1" applyBorder="1" applyAlignment="1">
      <alignment horizontal="center"/>
    </xf>
    <xf numFmtId="187" fontId="1" fillId="0" borderId="7" xfId="1" applyNumberFormat="1" applyFont="1" applyBorder="1"/>
    <xf numFmtId="188" fontId="1" fillId="0" borderId="7" xfId="1" applyNumberFormat="1" applyFont="1" applyBorder="1"/>
    <xf numFmtId="189" fontId="1" fillId="0" borderId="8" xfId="1" applyNumberFormat="1" applyFont="1" applyBorder="1"/>
    <xf numFmtId="188" fontId="1" fillId="0" borderId="14" xfId="1" applyNumberFormat="1" applyFont="1" applyBorder="1"/>
    <xf numFmtId="187" fontId="1" fillId="0" borderId="6" xfId="1" applyNumberFormat="1" applyFont="1" applyBorder="1"/>
    <xf numFmtId="187" fontId="1" fillId="0" borderId="15" xfId="1" applyNumberFormat="1" applyFont="1" applyBorder="1"/>
    <xf numFmtId="0" fontId="1" fillId="0" borderId="16" xfId="22" applyBorder="1" applyAlignment="1">
      <alignment horizontal="center"/>
    </xf>
    <xf numFmtId="0" fontId="1" fillId="0" borderId="17" xfId="22" applyBorder="1" applyAlignment="1">
      <alignment horizontal="center"/>
    </xf>
    <xf numFmtId="0" fontId="1" fillId="0" borderId="18" xfId="22" applyBorder="1" applyAlignment="1">
      <alignment horizontal="center"/>
    </xf>
    <xf numFmtId="187" fontId="1" fillId="0" borderId="16" xfId="1" applyNumberFormat="1" applyFont="1" applyBorder="1" applyAlignment="1">
      <alignment horizontal="center"/>
    </xf>
    <xf numFmtId="187" fontId="1" fillId="0" borderId="17" xfId="1" applyNumberFormat="1" applyFont="1" applyBorder="1"/>
    <xf numFmtId="188" fontId="1" fillId="0" borderId="17" xfId="1" applyNumberFormat="1" applyFont="1" applyBorder="1"/>
    <xf numFmtId="189" fontId="1" fillId="0" borderId="18" xfId="1" applyNumberFormat="1" applyFont="1" applyBorder="1"/>
    <xf numFmtId="43" fontId="1" fillId="0" borderId="16" xfId="1" applyFont="1" applyBorder="1"/>
    <xf numFmtId="188" fontId="1" fillId="0" borderId="19" xfId="1" applyNumberFormat="1" applyFont="1" applyBorder="1"/>
    <xf numFmtId="43" fontId="1" fillId="0" borderId="20" xfId="1" applyFont="1" applyBorder="1"/>
    <xf numFmtId="0" fontId="1" fillId="0" borderId="21" xfId="22" applyBorder="1"/>
    <xf numFmtId="0" fontId="1" fillId="0" borderId="22" xfId="22" applyBorder="1"/>
    <xf numFmtId="0" fontId="1" fillId="0" borderId="23" xfId="22" applyBorder="1" applyAlignment="1">
      <alignment horizontal="center"/>
    </xf>
    <xf numFmtId="187" fontId="1" fillId="0" borderId="24" xfId="1" applyNumberFormat="1" applyFont="1" applyBorder="1" applyAlignment="1">
      <alignment horizontal="center"/>
    </xf>
    <xf numFmtId="187" fontId="1" fillId="0" borderId="25" xfId="1" applyNumberFormat="1" applyFont="1" applyBorder="1" applyAlignment="1">
      <alignment horizontal="center"/>
    </xf>
    <xf numFmtId="187" fontId="1" fillId="0" borderId="25" xfId="1" applyNumberFormat="1" applyFont="1" applyBorder="1"/>
    <xf numFmtId="188" fontId="1" fillId="0" borderId="25" xfId="1" applyNumberFormat="1" applyFont="1" applyBorder="1"/>
    <xf numFmtId="43" fontId="1" fillId="0" borderId="26" xfId="1" applyNumberFormat="1" applyFont="1" applyBorder="1"/>
    <xf numFmtId="187" fontId="1" fillId="0" borderId="24" xfId="1" applyNumberFormat="1" applyFont="1" applyBorder="1"/>
    <xf numFmtId="188" fontId="1" fillId="0" borderId="27" xfId="1" applyNumberFormat="1" applyFont="1" applyBorder="1"/>
    <xf numFmtId="187" fontId="1" fillId="0" borderId="28" xfId="1" applyNumberFormat="1" applyFont="1" applyBorder="1"/>
    <xf numFmtId="0" fontId="15" fillId="0" borderId="0" xfId="22" applyFont="1"/>
    <xf numFmtId="0" fontId="1" fillId="0" borderId="0" xfId="22" applyAlignment="1">
      <alignment horizontal="center"/>
    </xf>
    <xf numFmtId="187" fontId="1" fillId="0" borderId="0" xfId="22" applyNumberFormat="1" applyAlignment="1">
      <alignment horizontal="center"/>
    </xf>
    <xf numFmtId="187" fontId="1" fillId="0" borderId="0" xfId="17" applyNumberFormat="1"/>
    <xf numFmtId="188" fontId="1" fillId="0" borderId="0" xfId="1" applyNumberFormat="1" applyFont="1"/>
    <xf numFmtId="187" fontId="1" fillId="0" borderId="0" xfId="1" applyNumberFormat="1" applyFont="1"/>
    <xf numFmtId="0" fontId="1" fillId="0" borderId="0" xfId="17"/>
    <xf numFmtId="43" fontId="1" fillId="0" borderId="0" xfId="1" applyNumberFormat="1" applyFont="1"/>
    <xf numFmtId="43" fontId="1" fillId="0" borderId="0" xfId="1" applyFont="1"/>
    <xf numFmtId="0" fontId="3" fillId="2" borderId="0" xfId="22" applyFont="1" applyFill="1"/>
    <xf numFmtId="0" fontId="4" fillId="3" borderId="0" xfId="22" applyFont="1" applyFill="1"/>
    <xf numFmtId="0" fontId="1" fillId="3" borderId="0" xfId="22" applyFill="1" applyAlignment="1">
      <alignment horizontal="center"/>
    </xf>
    <xf numFmtId="0" fontId="1" fillId="3" borderId="0" xfId="22" applyFill="1"/>
    <xf numFmtId="0" fontId="1" fillId="4" borderId="29" xfId="22" applyFill="1" applyBorder="1" applyAlignment="1"/>
    <xf numFmtId="0" fontId="1" fillId="0" borderId="0" xfId="22" applyFill="1"/>
    <xf numFmtId="43" fontId="1" fillId="0" borderId="0" xfId="8" applyNumberFormat="1" applyFont="1" applyFill="1"/>
    <xf numFmtId="0" fontId="1" fillId="4" borderId="9" xfId="22" applyFill="1" applyBorder="1" applyAlignment="1"/>
    <xf numFmtId="49" fontId="1" fillId="0" borderId="24" xfId="22" applyNumberFormat="1" applyFill="1" applyBorder="1" applyAlignment="1">
      <alignment horizontal="center"/>
    </xf>
    <xf numFmtId="49" fontId="1" fillId="0" borderId="25" xfId="22" applyNumberFormat="1" applyFill="1" applyBorder="1" applyAlignment="1">
      <alignment horizontal="center" vertical="center"/>
    </xf>
    <xf numFmtId="0" fontId="1" fillId="0" borderId="25" xfId="22" applyFill="1" applyBorder="1" applyAlignment="1">
      <alignment horizontal="center"/>
    </xf>
    <xf numFmtId="0" fontId="1" fillId="0" borderId="27" xfId="22" applyFill="1" applyBorder="1" applyAlignment="1">
      <alignment horizontal="center"/>
    </xf>
    <xf numFmtId="0" fontId="1" fillId="0" borderId="26" xfId="22" applyFill="1" applyBorder="1" applyAlignment="1">
      <alignment horizontal="center"/>
    </xf>
    <xf numFmtId="0" fontId="1" fillId="0" borderId="6" xfId="22" applyFill="1" applyBorder="1" applyAlignment="1">
      <alignment horizontal="center"/>
    </xf>
    <xf numFmtId="0" fontId="1" fillId="0" borderId="7" xfId="22" applyFill="1" applyBorder="1" applyAlignment="1">
      <alignment horizontal="center"/>
    </xf>
    <xf numFmtId="187" fontId="1" fillId="0" borderId="9" xfId="1" applyNumberFormat="1" applyFont="1" applyFill="1" applyBorder="1" applyAlignment="1">
      <alignment horizontal="center"/>
    </xf>
    <xf numFmtId="187" fontId="1" fillId="0" borderId="10" xfId="1" applyNumberFormat="1" applyFont="1" applyFill="1" applyBorder="1"/>
    <xf numFmtId="188" fontId="1" fillId="0" borderId="12" xfId="1" applyNumberFormat="1" applyFont="1" applyFill="1" applyBorder="1"/>
    <xf numFmtId="187" fontId="1" fillId="0" borderId="12" xfId="1" applyNumberFormat="1" applyFont="1" applyFill="1" applyBorder="1"/>
    <xf numFmtId="187" fontId="1" fillId="5" borderId="9" xfId="1" applyNumberFormat="1" applyFont="1" applyFill="1" applyBorder="1" applyAlignment="1">
      <alignment horizontal="center"/>
    </xf>
    <xf numFmtId="187" fontId="1" fillId="5" borderId="10" xfId="1" applyNumberFormat="1" applyFont="1" applyFill="1" applyBorder="1" applyAlignment="1">
      <alignment horizontal="center"/>
    </xf>
    <xf numFmtId="188" fontId="1" fillId="5" borderId="12" xfId="1" applyNumberFormat="1" applyFont="1" applyFill="1" applyBorder="1"/>
    <xf numFmtId="187" fontId="1" fillId="5" borderId="12" xfId="1" applyNumberFormat="1" applyFont="1" applyFill="1" applyBorder="1"/>
    <xf numFmtId="43" fontId="1" fillId="5" borderId="11" xfId="1" applyFont="1" applyFill="1" applyBorder="1"/>
    <xf numFmtId="187" fontId="1" fillId="6" borderId="9" xfId="1" applyNumberFormat="1" applyFont="1" applyFill="1" applyBorder="1"/>
    <xf numFmtId="187" fontId="1" fillId="6" borderId="10" xfId="1" applyNumberFormat="1" applyFont="1" applyFill="1" applyBorder="1"/>
    <xf numFmtId="188" fontId="1" fillId="6" borderId="12" xfId="1" applyNumberFormat="1" applyFont="1" applyFill="1" applyBorder="1"/>
    <xf numFmtId="187" fontId="1" fillId="6" borderId="12" xfId="1" applyNumberFormat="1" applyFont="1" applyFill="1" applyBorder="1"/>
    <xf numFmtId="43" fontId="1" fillId="6" borderId="11" xfId="1" applyFont="1" applyFill="1" applyBorder="1"/>
    <xf numFmtId="187" fontId="1" fillId="7" borderId="9" xfId="1" applyNumberFormat="1" applyFont="1" applyFill="1" applyBorder="1"/>
    <xf numFmtId="187" fontId="1" fillId="7" borderId="10" xfId="1" applyNumberFormat="1" applyFont="1" applyFill="1" applyBorder="1"/>
    <xf numFmtId="188" fontId="1" fillId="7" borderId="12" xfId="1" applyNumberFormat="1" applyFont="1" applyFill="1" applyBorder="1"/>
    <xf numFmtId="187" fontId="1" fillId="7" borderId="12" xfId="1" applyNumberFormat="1" applyFont="1" applyFill="1" applyBorder="1"/>
    <xf numFmtId="43" fontId="1" fillId="7" borderId="11" xfId="1" applyFont="1" applyFill="1" applyBorder="1"/>
    <xf numFmtId="187" fontId="1" fillId="0" borderId="6" xfId="1" applyNumberFormat="1" applyFont="1" applyFill="1" applyBorder="1" applyAlignment="1">
      <alignment horizontal="center"/>
    </xf>
    <xf numFmtId="187" fontId="1" fillId="0" borderId="7" xfId="1" applyNumberFormat="1" applyFont="1" applyFill="1" applyBorder="1"/>
    <xf numFmtId="188" fontId="1" fillId="0" borderId="14" xfId="1" applyNumberFormat="1" applyFont="1" applyFill="1" applyBorder="1"/>
    <xf numFmtId="187" fontId="1" fillId="0" borderId="14" xfId="1" applyNumberFormat="1" applyFont="1" applyFill="1" applyBorder="1"/>
    <xf numFmtId="187" fontId="1" fillId="5" borderId="6" xfId="1" applyNumberFormat="1" applyFont="1" applyFill="1" applyBorder="1" applyAlignment="1">
      <alignment horizontal="center"/>
    </xf>
    <xf numFmtId="187" fontId="1" fillId="5" borderId="7" xfId="1" applyNumberFormat="1" applyFont="1" applyFill="1" applyBorder="1" applyAlignment="1">
      <alignment horizontal="center"/>
    </xf>
    <xf numFmtId="188" fontId="1" fillId="5" borderId="14" xfId="1" applyNumberFormat="1" applyFont="1" applyFill="1" applyBorder="1"/>
    <xf numFmtId="187" fontId="1" fillId="5" borderId="14" xfId="1" applyNumberFormat="1" applyFont="1" applyFill="1" applyBorder="1"/>
    <xf numFmtId="43" fontId="1" fillId="5" borderId="8" xfId="1" applyFont="1" applyFill="1" applyBorder="1"/>
    <xf numFmtId="187" fontId="1" fillId="6" borderId="6" xfId="1" applyNumberFormat="1" applyFont="1" applyFill="1" applyBorder="1"/>
    <xf numFmtId="187" fontId="1" fillId="6" borderId="7" xfId="1" applyNumberFormat="1" applyFont="1" applyFill="1" applyBorder="1"/>
    <xf numFmtId="188" fontId="1" fillId="6" borderId="14" xfId="1" applyNumberFormat="1" applyFont="1" applyFill="1" applyBorder="1"/>
    <xf numFmtId="187" fontId="1" fillId="6" borderId="14" xfId="1" applyNumberFormat="1" applyFont="1" applyFill="1" applyBorder="1"/>
    <xf numFmtId="43" fontId="1" fillId="6" borderId="8" xfId="1" applyFont="1" applyFill="1" applyBorder="1"/>
    <xf numFmtId="187" fontId="1" fillId="7" borderId="6" xfId="1" applyNumberFormat="1" applyFont="1" applyFill="1" applyBorder="1"/>
    <xf numFmtId="187" fontId="1" fillId="7" borderId="7" xfId="1" applyNumberFormat="1" applyFont="1" applyFill="1" applyBorder="1"/>
    <xf numFmtId="188" fontId="1" fillId="7" borderId="14" xfId="1" applyNumberFormat="1" applyFont="1" applyFill="1" applyBorder="1"/>
    <xf numFmtId="187" fontId="1" fillId="7" borderId="14" xfId="1" applyNumberFormat="1" applyFont="1" applyFill="1" applyBorder="1"/>
    <xf numFmtId="43" fontId="1" fillId="7" borderId="8" xfId="1" applyFont="1" applyFill="1" applyBorder="1"/>
    <xf numFmtId="43" fontId="1" fillId="6" borderId="14" xfId="1" applyFont="1" applyFill="1" applyBorder="1"/>
    <xf numFmtId="0" fontId="1" fillId="0" borderId="8" xfId="22" applyFill="1" applyBorder="1" applyAlignment="1">
      <alignment horizontal="center"/>
    </xf>
    <xf numFmtId="43" fontId="1" fillId="5" borderId="6" xfId="1" applyFont="1" applyFill="1" applyBorder="1"/>
    <xf numFmtId="187" fontId="1" fillId="5" borderId="7" xfId="1" applyNumberFormat="1" applyFont="1" applyFill="1" applyBorder="1"/>
    <xf numFmtId="43" fontId="1" fillId="5" borderId="14" xfId="1" applyFont="1" applyFill="1" applyBorder="1"/>
    <xf numFmtId="43" fontId="1" fillId="6" borderId="6" xfId="1" applyFont="1" applyFill="1" applyBorder="1"/>
    <xf numFmtId="43" fontId="1" fillId="7" borderId="6" xfId="1" applyFont="1" applyFill="1" applyBorder="1"/>
    <xf numFmtId="43" fontId="1" fillId="7" borderId="14" xfId="1" applyFont="1" applyFill="1" applyBorder="1"/>
    <xf numFmtId="0" fontId="1" fillId="0" borderId="30" xfId="22" applyFill="1" applyBorder="1"/>
    <xf numFmtId="0" fontId="1" fillId="0" borderId="31" xfId="22" applyFill="1" applyBorder="1"/>
    <xf numFmtId="0" fontId="1" fillId="0" borderId="32" xfId="22" applyFill="1" applyBorder="1" applyAlignment="1">
      <alignment horizontal="center"/>
    </xf>
    <xf numFmtId="187" fontId="1" fillId="0" borderId="30" xfId="1" applyNumberFormat="1" applyFont="1" applyFill="1" applyBorder="1" applyAlignment="1">
      <alignment horizontal="center"/>
    </xf>
    <xf numFmtId="187" fontId="1" fillId="0" borderId="31" xfId="1" applyNumberFormat="1" applyFont="1" applyFill="1" applyBorder="1" applyAlignment="1">
      <alignment horizontal="center"/>
    </xf>
    <xf numFmtId="188" fontId="1" fillId="0" borderId="33" xfId="1" applyNumberFormat="1" applyFont="1" applyFill="1" applyBorder="1"/>
    <xf numFmtId="187" fontId="1" fillId="0" borderId="33" xfId="1" applyNumberFormat="1" applyFont="1" applyFill="1" applyBorder="1"/>
    <xf numFmtId="187" fontId="1" fillId="5" borderId="30" xfId="1" applyNumberFormat="1" applyFont="1" applyFill="1" applyBorder="1"/>
    <xf numFmtId="187" fontId="1" fillId="5" borderId="31" xfId="1" applyNumberFormat="1" applyFont="1" applyFill="1" applyBorder="1"/>
    <xf numFmtId="188" fontId="1" fillId="5" borderId="33" xfId="1" applyNumberFormat="1" applyFont="1" applyFill="1" applyBorder="1"/>
    <xf numFmtId="187" fontId="1" fillId="5" borderId="33" xfId="1" applyNumberFormat="1" applyFont="1" applyFill="1" applyBorder="1"/>
    <xf numFmtId="43" fontId="1" fillId="5" borderId="32" xfId="1" applyNumberFormat="1" applyFont="1" applyFill="1" applyBorder="1"/>
    <xf numFmtId="187" fontId="1" fillId="6" borderId="30" xfId="1" applyNumberFormat="1" applyFont="1" applyFill="1" applyBorder="1"/>
    <xf numFmtId="187" fontId="1" fillId="6" borderId="31" xfId="1" applyNumberFormat="1" applyFont="1" applyFill="1" applyBorder="1"/>
    <xf numFmtId="188" fontId="1" fillId="6" borderId="33" xfId="1" applyNumberFormat="1" applyFont="1" applyFill="1" applyBorder="1"/>
    <xf numFmtId="187" fontId="1" fillId="6" borderId="33" xfId="1" applyNumberFormat="1" applyFont="1" applyFill="1" applyBorder="1"/>
    <xf numFmtId="43" fontId="1" fillId="6" borderId="32" xfId="1" applyNumberFormat="1" applyFont="1" applyFill="1" applyBorder="1"/>
    <xf numFmtId="187" fontId="1" fillId="7" borderId="30" xfId="1" applyNumberFormat="1" applyFont="1" applyFill="1" applyBorder="1"/>
    <xf numFmtId="187" fontId="1" fillId="7" borderId="31" xfId="1" applyNumberFormat="1" applyFont="1" applyFill="1" applyBorder="1"/>
    <xf numFmtId="188" fontId="1" fillId="7" borderId="33" xfId="1" applyNumberFormat="1" applyFont="1" applyFill="1" applyBorder="1"/>
    <xf numFmtId="187" fontId="1" fillId="7" borderId="33" xfId="1" applyNumberFormat="1" applyFont="1" applyFill="1" applyBorder="1"/>
    <xf numFmtId="43" fontId="1" fillId="7" borderId="32" xfId="1" applyNumberFormat="1" applyFont="1" applyFill="1" applyBorder="1"/>
    <xf numFmtId="43" fontId="1" fillId="0" borderId="0" xfId="8" applyNumberFormat="1" applyFont="1"/>
    <xf numFmtId="0" fontId="1" fillId="8" borderId="0" xfId="22" applyFill="1"/>
    <xf numFmtId="0" fontId="1" fillId="8" borderId="0" xfId="22" applyFill="1" applyAlignment="1">
      <alignment horizontal="center"/>
    </xf>
    <xf numFmtId="187" fontId="1" fillId="8" borderId="0" xfId="22" applyNumberFormat="1" applyFill="1" applyAlignment="1">
      <alignment horizontal="center"/>
    </xf>
    <xf numFmtId="43" fontId="1" fillId="8" borderId="0" xfId="1" applyFont="1" applyFill="1"/>
    <xf numFmtId="0" fontId="1" fillId="8" borderId="0" xfId="17" applyFill="1"/>
    <xf numFmtId="187" fontId="1" fillId="8" borderId="0" xfId="1" applyNumberFormat="1" applyFont="1" applyFill="1"/>
    <xf numFmtId="43" fontId="1" fillId="8" borderId="0" xfId="8" applyNumberFormat="1" applyFont="1" applyFill="1"/>
    <xf numFmtId="0" fontId="5" fillId="4" borderId="0" xfId="22" applyFont="1" applyFill="1" applyAlignment="1">
      <alignment horizontal="left"/>
    </xf>
    <xf numFmtId="0" fontId="1" fillId="4" borderId="0" xfId="22" applyFill="1"/>
    <xf numFmtId="0" fontId="1" fillId="4" borderId="0" xfId="22" applyFill="1" applyAlignment="1">
      <alignment horizontal="center"/>
    </xf>
    <xf numFmtId="43" fontId="1" fillId="4" borderId="0" xfId="8" applyNumberFormat="1" applyFont="1" applyFill="1"/>
    <xf numFmtId="0" fontId="3" fillId="9" borderId="0" xfId="22" applyFont="1" applyFill="1"/>
    <xf numFmtId="0" fontId="4" fillId="10" borderId="0" xfId="22" applyFont="1" applyFill="1"/>
    <xf numFmtId="0" fontId="1" fillId="10" borderId="0" xfId="22" applyFill="1" applyAlignment="1">
      <alignment horizontal="center"/>
    </xf>
    <xf numFmtId="0" fontId="1" fillId="10" borderId="0" xfId="22" applyFill="1"/>
    <xf numFmtId="49" fontId="1" fillId="0" borderId="24" xfId="22" applyNumberFormat="1" applyFill="1" applyBorder="1" applyAlignment="1">
      <alignment horizontal="center" vertical="center"/>
    </xf>
    <xf numFmtId="43" fontId="1" fillId="0" borderId="3" xfId="1" applyNumberFormat="1" applyFont="1" applyBorder="1"/>
    <xf numFmtId="0" fontId="16" fillId="0" borderId="0" xfId="0" applyFont="1" applyAlignment="1"/>
    <xf numFmtId="0" fontId="16" fillId="0" borderId="0" xfId="0" applyFont="1"/>
    <xf numFmtId="0" fontId="16" fillId="0" borderId="34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37" xfId="0" applyFont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37" xfId="0" applyFont="1" applyBorder="1"/>
    <xf numFmtId="0" fontId="16" fillId="0" borderId="38" xfId="0" applyFont="1" applyBorder="1"/>
    <xf numFmtId="0" fontId="16" fillId="0" borderId="39" xfId="0" applyFont="1" applyBorder="1"/>
    <xf numFmtId="43" fontId="16" fillId="0" borderId="37" xfId="0" applyNumberFormat="1" applyFont="1" applyBorder="1"/>
    <xf numFmtId="43" fontId="16" fillId="0" borderId="38" xfId="0" applyNumberFormat="1" applyFont="1" applyBorder="1"/>
    <xf numFmtId="43" fontId="16" fillId="0" borderId="39" xfId="0" applyNumberFormat="1" applyFont="1" applyBorder="1"/>
    <xf numFmtId="187" fontId="16" fillId="0" borderId="0" xfId="0" applyNumberFormat="1" applyFont="1"/>
    <xf numFmtId="43" fontId="16" fillId="0" borderId="0" xfId="0" applyNumberFormat="1" applyFont="1"/>
    <xf numFmtId="14" fontId="16" fillId="0" borderId="0" xfId="0" applyNumberFormat="1" applyFont="1"/>
    <xf numFmtId="0" fontId="17" fillId="0" borderId="7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40" xfId="0" applyFont="1" applyBorder="1"/>
    <xf numFmtId="0" fontId="18" fillId="0" borderId="12" xfId="0" applyFont="1" applyBorder="1"/>
    <xf numFmtId="187" fontId="18" fillId="0" borderId="41" xfId="1" applyNumberFormat="1" applyFont="1" applyBorder="1"/>
    <xf numFmtId="43" fontId="18" fillId="0" borderId="42" xfId="1" applyFont="1" applyBorder="1"/>
    <xf numFmtId="188" fontId="18" fillId="0" borderId="42" xfId="1" applyNumberFormat="1" applyFont="1" applyBorder="1"/>
    <xf numFmtId="43" fontId="18" fillId="0" borderId="43" xfId="1" applyFont="1" applyBorder="1"/>
    <xf numFmtId="0" fontId="18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7" fillId="0" borderId="40" xfId="0" applyFont="1" applyBorder="1"/>
    <xf numFmtId="0" fontId="17" fillId="0" borderId="12" xfId="0" applyFont="1" applyBorder="1"/>
    <xf numFmtId="190" fontId="18" fillId="0" borderId="41" xfId="6" applyNumberFormat="1" applyFont="1" applyBorder="1"/>
    <xf numFmtId="0" fontId="18" fillId="0" borderId="42" xfId="0" applyFont="1" applyBorder="1"/>
    <xf numFmtId="0" fontId="18" fillId="0" borderId="43" xfId="0" applyFont="1" applyBorder="1"/>
    <xf numFmtId="0" fontId="18" fillId="0" borderId="37" xfId="0" applyFont="1" applyBorder="1"/>
    <xf numFmtId="0" fontId="18" fillId="0" borderId="38" xfId="0" applyFont="1" applyBorder="1"/>
    <xf numFmtId="0" fontId="18" fillId="0" borderId="39" xfId="0" applyFont="1" applyBorder="1"/>
    <xf numFmtId="0" fontId="18" fillId="0" borderId="41" xfId="0" applyFont="1" applyBorder="1"/>
    <xf numFmtId="0" fontId="0" fillId="0" borderId="0" xfId="0" applyAlignment="1">
      <alignment horizontal="center"/>
    </xf>
    <xf numFmtId="0" fontId="0" fillId="0" borderId="7" xfId="0" applyBorder="1"/>
    <xf numFmtId="187" fontId="12" fillId="0" borderId="7" xfId="1" applyNumberFormat="1" applyFont="1" applyBorder="1"/>
    <xf numFmtId="43" fontId="12" fillId="0" borderId="7" xfId="1" applyNumberFormat="1" applyFont="1" applyBorder="1"/>
    <xf numFmtId="188" fontId="12" fillId="0" borderId="7" xfId="1" applyNumberFormat="1" applyFont="1" applyBorder="1"/>
    <xf numFmtId="0" fontId="0" fillId="11" borderId="7" xfId="0" applyFill="1" applyBorder="1"/>
    <xf numFmtId="0" fontId="0" fillId="11" borderId="7" xfId="0" applyFill="1" applyBorder="1" applyAlignment="1">
      <alignment horizontal="center"/>
    </xf>
    <xf numFmtId="0" fontId="0" fillId="3" borderId="7" xfId="0" applyFill="1" applyBorder="1"/>
    <xf numFmtId="0" fontId="0" fillId="12" borderId="7" xfId="0" applyFill="1" applyBorder="1"/>
    <xf numFmtId="0" fontId="0" fillId="0" borderId="44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11" borderId="6" xfId="0" applyFill="1" applyBorder="1"/>
    <xf numFmtId="0" fontId="0" fillId="11" borderId="8" xfId="0" applyFill="1" applyBorder="1" applyAlignment="1">
      <alignment horizontal="center"/>
    </xf>
    <xf numFmtId="0" fontId="0" fillId="12" borderId="6" xfId="0" applyFill="1" applyBorder="1"/>
    <xf numFmtId="0" fontId="19" fillId="0" borderId="48" xfId="0" applyFont="1" applyBorder="1" applyAlignment="1">
      <alignment horizontal="left"/>
    </xf>
    <xf numFmtId="0" fontId="0" fillId="13" borderId="6" xfId="0" applyFill="1" applyBorder="1"/>
    <xf numFmtId="0" fontId="0" fillId="13" borderId="7" xfId="0" applyFill="1" applyBorder="1"/>
    <xf numFmtId="0" fontId="0" fillId="11" borderId="0" xfId="0" applyFill="1" applyBorder="1" applyAlignment="1">
      <alignment horizontal="center"/>
    </xf>
    <xf numFmtId="187" fontId="12" fillId="12" borderId="0" xfId="1" applyNumberFormat="1" applyFont="1" applyFill="1" applyBorder="1"/>
    <xf numFmtId="0" fontId="0" fillId="0" borderId="40" xfId="0" applyFill="1" applyBorder="1" applyAlignment="1">
      <alignment horizontal="center"/>
    </xf>
    <xf numFmtId="0" fontId="14" fillId="0" borderId="44" xfId="0" applyFont="1" applyBorder="1" applyAlignment="1">
      <alignment horizontal="center"/>
    </xf>
    <xf numFmtId="0" fontId="14" fillId="0" borderId="45" xfId="0" applyFont="1" applyBorder="1" applyAlignment="1">
      <alignment horizontal="center"/>
    </xf>
    <xf numFmtId="0" fontId="14" fillId="0" borderId="46" xfId="0" applyFont="1" applyBorder="1" applyAlignment="1">
      <alignment horizontal="center"/>
    </xf>
    <xf numFmtId="0" fontId="20" fillId="0" borderId="48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Border="1" applyAlignment="1">
      <alignment horizontal="center"/>
    </xf>
    <xf numFmtId="0" fontId="14" fillId="0" borderId="47" xfId="0" applyFont="1" applyBorder="1" applyAlignment="1">
      <alignment horizontal="center"/>
    </xf>
    <xf numFmtId="0" fontId="14" fillId="11" borderId="6" xfId="0" applyFont="1" applyFill="1" applyBorder="1"/>
    <xf numFmtId="0" fontId="14" fillId="11" borderId="7" xfId="0" applyFont="1" applyFill="1" applyBorder="1"/>
    <xf numFmtId="0" fontId="14" fillId="11" borderId="7" xfId="0" applyFont="1" applyFill="1" applyBorder="1" applyAlignment="1">
      <alignment horizontal="center"/>
    </xf>
    <xf numFmtId="0" fontId="14" fillId="11" borderId="8" xfId="0" applyFont="1" applyFill="1" applyBorder="1" applyAlignment="1">
      <alignment horizontal="center"/>
    </xf>
    <xf numFmtId="0" fontId="14" fillId="12" borderId="6" xfId="0" applyFont="1" applyFill="1" applyBorder="1"/>
    <xf numFmtId="0" fontId="14" fillId="12" borderId="7" xfId="0" applyFont="1" applyFill="1" applyBorder="1"/>
    <xf numFmtId="0" fontId="21" fillId="0" borderId="44" xfId="0" applyFont="1" applyBorder="1" applyAlignment="1">
      <alignment horizontal="center"/>
    </xf>
    <xf numFmtId="0" fontId="21" fillId="0" borderId="45" xfId="0" applyFont="1" applyBorder="1" applyAlignment="1">
      <alignment horizontal="center"/>
    </xf>
    <xf numFmtId="0" fontId="21" fillId="0" borderId="46" xfId="0" applyFont="1" applyBorder="1" applyAlignment="1">
      <alignment horizontal="center"/>
    </xf>
    <xf numFmtId="0" fontId="22" fillId="0" borderId="48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21" fillId="0" borderId="0" xfId="0" applyFont="1" applyBorder="1" applyAlignment="1">
      <alignment horizontal="center"/>
    </xf>
    <xf numFmtId="0" fontId="21" fillId="0" borderId="47" xfId="0" applyFont="1" applyBorder="1" applyAlignment="1">
      <alignment horizontal="center"/>
    </xf>
    <xf numFmtId="0" fontId="21" fillId="12" borderId="6" xfId="0" applyFont="1" applyFill="1" applyBorder="1"/>
    <xf numFmtId="0" fontId="21" fillId="12" borderId="7" xfId="0" applyFont="1" applyFill="1" applyBorder="1"/>
    <xf numFmtId="0" fontId="21" fillId="7" borderId="6" xfId="0" applyFont="1" applyFill="1" applyBorder="1"/>
    <xf numFmtId="0" fontId="21" fillId="7" borderId="7" xfId="0" applyFont="1" applyFill="1" applyBorder="1"/>
    <xf numFmtId="0" fontId="21" fillId="7" borderId="1" xfId="0" applyFont="1" applyFill="1" applyBorder="1"/>
    <xf numFmtId="0" fontId="21" fillId="7" borderId="2" xfId="0" applyFont="1" applyFill="1" applyBorder="1"/>
    <xf numFmtId="3" fontId="23" fillId="14" borderId="54" xfId="0" applyNumberFormat="1" applyFont="1" applyFill="1" applyBorder="1" applyAlignment="1">
      <alignment horizontal="center" wrapText="1" readingOrder="1"/>
    </xf>
    <xf numFmtId="0" fontId="0" fillId="0" borderId="0" xfId="0" applyAlignment="1"/>
    <xf numFmtId="0" fontId="17" fillId="0" borderId="21" xfId="0" applyFont="1" applyBorder="1" applyAlignment="1">
      <alignment horizontal="center" vertical="center"/>
    </xf>
    <xf numFmtId="0" fontId="0" fillId="15" borderId="6" xfId="0" applyFill="1" applyBorder="1"/>
    <xf numFmtId="0" fontId="0" fillId="15" borderId="7" xfId="0" applyFill="1" applyBorder="1"/>
    <xf numFmtId="0" fontId="0" fillId="15" borderId="7" xfId="0" applyFill="1" applyBorder="1" applyAlignment="1">
      <alignment horizontal="center"/>
    </xf>
    <xf numFmtId="0" fontId="0" fillId="15" borderId="8" xfId="0" applyFill="1" applyBorder="1" applyAlignment="1">
      <alignment horizontal="center"/>
    </xf>
    <xf numFmtId="0" fontId="0" fillId="15" borderId="0" xfId="0" applyFill="1" applyBorder="1" applyAlignment="1">
      <alignment horizontal="center"/>
    </xf>
    <xf numFmtId="0" fontId="14" fillId="15" borderId="6" xfId="0" applyFont="1" applyFill="1" applyBorder="1"/>
    <xf numFmtId="0" fontId="14" fillId="15" borderId="7" xfId="0" applyFont="1" applyFill="1" applyBorder="1"/>
    <xf numFmtId="0" fontId="14" fillId="15" borderId="7" xfId="0" applyFont="1" applyFill="1" applyBorder="1" applyAlignment="1">
      <alignment horizontal="center"/>
    </xf>
    <xf numFmtId="0" fontId="14" fillId="15" borderId="8" xfId="0" applyFont="1" applyFill="1" applyBorder="1" applyAlignment="1">
      <alignment horizontal="center"/>
    </xf>
    <xf numFmtId="0" fontId="0" fillId="15" borderId="0" xfId="0" applyFill="1"/>
    <xf numFmtId="0" fontId="21" fillId="15" borderId="6" xfId="0" applyFont="1" applyFill="1" applyBorder="1"/>
    <xf numFmtId="0" fontId="21" fillId="15" borderId="7" xfId="0" applyFont="1" applyFill="1" applyBorder="1"/>
    <xf numFmtId="0" fontId="21" fillId="15" borderId="7" xfId="0" applyFont="1" applyFill="1" applyBorder="1" applyAlignment="1">
      <alignment horizontal="center"/>
    </xf>
    <xf numFmtId="0" fontId="21" fillId="15" borderId="8" xfId="0" applyFont="1" applyFill="1" applyBorder="1" applyAlignment="1">
      <alignment horizontal="center"/>
    </xf>
    <xf numFmtId="187" fontId="12" fillId="13" borderId="0" xfId="1" applyNumberFormat="1" applyFont="1" applyFill="1" applyBorder="1"/>
    <xf numFmtId="0" fontId="14" fillId="13" borderId="6" xfId="0" applyFont="1" applyFill="1" applyBorder="1"/>
    <xf numFmtId="0" fontId="14" fillId="13" borderId="7" xfId="0" applyFont="1" applyFill="1" applyBorder="1"/>
    <xf numFmtId="0" fontId="0" fillId="13" borderId="0" xfId="0" applyFill="1"/>
    <xf numFmtId="0" fontId="21" fillId="13" borderId="6" xfId="0" applyFont="1" applyFill="1" applyBorder="1"/>
    <xf numFmtId="0" fontId="21" fillId="13" borderId="7" xfId="0" applyFont="1" applyFill="1" applyBorder="1"/>
    <xf numFmtId="0" fontId="0" fillId="3" borderId="6" xfId="0" applyFill="1" applyBorder="1"/>
    <xf numFmtId="187" fontId="12" fillId="3" borderId="0" xfId="1" applyNumberFormat="1" applyFont="1" applyFill="1" applyBorder="1"/>
    <xf numFmtId="0" fontId="14" fillId="3" borderId="6" xfId="0" applyFont="1" applyFill="1" applyBorder="1"/>
    <xf numFmtId="0" fontId="14" fillId="3" borderId="7" xfId="0" applyFont="1" applyFill="1" applyBorder="1"/>
    <xf numFmtId="0" fontId="0" fillId="3" borderId="0" xfId="0" applyFill="1"/>
    <xf numFmtId="0" fontId="21" fillId="3" borderId="6" xfId="0" applyFont="1" applyFill="1" applyBorder="1"/>
    <xf numFmtId="0" fontId="21" fillId="3" borderId="7" xfId="0" applyFont="1" applyFill="1" applyBorder="1"/>
    <xf numFmtId="0" fontId="0" fillId="3" borderId="1" xfId="0" applyFill="1" applyBorder="1"/>
    <xf numFmtId="0" fontId="0" fillId="3" borderId="2" xfId="0" applyFill="1" applyBorder="1"/>
    <xf numFmtId="0" fontId="14" fillId="3" borderId="1" xfId="0" applyFont="1" applyFill="1" applyBorder="1"/>
    <xf numFmtId="0" fontId="14" fillId="3" borderId="2" xfId="0" applyFont="1" applyFill="1" applyBorder="1"/>
    <xf numFmtId="0" fontId="21" fillId="3" borderId="1" xfId="0" applyFont="1" applyFill="1" applyBorder="1"/>
    <xf numFmtId="0" fontId="21" fillId="3" borderId="2" xfId="0" applyFont="1" applyFill="1" applyBorder="1"/>
    <xf numFmtId="188" fontId="12" fillId="13" borderId="7" xfId="1" applyNumberFormat="1" applyFont="1" applyFill="1" applyBorder="1"/>
    <xf numFmtId="188" fontId="12" fillId="13" borderId="8" xfId="1" applyNumberFormat="1" applyFont="1" applyFill="1" applyBorder="1"/>
    <xf numFmtId="188" fontId="12" fillId="3" borderId="7" xfId="1" applyNumberFormat="1" applyFont="1" applyFill="1" applyBorder="1"/>
    <xf numFmtId="188" fontId="12" fillId="3" borderId="2" xfId="1" applyNumberFormat="1" applyFont="1" applyFill="1" applyBorder="1"/>
    <xf numFmtId="188" fontId="12" fillId="13" borderId="3" xfId="1" applyNumberFormat="1" applyFont="1" applyFill="1" applyBorder="1"/>
    <xf numFmtId="188" fontId="14" fillId="13" borderId="7" xfId="1" applyNumberFormat="1" applyFont="1" applyFill="1" applyBorder="1"/>
    <xf numFmtId="188" fontId="14" fillId="13" borderId="8" xfId="1" applyNumberFormat="1" applyFont="1" applyFill="1" applyBorder="1"/>
    <xf numFmtId="188" fontId="14" fillId="3" borderId="7" xfId="1" applyNumberFormat="1" applyFont="1" applyFill="1" applyBorder="1"/>
    <xf numFmtId="192" fontId="0" fillId="3" borderId="0" xfId="0" applyNumberFormat="1" applyFill="1"/>
    <xf numFmtId="188" fontId="14" fillId="3" borderId="2" xfId="1" applyNumberFormat="1" applyFont="1" applyFill="1" applyBorder="1"/>
    <xf numFmtId="188" fontId="14" fillId="13" borderId="3" xfId="1" applyNumberFormat="1" applyFont="1" applyFill="1" applyBorder="1"/>
    <xf numFmtId="188" fontId="21" fillId="13" borderId="7" xfId="1" applyNumberFormat="1" applyFont="1" applyFill="1" applyBorder="1"/>
    <xf numFmtId="188" fontId="21" fillId="13" borderId="8" xfId="1" applyNumberFormat="1" applyFont="1" applyFill="1" applyBorder="1"/>
    <xf numFmtId="188" fontId="21" fillId="3" borderId="7" xfId="1" applyNumberFormat="1" applyFont="1" applyFill="1" applyBorder="1"/>
    <xf numFmtId="188" fontId="21" fillId="3" borderId="2" xfId="1" applyNumberFormat="1" applyFont="1" applyFill="1" applyBorder="1"/>
    <xf numFmtId="188" fontId="21" fillId="13" borderId="3" xfId="1" applyNumberFormat="1" applyFont="1" applyFill="1" applyBorder="1"/>
    <xf numFmtId="0" fontId="17" fillId="0" borderId="0" xfId="0" applyFont="1" applyFill="1" applyBorder="1" applyAlignment="1">
      <alignment horizontal="right" vertical="center"/>
    </xf>
    <xf numFmtId="0" fontId="16" fillId="0" borderId="0" xfId="0" applyFont="1" applyFill="1" applyBorder="1"/>
    <xf numFmtId="0" fontId="8" fillId="0" borderId="55" xfId="0" applyFont="1" applyFill="1" applyBorder="1" applyAlignment="1">
      <alignment horizontal="center" vertical="center" wrapText="1" readingOrder="1"/>
    </xf>
    <xf numFmtId="3" fontId="24" fillId="0" borderId="55" xfId="1" applyNumberFormat="1" applyFont="1" applyFill="1" applyBorder="1" applyAlignment="1">
      <alignment horizontal="center" wrapText="1" readingOrder="1"/>
    </xf>
    <xf numFmtId="3" fontId="8" fillId="0" borderId="55" xfId="0" applyNumberFormat="1" applyFont="1" applyFill="1" applyBorder="1" applyAlignment="1">
      <alignment horizontal="center" wrapText="1"/>
    </xf>
    <xf numFmtId="3" fontId="23" fillId="0" borderId="55" xfId="0" applyNumberFormat="1" applyFont="1" applyFill="1" applyBorder="1" applyAlignment="1">
      <alignment horizontal="center" wrapText="1" readingOrder="1"/>
    </xf>
    <xf numFmtId="0" fontId="16" fillId="0" borderId="0" xfId="0" applyFont="1" applyFill="1" applyBorder="1" applyAlignment="1">
      <alignment horizontal="center"/>
    </xf>
    <xf numFmtId="0" fontId="24" fillId="12" borderId="56" xfId="0" applyFont="1" applyFill="1" applyBorder="1" applyAlignment="1">
      <alignment horizontal="center" wrapText="1" readingOrder="1"/>
    </xf>
    <xf numFmtId="0" fontId="24" fillId="16" borderId="57" xfId="0" applyFont="1" applyFill="1" applyBorder="1" applyAlignment="1">
      <alignment horizontal="center" wrapText="1" readingOrder="1"/>
    </xf>
    <xf numFmtId="0" fontId="24" fillId="12" borderId="54" xfId="0" applyFont="1" applyFill="1" applyBorder="1" applyAlignment="1">
      <alignment horizontal="center" wrapText="1" readingOrder="1"/>
    </xf>
    <xf numFmtId="0" fontId="24" fillId="10" borderId="56" xfId="0" applyFont="1" applyFill="1" applyBorder="1" applyAlignment="1">
      <alignment horizontal="center" wrapText="1" readingOrder="1"/>
    </xf>
    <xf numFmtId="193" fontId="25" fillId="10" borderId="56" xfId="1" applyNumberFormat="1" applyFont="1" applyFill="1" applyBorder="1" applyAlignment="1">
      <alignment horizontal="center" wrapText="1" readingOrder="1"/>
    </xf>
    <xf numFmtId="193" fontId="24" fillId="10" borderId="56" xfId="1" applyNumberFormat="1" applyFont="1" applyFill="1" applyBorder="1" applyAlignment="1">
      <alignment horizontal="center" wrapText="1" readingOrder="1"/>
    </xf>
    <xf numFmtId="0" fontId="24" fillId="15" borderId="57" xfId="0" applyFont="1" applyFill="1" applyBorder="1" applyAlignment="1">
      <alignment horizontal="center" wrapText="1" readingOrder="1"/>
    </xf>
    <xf numFmtId="193" fontId="26" fillId="15" borderId="57" xfId="1" applyNumberFormat="1" applyFont="1" applyFill="1" applyBorder="1" applyAlignment="1">
      <alignment horizontal="center" wrapText="1" readingOrder="1"/>
    </xf>
    <xf numFmtId="193" fontId="26" fillId="15" borderId="57" xfId="0" applyNumberFormat="1" applyFont="1" applyFill="1" applyBorder="1" applyAlignment="1">
      <alignment horizontal="center" wrapText="1" readingOrder="1"/>
    </xf>
    <xf numFmtId="193" fontId="8" fillId="15" borderId="57" xfId="0" applyNumberFormat="1" applyFont="1" applyFill="1" applyBorder="1" applyAlignment="1">
      <alignment horizontal="center" wrapText="1"/>
    </xf>
    <xf numFmtId="0" fontId="24" fillId="10" borderId="54" xfId="0" applyFont="1" applyFill="1" applyBorder="1" applyAlignment="1">
      <alignment horizontal="center" wrapText="1" readingOrder="1"/>
    </xf>
    <xf numFmtId="193" fontId="24" fillId="10" borderId="54" xfId="1" applyNumberFormat="1" applyFont="1" applyFill="1" applyBorder="1" applyAlignment="1">
      <alignment horizontal="center" wrapText="1" readingOrder="1"/>
    </xf>
    <xf numFmtId="193" fontId="24" fillId="10" borderId="54" xfId="0" applyNumberFormat="1" applyFont="1" applyFill="1" applyBorder="1" applyAlignment="1">
      <alignment horizontal="center" wrapText="1" readingOrder="1"/>
    </xf>
    <xf numFmtId="193" fontId="23" fillId="10" borderId="54" xfId="0" applyNumberFormat="1" applyFont="1" applyFill="1" applyBorder="1" applyAlignment="1">
      <alignment horizontal="center" wrapText="1" readingOrder="1"/>
    </xf>
    <xf numFmtId="0" fontId="8" fillId="9" borderId="58" xfId="0" applyFont="1" applyFill="1" applyBorder="1" applyAlignment="1">
      <alignment horizontal="center" vertical="center" wrapText="1" readingOrder="1"/>
    </xf>
    <xf numFmtId="0" fontId="8" fillId="9" borderId="59" xfId="0" applyFont="1" applyFill="1" applyBorder="1" applyAlignment="1">
      <alignment horizontal="center" vertical="center" wrapText="1" readingOrder="1"/>
    </xf>
    <xf numFmtId="0" fontId="8" fillId="11" borderId="58" xfId="0" applyFont="1" applyFill="1" applyBorder="1" applyAlignment="1">
      <alignment horizontal="center" vertical="center" wrapText="1" readingOrder="1"/>
    </xf>
    <xf numFmtId="0" fontId="8" fillId="11" borderId="59" xfId="0" applyFont="1" applyFill="1" applyBorder="1" applyAlignment="1">
      <alignment horizontal="center" vertical="center" wrapText="1" readingOrder="1"/>
    </xf>
    <xf numFmtId="0" fontId="0" fillId="11" borderId="0" xfId="0" applyFill="1"/>
    <xf numFmtId="0" fontId="21" fillId="11" borderId="6" xfId="0" applyFont="1" applyFill="1" applyBorder="1"/>
    <xf numFmtId="0" fontId="21" fillId="11" borderId="7" xfId="0" applyFont="1" applyFill="1" applyBorder="1"/>
    <xf numFmtId="0" fontId="21" fillId="11" borderId="7" xfId="0" applyFont="1" applyFill="1" applyBorder="1" applyAlignment="1">
      <alignment horizontal="center"/>
    </xf>
    <xf numFmtId="0" fontId="21" fillId="11" borderId="8" xfId="0" applyFont="1" applyFill="1" applyBorder="1" applyAlignment="1">
      <alignment horizontal="center"/>
    </xf>
    <xf numFmtId="0" fontId="0" fillId="17" borderId="6" xfId="0" applyFill="1" applyBorder="1"/>
    <xf numFmtId="0" fontId="0" fillId="17" borderId="7" xfId="0" applyFill="1" applyBorder="1"/>
    <xf numFmtId="0" fontId="0" fillId="17" borderId="7" xfId="0" applyFill="1" applyBorder="1" applyAlignment="1">
      <alignment horizontal="center"/>
    </xf>
    <xf numFmtId="0" fontId="0" fillId="17" borderId="8" xfId="0" applyFill="1" applyBorder="1" applyAlignment="1">
      <alignment horizontal="center"/>
    </xf>
    <xf numFmtId="0" fontId="0" fillId="17" borderId="0" xfId="0" applyFill="1" applyBorder="1" applyAlignment="1">
      <alignment horizontal="center"/>
    </xf>
    <xf numFmtId="0" fontId="14" fillId="17" borderId="6" xfId="0" applyFont="1" applyFill="1" applyBorder="1"/>
    <xf numFmtId="0" fontId="14" fillId="17" borderId="7" xfId="0" applyFont="1" applyFill="1" applyBorder="1"/>
    <xf numFmtId="0" fontId="14" fillId="17" borderId="7" xfId="0" applyFont="1" applyFill="1" applyBorder="1" applyAlignment="1">
      <alignment horizontal="center"/>
    </xf>
    <xf numFmtId="0" fontId="14" fillId="17" borderId="8" xfId="0" applyFont="1" applyFill="1" applyBorder="1" applyAlignment="1">
      <alignment horizontal="center"/>
    </xf>
    <xf numFmtId="0" fontId="0" fillId="17" borderId="0" xfId="0" applyFill="1"/>
    <xf numFmtId="0" fontId="21" fillId="17" borderId="6" xfId="0" applyFont="1" applyFill="1" applyBorder="1"/>
    <xf numFmtId="0" fontId="21" fillId="17" borderId="7" xfId="0" applyFont="1" applyFill="1" applyBorder="1"/>
    <xf numFmtId="0" fontId="21" fillId="17" borderId="7" xfId="0" applyFont="1" applyFill="1" applyBorder="1" applyAlignment="1">
      <alignment horizontal="center"/>
    </xf>
    <xf numFmtId="0" fontId="21" fillId="17" borderId="8" xfId="0" applyFont="1" applyFill="1" applyBorder="1" applyAlignment="1">
      <alignment horizontal="center"/>
    </xf>
    <xf numFmtId="0" fontId="0" fillId="18" borderId="6" xfId="0" applyFill="1" applyBorder="1"/>
    <xf numFmtId="0" fontId="0" fillId="18" borderId="7" xfId="0" applyFill="1" applyBorder="1"/>
    <xf numFmtId="0" fontId="14" fillId="18" borderId="6" xfId="0" applyFont="1" applyFill="1" applyBorder="1"/>
    <xf numFmtId="0" fontId="14" fillId="18" borderId="7" xfId="0" applyFont="1" applyFill="1" applyBorder="1"/>
    <xf numFmtId="0" fontId="0" fillId="18" borderId="0" xfId="0" applyFill="1"/>
    <xf numFmtId="0" fontId="21" fillId="18" borderId="6" xfId="0" applyFont="1" applyFill="1" applyBorder="1"/>
    <xf numFmtId="0" fontId="21" fillId="18" borderId="7" xfId="0" applyFont="1" applyFill="1" applyBorder="1"/>
    <xf numFmtId="187" fontId="12" fillId="18" borderId="0" xfId="1" applyNumberFormat="1" applyFont="1" applyFill="1" applyBorder="1"/>
    <xf numFmtId="187" fontId="14" fillId="18" borderId="7" xfId="1" applyNumberFormat="1" applyFont="1" applyFill="1" applyBorder="1"/>
    <xf numFmtId="187" fontId="14" fillId="18" borderId="8" xfId="1" applyNumberFormat="1" applyFont="1" applyFill="1" applyBorder="1"/>
    <xf numFmtId="187" fontId="21" fillId="18" borderId="7" xfId="1" applyNumberFormat="1" applyFont="1" applyFill="1" applyBorder="1"/>
    <xf numFmtId="187" fontId="21" fillId="18" borderId="8" xfId="1" applyNumberFormat="1" applyFont="1" applyFill="1" applyBorder="1"/>
    <xf numFmtId="0" fontId="0" fillId="19" borderId="6" xfId="0" applyFill="1" applyBorder="1"/>
    <xf numFmtId="0" fontId="0" fillId="19" borderId="7" xfId="0" applyFill="1" applyBorder="1"/>
    <xf numFmtId="187" fontId="12" fillId="19" borderId="0" xfId="1" applyNumberFormat="1" applyFont="1" applyFill="1" applyBorder="1"/>
    <xf numFmtId="0" fontId="14" fillId="19" borderId="6" xfId="0" applyFont="1" applyFill="1" applyBorder="1"/>
    <xf numFmtId="0" fontId="14" fillId="19" borderId="7" xfId="0" applyFont="1" applyFill="1" applyBorder="1"/>
    <xf numFmtId="187" fontId="14" fillId="19" borderId="7" xfId="1" applyNumberFormat="1" applyFont="1" applyFill="1" applyBorder="1"/>
    <xf numFmtId="0" fontId="0" fillId="19" borderId="0" xfId="0" applyFill="1"/>
    <xf numFmtId="0" fontId="21" fillId="19" borderId="6" xfId="0" applyFont="1" applyFill="1" applyBorder="1"/>
    <xf numFmtId="0" fontId="21" fillId="19" borderId="7" xfId="0" applyFont="1" applyFill="1" applyBorder="1"/>
    <xf numFmtId="187" fontId="21" fillId="19" borderId="7" xfId="1" applyNumberFormat="1" applyFont="1" applyFill="1" applyBorder="1"/>
    <xf numFmtId="0" fontId="0" fillId="19" borderId="1" xfId="0" applyFill="1" applyBorder="1"/>
    <xf numFmtId="0" fontId="0" fillId="19" borderId="2" xfId="0" applyFill="1" applyBorder="1"/>
    <xf numFmtId="187" fontId="12" fillId="19" borderId="2" xfId="1" applyNumberFormat="1" applyFont="1" applyFill="1" applyBorder="1"/>
    <xf numFmtId="0" fontId="14" fillId="19" borderId="1" xfId="0" applyFont="1" applyFill="1" applyBorder="1"/>
    <xf numFmtId="0" fontId="14" fillId="19" borderId="2" xfId="0" applyFont="1" applyFill="1" applyBorder="1"/>
    <xf numFmtId="187" fontId="14" fillId="19" borderId="2" xfId="1" applyNumberFormat="1" applyFont="1" applyFill="1" applyBorder="1"/>
    <xf numFmtId="0" fontId="21" fillId="19" borderId="1" xfId="0" applyFont="1" applyFill="1" applyBorder="1"/>
    <xf numFmtId="0" fontId="21" fillId="19" borderId="2" xfId="0" applyFont="1" applyFill="1" applyBorder="1"/>
    <xf numFmtId="187" fontId="21" fillId="19" borderId="2" xfId="1" applyNumberFormat="1" applyFont="1" applyFill="1" applyBorder="1"/>
    <xf numFmtId="187" fontId="12" fillId="18" borderId="3" xfId="1" applyNumberFormat="1" applyFont="1" applyFill="1" applyBorder="1"/>
    <xf numFmtId="187" fontId="14" fillId="18" borderId="3" xfId="1" applyNumberFormat="1" applyFont="1" applyFill="1" applyBorder="1"/>
    <xf numFmtId="187" fontId="21" fillId="18" borderId="3" xfId="1" applyNumberFormat="1" applyFont="1" applyFill="1" applyBorder="1"/>
    <xf numFmtId="0" fontId="0" fillId="12" borderId="0" xfId="0" applyFill="1"/>
    <xf numFmtId="188" fontId="12" fillId="12" borderId="7" xfId="1" applyNumberFormat="1" applyFont="1" applyFill="1" applyBorder="1"/>
    <xf numFmtId="188" fontId="12" fillId="12" borderId="8" xfId="1" applyNumberFormat="1" applyFont="1" applyFill="1" applyBorder="1"/>
    <xf numFmtId="188" fontId="14" fillId="12" borderId="7" xfId="1" applyNumberFormat="1" applyFont="1" applyFill="1" applyBorder="1"/>
    <xf numFmtId="188" fontId="14" fillId="12" borderId="8" xfId="1" applyNumberFormat="1" applyFont="1" applyFill="1" applyBorder="1"/>
    <xf numFmtId="188" fontId="21" fillId="12" borderId="7" xfId="1" applyNumberFormat="1" applyFont="1" applyFill="1" applyBorder="1"/>
    <xf numFmtId="188" fontId="21" fillId="12" borderId="8" xfId="1" applyNumberFormat="1" applyFont="1" applyFill="1" applyBorder="1"/>
    <xf numFmtId="0" fontId="0" fillId="7" borderId="6" xfId="0" applyFill="1" applyBorder="1"/>
    <xf numFmtId="0" fontId="0" fillId="7" borderId="7" xfId="0" applyFill="1" applyBorder="1"/>
    <xf numFmtId="188" fontId="12" fillId="7" borderId="7" xfId="1" applyNumberFormat="1" applyFont="1" applyFill="1" applyBorder="1"/>
    <xf numFmtId="187" fontId="12" fillId="7" borderId="0" xfId="1" applyNumberFormat="1" applyFont="1" applyFill="1" applyBorder="1"/>
    <xf numFmtId="0" fontId="14" fillId="7" borderId="6" xfId="0" applyFont="1" applyFill="1" applyBorder="1"/>
    <xf numFmtId="0" fontId="14" fillId="7" borderId="7" xfId="0" applyFont="1" applyFill="1" applyBorder="1"/>
    <xf numFmtId="188" fontId="14" fillId="7" borderId="7" xfId="1" applyNumberFormat="1" applyFont="1" applyFill="1" applyBorder="1"/>
    <xf numFmtId="192" fontId="0" fillId="7" borderId="0" xfId="0" applyNumberFormat="1" applyFill="1"/>
    <xf numFmtId="188" fontId="21" fillId="7" borderId="7" xfId="1" applyNumberFormat="1" applyFont="1" applyFill="1" applyBorder="1"/>
    <xf numFmtId="0" fontId="0" fillId="7" borderId="0" xfId="0" applyFill="1"/>
    <xf numFmtId="0" fontId="0" fillId="7" borderId="1" xfId="0" applyFill="1" applyBorder="1"/>
    <xf numFmtId="0" fontId="0" fillId="7" borderId="2" xfId="0" applyFill="1" applyBorder="1"/>
    <xf numFmtId="188" fontId="12" fillId="7" borderId="2" xfId="1" applyNumberFormat="1" applyFont="1" applyFill="1" applyBorder="1"/>
    <xf numFmtId="0" fontId="14" fillId="7" borderId="1" xfId="0" applyFont="1" applyFill="1" applyBorder="1"/>
    <xf numFmtId="0" fontId="14" fillId="7" borderId="2" xfId="0" applyFont="1" applyFill="1" applyBorder="1"/>
    <xf numFmtId="188" fontId="14" fillId="7" borderId="2" xfId="1" applyNumberFormat="1" applyFont="1" applyFill="1" applyBorder="1"/>
    <xf numFmtId="188" fontId="21" fillId="7" borderId="2" xfId="1" applyNumberFormat="1" applyFont="1" applyFill="1" applyBorder="1"/>
    <xf numFmtId="188" fontId="12" fillId="12" borderId="3" xfId="1" applyNumberFormat="1" applyFont="1" applyFill="1" applyBorder="1"/>
    <xf numFmtId="188" fontId="14" fillId="12" borderId="3" xfId="1" applyNumberFormat="1" applyFont="1" applyFill="1" applyBorder="1"/>
    <xf numFmtId="188" fontId="21" fillId="12" borderId="3" xfId="1" applyNumberFormat="1" applyFont="1" applyFill="1" applyBorder="1"/>
    <xf numFmtId="0" fontId="8" fillId="17" borderId="58" xfId="0" applyFont="1" applyFill="1" applyBorder="1" applyAlignment="1">
      <alignment horizontal="center" vertical="center" wrapText="1" readingOrder="1"/>
    </xf>
    <xf numFmtId="0" fontId="8" fillId="17" borderId="59" xfId="0" applyFont="1" applyFill="1" applyBorder="1" applyAlignment="1">
      <alignment horizontal="center" vertical="center" wrapText="1" readingOrder="1"/>
    </xf>
    <xf numFmtId="0" fontId="24" fillId="19" borderId="56" xfId="0" applyFont="1" applyFill="1" applyBorder="1" applyAlignment="1">
      <alignment horizontal="center" wrapText="1" readingOrder="1"/>
    </xf>
    <xf numFmtId="191" fontId="25" fillId="19" borderId="56" xfId="1" applyNumberFormat="1" applyFont="1" applyFill="1" applyBorder="1" applyAlignment="1">
      <alignment horizontal="center" wrapText="1" readingOrder="1"/>
    </xf>
    <xf numFmtId="3" fontId="24" fillId="19" borderId="56" xfId="1" applyNumberFormat="1" applyFont="1" applyFill="1" applyBorder="1" applyAlignment="1">
      <alignment horizontal="center" wrapText="1" readingOrder="1"/>
    </xf>
    <xf numFmtId="0" fontId="24" fillId="18" borderId="57" xfId="0" applyFont="1" applyFill="1" applyBorder="1" applyAlignment="1">
      <alignment horizontal="center" wrapText="1" readingOrder="1"/>
    </xf>
    <xf numFmtId="191" fontId="26" fillId="18" borderId="57" xfId="1" applyNumberFormat="1" applyFont="1" applyFill="1" applyBorder="1" applyAlignment="1">
      <alignment horizontal="center" wrapText="1" readingOrder="1"/>
    </xf>
    <xf numFmtId="3" fontId="26" fillId="18" borderId="57" xfId="1" applyNumberFormat="1" applyFont="1" applyFill="1" applyBorder="1" applyAlignment="1">
      <alignment horizontal="center" wrapText="1" readingOrder="1"/>
    </xf>
    <xf numFmtId="3" fontId="26" fillId="18" borderId="57" xfId="0" applyNumberFormat="1" applyFont="1" applyFill="1" applyBorder="1" applyAlignment="1">
      <alignment horizontal="center" wrapText="1" readingOrder="1"/>
    </xf>
    <xf numFmtId="3" fontId="8" fillId="18" borderId="57" xfId="0" applyNumberFormat="1" applyFont="1" applyFill="1" applyBorder="1" applyAlignment="1">
      <alignment horizontal="center" wrapText="1"/>
    </xf>
    <xf numFmtId="0" fontId="24" fillId="19" borderId="54" xfId="0" applyFont="1" applyFill="1" applyBorder="1" applyAlignment="1">
      <alignment horizontal="center" wrapText="1" readingOrder="1"/>
    </xf>
    <xf numFmtId="191" fontId="24" fillId="19" borderId="54" xfId="1" applyNumberFormat="1" applyFont="1" applyFill="1" applyBorder="1" applyAlignment="1">
      <alignment horizontal="center" wrapText="1" readingOrder="1"/>
    </xf>
    <xf numFmtId="3" fontId="24" fillId="19" borderId="54" xfId="1" applyNumberFormat="1" applyFont="1" applyFill="1" applyBorder="1" applyAlignment="1">
      <alignment horizontal="center" wrapText="1" readingOrder="1"/>
    </xf>
    <xf numFmtId="3" fontId="24" fillId="19" borderId="54" xfId="0" applyNumberFormat="1" applyFont="1" applyFill="1" applyBorder="1" applyAlignment="1">
      <alignment horizontal="center" wrapText="1" readingOrder="1"/>
    </xf>
    <xf numFmtId="3" fontId="23" fillId="19" borderId="54" xfId="0" applyNumberFormat="1" applyFont="1" applyFill="1" applyBorder="1" applyAlignment="1">
      <alignment horizontal="center" wrapText="1" readingOrder="1"/>
    </xf>
    <xf numFmtId="193" fontId="25" fillId="12" borderId="56" xfId="1" applyNumberFormat="1" applyFont="1" applyFill="1" applyBorder="1" applyAlignment="1">
      <alignment horizontal="center" wrapText="1" readingOrder="1"/>
    </xf>
    <xf numFmtId="193" fontId="24" fillId="12" borderId="56" xfId="1" applyNumberFormat="1" applyFont="1" applyFill="1" applyBorder="1" applyAlignment="1">
      <alignment horizontal="center" wrapText="1" readingOrder="1"/>
    </xf>
    <xf numFmtId="193" fontId="24" fillId="12" borderId="54" xfId="1" applyNumberFormat="1" applyFont="1" applyFill="1" applyBorder="1" applyAlignment="1">
      <alignment horizontal="center" wrapText="1" readingOrder="1"/>
    </xf>
    <xf numFmtId="193" fontId="24" fillId="12" borderId="54" xfId="0" applyNumberFormat="1" applyFont="1" applyFill="1" applyBorder="1" applyAlignment="1">
      <alignment horizontal="center" wrapText="1" readingOrder="1"/>
    </xf>
    <xf numFmtId="193" fontId="23" fillId="12" borderId="54" xfId="0" applyNumberFormat="1" applyFont="1" applyFill="1" applyBorder="1" applyAlignment="1">
      <alignment horizontal="center" wrapText="1" readingOrder="1"/>
    </xf>
    <xf numFmtId="193" fontId="26" fillId="16" borderId="57" xfId="1" applyNumberFormat="1" applyFont="1" applyFill="1" applyBorder="1" applyAlignment="1">
      <alignment horizontal="center" wrapText="1" readingOrder="1"/>
    </xf>
    <xf numFmtId="193" fontId="26" fillId="16" borderId="57" xfId="0" applyNumberFormat="1" applyFont="1" applyFill="1" applyBorder="1" applyAlignment="1">
      <alignment horizontal="center" wrapText="1" readingOrder="1"/>
    </xf>
    <xf numFmtId="193" fontId="8" fillId="16" borderId="57" xfId="0" applyNumberFormat="1" applyFont="1" applyFill="1" applyBorder="1" applyAlignment="1">
      <alignment horizontal="center" wrapText="1"/>
    </xf>
    <xf numFmtId="3" fontId="23" fillId="0" borderId="0" xfId="0" applyNumberFormat="1" applyFont="1" applyFill="1" applyBorder="1" applyAlignment="1">
      <alignment horizontal="center" wrapText="1" readingOrder="1"/>
    </xf>
    <xf numFmtId="0" fontId="24" fillId="0" borderId="0" xfId="0" applyFont="1" applyFill="1" applyBorder="1" applyAlignment="1">
      <alignment horizontal="center" wrapText="1" readingOrder="1"/>
    </xf>
    <xf numFmtId="191" fontId="24" fillId="0" borderId="0" xfId="1" applyNumberFormat="1" applyFont="1" applyFill="1" applyBorder="1" applyAlignment="1">
      <alignment horizontal="center" wrapText="1" readingOrder="1"/>
    </xf>
    <xf numFmtId="3" fontId="24" fillId="0" borderId="0" xfId="1" applyNumberFormat="1" applyFont="1" applyFill="1" applyBorder="1" applyAlignment="1">
      <alignment horizontal="center" wrapText="1" readingOrder="1"/>
    </xf>
    <xf numFmtId="3" fontId="24" fillId="0" borderId="0" xfId="0" applyNumberFormat="1" applyFont="1" applyFill="1" applyBorder="1" applyAlignment="1">
      <alignment horizontal="center" wrapText="1" readingOrder="1"/>
    </xf>
    <xf numFmtId="193" fontId="24" fillId="0" borderId="0" xfId="1" applyNumberFormat="1" applyFont="1" applyFill="1" applyBorder="1" applyAlignment="1">
      <alignment horizontal="center" wrapText="1" readingOrder="1"/>
    </xf>
    <xf numFmtId="193" fontId="24" fillId="0" borderId="0" xfId="0" applyNumberFormat="1" applyFont="1" applyFill="1" applyBorder="1" applyAlignment="1">
      <alignment horizontal="center" wrapText="1" readingOrder="1"/>
    </xf>
    <xf numFmtId="193" fontId="23" fillId="0" borderId="0" xfId="0" applyNumberFormat="1" applyFont="1" applyFill="1" applyBorder="1" applyAlignment="1">
      <alignment horizontal="center" wrapText="1" readingOrder="1"/>
    </xf>
    <xf numFmtId="0" fontId="0" fillId="0" borderId="0" xfId="0" applyFill="1" applyAlignment="1"/>
    <xf numFmtId="43" fontId="12" fillId="3" borderId="7" xfId="1" applyFont="1" applyFill="1" applyBorder="1"/>
    <xf numFmtId="43" fontId="12" fillId="13" borderId="8" xfId="1" applyFont="1" applyFill="1" applyBorder="1"/>
    <xf numFmtId="43" fontId="12" fillId="3" borderId="2" xfId="1" applyFont="1" applyFill="1" applyBorder="1"/>
    <xf numFmtId="43" fontId="12" fillId="13" borderId="3" xfId="1" applyFont="1" applyFill="1" applyBorder="1"/>
    <xf numFmtId="0" fontId="27" fillId="0" borderId="45" xfId="0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27" fillId="0" borderId="46" xfId="0" applyFont="1" applyBorder="1" applyAlignment="1">
      <alignment horizontal="center"/>
    </xf>
    <xf numFmtId="43" fontId="24" fillId="10" borderId="54" xfId="1" applyFont="1" applyFill="1" applyBorder="1" applyAlignment="1">
      <alignment horizontal="center" wrapText="1" readingOrder="1"/>
    </xf>
    <xf numFmtId="194" fontId="12" fillId="18" borderId="7" xfId="1" applyNumberFormat="1" applyFont="1" applyFill="1" applyBorder="1"/>
    <xf numFmtId="194" fontId="12" fillId="18" borderId="8" xfId="1" applyNumberFormat="1" applyFont="1" applyFill="1" applyBorder="1"/>
    <xf numFmtId="194" fontId="12" fillId="19" borderId="7" xfId="1" applyNumberFormat="1" applyFont="1" applyFill="1" applyBorder="1"/>
    <xf numFmtId="43" fontId="14" fillId="3" borderId="7" xfId="1" applyFont="1" applyFill="1" applyBorder="1"/>
    <xf numFmtId="43" fontId="14" fillId="3" borderId="2" xfId="1" applyFont="1" applyFill="1" applyBorder="1"/>
    <xf numFmtId="43" fontId="14" fillId="13" borderId="7" xfId="1" applyFont="1" applyFill="1" applyBorder="1"/>
    <xf numFmtId="0" fontId="14" fillId="0" borderId="50" xfId="0" applyFont="1" applyBorder="1" applyAlignment="1">
      <alignment horizontal="center"/>
    </xf>
    <xf numFmtId="0" fontId="22" fillId="0" borderId="0" xfId="0" applyFont="1" applyBorder="1" applyAlignment="1">
      <alignment horizontal="left"/>
    </xf>
    <xf numFmtId="0" fontId="21" fillId="15" borderId="15" xfId="0" applyFont="1" applyFill="1" applyBorder="1"/>
    <xf numFmtId="0" fontId="21" fillId="13" borderId="15" xfId="0" applyFont="1" applyFill="1" applyBorder="1"/>
    <xf numFmtId="0" fontId="21" fillId="3" borderId="15" xfId="0" applyFont="1" applyFill="1" applyBorder="1"/>
    <xf numFmtId="0" fontId="21" fillId="3" borderId="5" xfId="0" applyFont="1" applyFill="1" applyBorder="1"/>
    <xf numFmtId="0" fontId="14" fillId="15" borderId="47" xfId="0" applyFont="1" applyFill="1" applyBorder="1" applyAlignment="1">
      <alignment horizontal="center"/>
    </xf>
    <xf numFmtId="188" fontId="14" fillId="13" borderId="47" xfId="1" applyNumberFormat="1" applyFont="1" applyFill="1" applyBorder="1"/>
    <xf numFmtId="188" fontId="14" fillId="3" borderId="47" xfId="1" applyNumberFormat="1" applyFont="1" applyFill="1" applyBorder="1"/>
    <xf numFmtId="43" fontId="26" fillId="15" borderId="57" xfId="1" applyFont="1" applyFill="1" applyBorder="1" applyAlignment="1">
      <alignment horizontal="center" wrapText="1" readingOrder="1"/>
    </xf>
    <xf numFmtId="43" fontId="21" fillId="13" borderId="7" xfId="1" applyFont="1" applyFill="1" applyBorder="1"/>
    <xf numFmtId="43" fontId="21" fillId="13" borderId="8" xfId="1" applyFont="1" applyFill="1" applyBorder="1"/>
    <xf numFmtId="43" fontId="21" fillId="3" borderId="7" xfId="1" applyFont="1" applyFill="1" applyBorder="1"/>
    <xf numFmtId="43" fontId="21" fillId="3" borderId="2" xfId="1" applyFont="1" applyFill="1" applyBorder="1"/>
    <xf numFmtId="43" fontId="21" fillId="13" borderId="3" xfId="1" applyFont="1" applyFill="1" applyBorder="1"/>
    <xf numFmtId="43" fontId="25" fillId="10" borderId="56" xfId="1" applyFont="1" applyFill="1" applyBorder="1" applyAlignment="1">
      <alignment horizontal="center" wrapText="1" readingOrder="1"/>
    </xf>
    <xf numFmtId="0" fontId="8" fillId="9" borderId="58" xfId="0" applyFont="1" applyFill="1" applyBorder="1" applyAlignment="1">
      <alignment horizontal="center" vertical="center" wrapText="1" readingOrder="1"/>
    </xf>
    <xf numFmtId="0" fontId="8" fillId="9" borderId="59" xfId="0" applyFont="1" applyFill="1" applyBorder="1" applyAlignment="1">
      <alignment horizontal="center" vertical="center" wrapText="1" readingOrder="1"/>
    </xf>
    <xf numFmtId="0" fontId="8" fillId="11" borderId="58" xfId="0" applyFont="1" applyFill="1" applyBorder="1" applyAlignment="1">
      <alignment horizontal="center" vertical="center" wrapText="1" readingOrder="1"/>
    </xf>
    <xf numFmtId="0" fontId="8" fillId="11" borderId="59" xfId="0" applyFont="1" applyFill="1" applyBorder="1" applyAlignment="1">
      <alignment horizontal="center" vertical="center" wrapText="1" readingOrder="1"/>
    </xf>
    <xf numFmtId="0" fontId="8" fillId="17" borderId="58" xfId="0" applyFont="1" applyFill="1" applyBorder="1" applyAlignment="1">
      <alignment horizontal="center" vertical="center" wrapText="1" readingOrder="1"/>
    </xf>
    <xf numFmtId="0" fontId="8" fillId="17" borderId="59" xfId="0" applyFont="1" applyFill="1" applyBorder="1" applyAlignment="1">
      <alignment horizontal="center" vertical="center" wrapText="1" readingOrder="1"/>
    </xf>
    <xf numFmtId="0" fontId="28" fillId="20" borderId="58" xfId="0" applyFont="1" applyFill="1" applyBorder="1" applyAlignment="1">
      <alignment horizontal="center" vertical="center" readingOrder="1"/>
    </xf>
    <xf numFmtId="43" fontId="24" fillId="15" borderId="57" xfId="0" applyNumberFormat="1" applyFont="1" applyFill="1" applyBorder="1" applyAlignment="1">
      <alignment horizontal="center" wrapText="1" readingOrder="1"/>
    </xf>
    <xf numFmtId="43" fontId="24" fillId="10" borderId="56" xfId="0" applyNumberFormat="1" applyFont="1" applyFill="1" applyBorder="1" applyAlignment="1">
      <alignment horizontal="center" wrapText="1" readingOrder="1"/>
    </xf>
    <xf numFmtId="0" fontId="0" fillId="5" borderId="6" xfId="0" applyFill="1" applyBorder="1"/>
    <xf numFmtId="0" fontId="0" fillId="5" borderId="7" xfId="0" applyFill="1" applyBorder="1"/>
    <xf numFmtId="0" fontId="14" fillId="5" borderId="6" xfId="0" applyFont="1" applyFill="1" applyBorder="1"/>
    <xf numFmtId="0" fontId="14" fillId="5" borderId="7" xfId="0" applyFont="1" applyFill="1" applyBorder="1"/>
    <xf numFmtId="0" fontId="0" fillId="5" borderId="0" xfId="0" applyFill="1"/>
    <xf numFmtId="0" fontId="21" fillId="5" borderId="6" xfId="0" applyFont="1" applyFill="1" applyBorder="1"/>
    <xf numFmtId="0" fontId="21" fillId="5" borderId="7" xfId="0" applyFont="1" applyFill="1" applyBorder="1"/>
    <xf numFmtId="0" fontId="0" fillId="21" borderId="6" xfId="0" applyFill="1" applyBorder="1"/>
    <xf numFmtId="0" fontId="0" fillId="21" borderId="7" xfId="0" applyFill="1" applyBorder="1"/>
    <xf numFmtId="0" fontId="0" fillId="21" borderId="7" xfId="0" applyFill="1" applyBorder="1" applyAlignment="1">
      <alignment horizontal="center"/>
    </xf>
    <xf numFmtId="0" fontId="0" fillId="21" borderId="8" xfId="0" applyFill="1" applyBorder="1" applyAlignment="1">
      <alignment horizontal="center"/>
    </xf>
    <xf numFmtId="0" fontId="0" fillId="21" borderId="0" xfId="0" applyFill="1" applyBorder="1" applyAlignment="1">
      <alignment horizontal="center"/>
    </xf>
    <xf numFmtId="0" fontId="14" fillId="21" borderId="6" xfId="0" applyFont="1" applyFill="1" applyBorder="1"/>
    <xf numFmtId="0" fontId="14" fillId="21" borderId="7" xfId="0" applyFont="1" applyFill="1" applyBorder="1"/>
    <xf numFmtId="0" fontId="14" fillId="21" borderId="7" xfId="0" applyFont="1" applyFill="1" applyBorder="1" applyAlignment="1">
      <alignment horizontal="center"/>
    </xf>
    <xf numFmtId="0" fontId="14" fillId="21" borderId="8" xfId="0" applyFont="1" applyFill="1" applyBorder="1" applyAlignment="1">
      <alignment horizontal="center"/>
    </xf>
    <xf numFmtId="0" fontId="0" fillId="21" borderId="0" xfId="0" applyFill="1"/>
    <xf numFmtId="0" fontId="21" fillId="21" borderId="6" xfId="0" applyFont="1" applyFill="1" applyBorder="1"/>
    <xf numFmtId="0" fontId="21" fillId="21" borderId="7" xfId="0" applyFont="1" applyFill="1" applyBorder="1"/>
    <xf numFmtId="0" fontId="21" fillId="21" borderId="7" xfId="0" applyFont="1" applyFill="1" applyBorder="1" applyAlignment="1">
      <alignment horizontal="center"/>
    </xf>
    <xf numFmtId="0" fontId="21" fillId="21" borderId="8" xfId="0" applyFont="1" applyFill="1" applyBorder="1" applyAlignment="1">
      <alignment horizontal="center"/>
    </xf>
    <xf numFmtId="0" fontId="0" fillId="22" borderId="6" xfId="0" applyFill="1" applyBorder="1"/>
    <xf numFmtId="0" fontId="0" fillId="22" borderId="7" xfId="0" applyFill="1" applyBorder="1"/>
    <xf numFmtId="188" fontId="12" fillId="22" borderId="7" xfId="1" applyNumberFormat="1" applyFont="1" applyFill="1" applyBorder="1"/>
    <xf numFmtId="188" fontId="12" fillId="22" borderId="8" xfId="1" applyNumberFormat="1" applyFont="1" applyFill="1" applyBorder="1"/>
    <xf numFmtId="187" fontId="12" fillId="22" borderId="0" xfId="1" applyNumberFormat="1" applyFont="1" applyFill="1" applyBorder="1"/>
    <xf numFmtId="0" fontId="14" fillId="22" borderId="6" xfId="0" applyFont="1" applyFill="1" applyBorder="1"/>
    <xf numFmtId="0" fontId="14" fillId="22" borderId="7" xfId="0" applyFont="1" applyFill="1" applyBorder="1"/>
    <xf numFmtId="188" fontId="14" fillId="22" borderId="7" xfId="1" applyNumberFormat="1" applyFont="1" applyFill="1" applyBorder="1"/>
    <xf numFmtId="188" fontId="14" fillId="22" borderId="8" xfId="1" applyNumberFormat="1" applyFont="1" applyFill="1" applyBorder="1"/>
    <xf numFmtId="192" fontId="0" fillId="22" borderId="0" xfId="0" applyNumberFormat="1" applyFill="1"/>
    <xf numFmtId="0" fontId="21" fillId="22" borderId="6" xfId="0" applyFont="1" applyFill="1" applyBorder="1"/>
    <xf numFmtId="0" fontId="21" fillId="22" borderId="7" xfId="0" applyFont="1" applyFill="1" applyBorder="1"/>
    <xf numFmtId="188" fontId="21" fillId="22" borderId="7" xfId="1" applyNumberFormat="1" applyFont="1" applyFill="1" applyBorder="1"/>
    <xf numFmtId="188" fontId="21" fillId="22" borderId="8" xfId="1" applyNumberFormat="1" applyFont="1" applyFill="1" applyBorder="1"/>
    <xf numFmtId="0" fontId="0" fillId="22" borderId="0" xfId="0" applyFill="1"/>
    <xf numFmtId="0" fontId="0" fillId="22" borderId="1" xfId="0" applyFill="1" applyBorder="1"/>
    <xf numFmtId="0" fontId="0" fillId="22" borderId="2" xfId="0" applyFill="1" applyBorder="1"/>
    <xf numFmtId="188" fontId="12" fillId="22" borderId="2" xfId="1" applyNumberFormat="1" applyFont="1" applyFill="1" applyBorder="1"/>
    <xf numFmtId="188" fontId="12" fillId="22" borderId="3" xfId="1" applyNumberFormat="1" applyFont="1" applyFill="1" applyBorder="1"/>
    <xf numFmtId="0" fontId="14" fillId="22" borderId="1" xfId="0" applyFont="1" applyFill="1" applyBorder="1"/>
    <xf numFmtId="0" fontId="14" fillId="22" borderId="2" xfId="0" applyFont="1" applyFill="1" applyBorder="1"/>
    <xf numFmtId="188" fontId="14" fillId="22" borderId="2" xfId="1" applyNumberFormat="1" applyFont="1" applyFill="1" applyBorder="1"/>
    <xf numFmtId="188" fontId="14" fillId="22" borderId="3" xfId="1" applyNumberFormat="1" applyFont="1" applyFill="1" applyBorder="1"/>
    <xf numFmtId="0" fontId="21" fillId="22" borderId="1" xfId="0" applyFont="1" applyFill="1" applyBorder="1"/>
    <xf numFmtId="0" fontId="21" fillId="22" borderId="2" xfId="0" applyFont="1" applyFill="1" applyBorder="1"/>
    <xf numFmtId="188" fontId="21" fillId="22" borderId="2" xfId="1" applyNumberFormat="1" applyFont="1" applyFill="1" applyBorder="1"/>
    <xf numFmtId="188" fontId="21" fillId="22" borderId="3" xfId="1" applyNumberFormat="1" applyFont="1" applyFill="1" applyBorder="1"/>
    <xf numFmtId="0" fontId="0" fillId="23" borderId="6" xfId="0" applyFill="1" applyBorder="1"/>
    <xf numFmtId="0" fontId="0" fillId="23" borderId="7" xfId="0" applyFill="1" applyBorder="1"/>
    <xf numFmtId="188" fontId="12" fillId="23" borderId="7" xfId="1" applyNumberFormat="1" applyFont="1" applyFill="1" applyBorder="1"/>
    <xf numFmtId="188" fontId="12" fillId="23" borderId="8" xfId="1" applyNumberFormat="1" applyFont="1" applyFill="1" applyBorder="1"/>
    <xf numFmtId="187" fontId="12" fillId="23" borderId="0" xfId="1" applyNumberFormat="1" applyFont="1" applyFill="1" applyBorder="1"/>
    <xf numFmtId="0" fontId="14" fillId="23" borderId="6" xfId="0" applyFont="1" applyFill="1" applyBorder="1"/>
    <xf numFmtId="0" fontId="14" fillId="23" borderId="7" xfId="0" applyFont="1" applyFill="1" applyBorder="1"/>
    <xf numFmtId="188" fontId="14" fillId="23" borderId="7" xfId="1" applyNumberFormat="1" applyFont="1" applyFill="1" applyBorder="1"/>
    <xf numFmtId="188" fontId="14" fillId="23" borderId="8" xfId="1" applyNumberFormat="1" applyFont="1" applyFill="1" applyBorder="1"/>
    <xf numFmtId="0" fontId="0" fillId="23" borderId="0" xfId="0" applyFill="1"/>
    <xf numFmtId="0" fontId="21" fillId="23" borderId="6" xfId="0" applyFont="1" applyFill="1" applyBorder="1"/>
    <xf numFmtId="0" fontId="21" fillId="23" borderId="7" xfId="0" applyFont="1" applyFill="1" applyBorder="1"/>
    <xf numFmtId="188" fontId="21" fillId="23" borderId="7" xfId="1" applyNumberFormat="1" applyFont="1" applyFill="1" applyBorder="1"/>
    <xf numFmtId="188" fontId="21" fillId="23" borderId="8" xfId="1" applyNumberFormat="1" applyFont="1" applyFill="1" applyBorder="1"/>
    <xf numFmtId="0" fontId="8" fillId="21" borderId="58" xfId="0" applyFont="1" applyFill="1" applyBorder="1" applyAlignment="1">
      <alignment horizontal="center" vertical="center" wrapText="1" readingOrder="1"/>
    </xf>
    <xf numFmtId="0" fontId="8" fillId="21" borderId="59" xfId="0" applyFont="1" applyFill="1" applyBorder="1" applyAlignment="1">
      <alignment horizontal="center" vertical="center" wrapText="1" readingOrder="1"/>
    </xf>
    <xf numFmtId="0" fontId="24" fillId="6" borderId="57" xfId="0" applyFont="1" applyFill="1" applyBorder="1" applyAlignment="1">
      <alignment horizontal="center" wrapText="1" readingOrder="1"/>
    </xf>
    <xf numFmtId="191" fontId="26" fillId="6" borderId="57" xfId="1" applyNumberFormat="1" applyFont="1" applyFill="1" applyBorder="1" applyAlignment="1">
      <alignment horizontal="center" wrapText="1" readingOrder="1"/>
    </xf>
    <xf numFmtId="3" fontId="26" fillId="6" borderId="57" xfId="1" applyNumberFormat="1" applyFont="1" applyFill="1" applyBorder="1" applyAlignment="1">
      <alignment horizontal="center" wrapText="1" readingOrder="1"/>
    </xf>
    <xf numFmtId="3" fontId="26" fillId="6" borderId="57" xfId="0" applyNumberFormat="1" applyFont="1" applyFill="1" applyBorder="1" applyAlignment="1">
      <alignment horizontal="center" wrapText="1" readingOrder="1"/>
    </xf>
    <xf numFmtId="3" fontId="8" fillId="6" borderId="57" xfId="0" applyNumberFormat="1" applyFont="1" applyFill="1" applyBorder="1" applyAlignment="1">
      <alignment horizontal="center" wrapText="1"/>
    </xf>
    <xf numFmtId="0" fontId="24" fillId="22" borderId="56" xfId="0" applyFont="1" applyFill="1" applyBorder="1" applyAlignment="1">
      <alignment horizontal="center" wrapText="1" readingOrder="1"/>
    </xf>
    <xf numFmtId="191" fontId="25" fillId="22" borderId="56" xfId="1" applyNumberFormat="1" applyFont="1" applyFill="1" applyBorder="1" applyAlignment="1">
      <alignment horizontal="center" wrapText="1" readingOrder="1"/>
    </xf>
    <xf numFmtId="3" fontId="24" fillId="22" borderId="56" xfId="1" applyNumberFormat="1" applyFont="1" applyFill="1" applyBorder="1" applyAlignment="1">
      <alignment horizontal="center" wrapText="1" readingOrder="1"/>
    </xf>
    <xf numFmtId="0" fontId="24" fillId="22" borderId="54" xfId="0" applyFont="1" applyFill="1" applyBorder="1" applyAlignment="1">
      <alignment horizontal="center" wrapText="1" readingOrder="1"/>
    </xf>
    <xf numFmtId="191" fontId="24" fillId="22" borderId="54" xfId="1" applyNumberFormat="1" applyFont="1" applyFill="1" applyBorder="1" applyAlignment="1">
      <alignment horizontal="center" wrapText="1" readingOrder="1"/>
    </xf>
    <xf numFmtId="3" fontId="24" fillId="22" borderId="54" xfId="1" applyNumberFormat="1" applyFont="1" applyFill="1" applyBorder="1" applyAlignment="1">
      <alignment horizontal="center" wrapText="1" readingOrder="1"/>
    </xf>
    <xf numFmtId="3" fontId="24" fillId="22" borderId="54" xfId="0" applyNumberFormat="1" applyFont="1" applyFill="1" applyBorder="1" applyAlignment="1">
      <alignment horizontal="center" wrapText="1" readingOrder="1"/>
    </xf>
    <xf numFmtId="3" fontId="23" fillId="22" borderId="54" xfId="0" applyNumberFormat="1" applyFont="1" applyFill="1" applyBorder="1" applyAlignment="1">
      <alignment horizontal="center" wrapText="1" readingOrder="1"/>
    </xf>
    <xf numFmtId="0" fontId="0" fillId="24" borderId="6" xfId="0" applyFill="1" applyBorder="1"/>
    <xf numFmtId="0" fontId="0" fillId="24" borderId="7" xfId="0" applyFill="1" applyBorder="1"/>
    <xf numFmtId="0" fontId="0" fillId="24" borderId="7" xfId="0" applyFill="1" applyBorder="1" applyAlignment="1">
      <alignment horizontal="center"/>
    </xf>
    <xf numFmtId="0" fontId="0" fillId="24" borderId="8" xfId="0" applyFill="1" applyBorder="1" applyAlignment="1">
      <alignment horizontal="center"/>
    </xf>
    <xf numFmtId="0" fontId="0" fillId="24" borderId="0" xfId="0" applyFill="1" applyBorder="1" applyAlignment="1">
      <alignment horizontal="center"/>
    </xf>
    <xf numFmtId="0" fontId="14" fillId="24" borderId="6" xfId="0" applyFont="1" applyFill="1" applyBorder="1"/>
    <xf numFmtId="0" fontId="14" fillId="24" borderId="7" xfId="0" applyFont="1" applyFill="1" applyBorder="1"/>
    <xf numFmtId="0" fontId="14" fillId="24" borderId="7" xfId="0" applyFont="1" applyFill="1" applyBorder="1" applyAlignment="1">
      <alignment horizontal="center"/>
    </xf>
    <xf numFmtId="0" fontId="14" fillId="24" borderId="8" xfId="0" applyFont="1" applyFill="1" applyBorder="1" applyAlignment="1">
      <alignment horizontal="center"/>
    </xf>
    <xf numFmtId="0" fontId="0" fillId="24" borderId="0" xfId="0" applyFill="1"/>
    <xf numFmtId="0" fontId="21" fillId="24" borderId="6" xfId="0" applyFont="1" applyFill="1" applyBorder="1"/>
    <xf numFmtId="0" fontId="21" fillId="24" borderId="7" xfId="0" applyFont="1" applyFill="1" applyBorder="1"/>
    <xf numFmtId="0" fontId="21" fillId="24" borderId="7" xfId="0" applyFont="1" applyFill="1" applyBorder="1" applyAlignment="1">
      <alignment horizontal="center"/>
    </xf>
    <xf numFmtId="0" fontId="21" fillId="24" borderId="8" xfId="0" applyFont="1" applyFill="1" applyBorder="1" applyAlignment="1">
      <alignment horizontal="center"/>
    </xf>
    <xf numFmtId="0" fontId="0" fillId="25" borderId="6" xfId="0" applyFill="1" applyBorder="1"/>
    <xf numFmtId="0" fontId="0" fillId="25" borderId="7" xfId="0" applyFill="1" applyBorder="1"/>
    <xf numFmtId="188" fontId="12" fillId="25" borderId="7" xfId="1" applyNumberFormat="1" applyFont="1" applyFill="1" applyBorder="1"/>
    <xf numFmtId="188" fontId="12" fillId="25" borderId="8" xfId="1" applyNumberFormat="1" applyFont="1" applyFill="1" applyBorder="1"/>
    <xf numFmtId="187" fontId="12" fillId="25" borderId="0" xfId="1" applyNumberFormat="1" applyFont="1" applyFill="1" applyBorder="1"/>
    <xf numFmtId="0" fontId="14" fillId="25" borderId="6" xfId="0" applyFont="1" applyFill="1" applyBorder="1"/>
    <xf numFmtId="0" fontId="14" fillId="25" borderId="7" xfId="0" applyFont="1" applyFill="1" applyBorder="1"/>
    <xf numFmtId="188" fontId="14" fillId="25" borderId="7" xfId="1" applyNumberFormat="1" applyFont="1" applyFill="1" applyBorder="1"/>
    <xf numFmtId="188" fontId="14" fillId="25" borderId="8" xfId="1" applyNumberFormat="1" applyFont="1" applyFill="1" applyBorder="1"/>
    <xf numFmtId="0" fontId="0" fillId="25" borderId="0" xfId="0" applyFill="1"/>
    <xf numFmtId="0" fontId="21" fillId="25" borderId="6" xfId="0" applyFont="1" applyFill="1" applyBorder="1"/>
    <xf numFmtId="0" fontId="21" fillId="25" borderId="7" xfId="0" applyFont="1" applyFill="1" applyBorder="1"/>
    <xf numFmtId="188" fontId="21" fillId="25" borderId="7" xfId="1" applyNumberFormat="1" applyFont="1" applyFill="1" applyBorder="1"/>
    <xf numFmtId="188" fontId="21" fillId="25" borderId="8" xfId="1" applyNumberFormat="1" applyFont="1" applyFill="1" applyBorder="1"/>
    <xf numFmtId="188" fontId="12" fillId="5" borderId="7" xfId="1" applyNumberFormat="1" applyFont="1" applyFill="1" applyBorder="1"/>
    <xf numFmtId="188" fontId="12" fillId="5" borderId="8" xfId="1" applyNumberFormat="1" applyFont="1" applyFill="1" applyBorder="1"/>
    <xf numFmtId="187" fontId="12" fillId="5" borderId="0" xfId="1" applyNumberFormat="1" applyFont="1" applyFill="1" applyBorder="1"/>
    <xf numFmtId="188" fontId="14" fillId="5" borderId="7" xfId="1" applyNumberFormat="1" applyFont="1" applyFill="1" applyBorder="1"/>
    <xf numFmtId="188" fontId="14" fillId="5" borderId="8" xfId="1" applyNumberFormat="1" applyFont="1" applyFill="1" applyBorder="1"/>
    <xf numFmtId="192" fontId="0" fillId="5" borderId="0" xfId="0" applyNumberFormat="1" applyFill="1"/>
    <xf numFmtId="188" fontId="21" fillId="5" borderId="7" xfId="1" applyNumberFormat="1" applyFont="1" applyFill="1" applyBorder="1"/>
    <xf numFmtId="188" fontId="21" fillId="5" borderId="8" xfId="1" applyNumberFormat="1" applyFont="1" applyFill="1" applyBorder="1"/>
    <xf numFmtId="0" fontId="0" fillId="5" borderId="1" xfId="0" applyFill="1" applyBorder="1"/>
    <xf numFmtId="0" fontId="0" fillId="5" borderId="2" xfId="0" applyFill="1" applyBorder="1"/>
    <xf numFmtId="188" fontId="12" fillId="5" borderId="2" xfId="1" applyNumberFormat="1" applyFont="1" applyFill="1" applyBorder="1"/>
    <xf numFmtId="188" fontId="12" fillId="5" borderId="3" xfId="1" applyNumberFormat="1" applyFont="1" applyFill="1" applyBorder="1"/>
    <xf numFmtId="0" fontId="14" fillId="5" borderId="1" xfId="0" applyFont="1" applyFill="1" applyBorder="1"/>
    <xf numFmtId="0" fontId="14" fillId="5" borderId="2" xfId="0" applyFont="1" applyFill="1" applyBorder="1"/>
    <xf numFmtId="188" fontId="14" fillId="5" borderId="2" xfId="1" applyNumberFormat="1" applyFont="1" applyFill="1" applyBorder="1"/>
    <xf numFmtId="188" fontId="14" fillId="5" borderId="3" xfId="1" applyNumberFormat="1" applyFont="1" applyFill="1" applyBorder="1"/>
    <xf numFmtId="0" fontId="21" fillId="5" borderId="1" xfId="0" applyFont="1" applyFill="1" applyBorder="1"/>
    <xf numFmtId="0" fontId="21" fillId="5" borderId="2" xfId="0" applyFont="1" applyFill="1" applyBorder="1"/>
    <xf numFmtId="188" fontId="21" fillId="5" borderId="2" xfId="1" applyNumberFormat="1" applyFont="1" applyFill="1" applyBorder="1"/>
    <xf numFmtId="188" fontId="21" fillId="5" borderId="3" xfId="1" applyNumberFormat="1" applyFont="1" applyFill="1" applyBorder="1"/>
    <xf numFmtId="0" fontId="8" fillId="24" borderId="58" xfId="0" applyFont="1" applyFill="1" applyBorder="1" applyAlignment="1">
      <alignment horizontal="center" vertical="center" wrapText="1" readingOrder="1"/>
    </xf>
    <xf numFmtId="0" fontId="8" fillId="24" borderId="59" xfId="0" applyFont="1" applyFill="1" applyBorder="1" applyAlignment="1">
      <alignment horizontal="center" vertical="center" wrapText="1" readingOrder="1"/>
    </xf>
    <xf numFmtId="0" fontId="24" fillId="26" borderId="57" xfId="0" applyFont="1" applyFill="1" applyBorder="1" applyAlignment="1">
      <alignment horizontal="center" wrapText="1" readingOrder="1"/>
    </xf>
    <xf numFmtId="195" fontId="26" fillId="26" borderId="57" xfId="1" applyNumberFormat="1" applyFont="1" applyFill="1" applyBorder="1" applyAlignment="1">
      <alignment horizontal="center" wrapText="1" readingOrder="1"/>
    </xf>
    <xf numFmtId="195" fontId="26" fillId="26" borderId="57" xfId="0" applyNumberFormat="1" applyFont="1" applyFill="1" applyBorder="1" applyAlignment="1">
      <alignment horizontal="center" wrapText="1" readingOrder="1"/>
    </xf>
    <xf numFmtId="195" fontId="8" fillId="26" borderId="57" xfId="0" applyNumberFormat="1" applyFont="1" applyFill="1" applyBorder="1" applyAlignment="1">
      <alignment horizontal="center" wrapText="1"/>
    </xf>
    <xf numFmtId="0" fontId="24" fillId="5" borderId="56" xfId="0" applyFont="1" applyFill="1" applyBorder="1" applyAlignment="1">
      <alignment horizontal="center" wrapText="1" readingOrder="1"/>
    </xf>
    <xf numFmtId="195" fontId="25" fillId="5" borderId="56" xfId="1" applyNumberFormat="1" applyFont="1" applyFill="1" applyBorder="1" applyAlignment="1">
      <alignment horizontal="center" wrapText="1" readingOrder="1"/>
    </xf>
    <xf numFmtId="195" fontId="24" fillId="5" borderId="56" xfId="1" applyNumberFormat="1" applyFont="1" applyFill="1" applyBorder="1" applyAlignment="1">
      <alignment horizontal="center" wrapText="1" readingOrder="1"/>
    </xf>
    <xf numFmtId="0" fontId="24" fillId="5" borderId="54" xfId="0" applyFont="1" applyFill="1" applyBorder="1" applyAlignment="1">
      <alignment horizontal="center" wrapText="1" readingOrder="1"/>
    </xf>
    <xf numFmtId="195" fontId="24" fillId="5" borderId="54" xfId="1" applyNumberFormat="1" applyFont="1" applyFill="1" applyBorder="1" applyAlignment="1">
      <alignment horizontal="center" wrapText="1" readingOrder="1"/>
    </xf>
    <xf numFmtId="195" fontId="24" fillId="5" borderId="54" xfId="0" applyNumberFormat="1" applyFont="1" applyFill="1" applyBorder="1" applyAlignment="1">
      <alignment horizontal="center" wrapText="1" readingOrder="1"/>
    </xf>
    <xf numFmtId="195" fontId="23" fillId="5" borderId="54" xfId="0" applyNumberFormat="1" applyFont="1" applyFill="1" applyBorder="1" applyAlignment="1">
      <alignment horizontal="center" wrapText="1" readingOrder="1"/>
    </xf>
    <xf numFmtId="191" fontId="26" fillId="26" borderId="57" xfId="1" applyNumberFormat="1" applyFont="1" applyFill="1" applyBorder="1" applyAlignment="1">
      <alignment horizontal="center" wrapText="1" readingOrder="1"/>
    </xf>
    <xf numFmtId="191" fontId="25" fillId="5" borderId="56" xfId="1" applyNumberFormat="1" applyFont="1" applyFill="1" applyBorder="1" applyAlignment="1">
      <alignment horizontal="center" wrapText="1" readingOrder="1"/>
    </xf>
    <xf numFmtId="191" fontId="24" fillId="5" borderId="54" xfId="1" applyNumberFormat="1" applyFont="1" applyFill="1" applyBorder="1" applyAlignment="1">
      <alignment horizontal="center" wrapText="1" readingOrder="1"/>
    </xf>
    <xf numFmtId="0" fontId="8" fillId="27" borderId="58" xfId="0" applyFont="1" applyFill="1" applyBorder="1" applyAlignment="1">
      <alignment horizontal="center" vertical="center" wrapText="1" readingOrder="1"/>
    </xf>
    <xf numFmtId="0" fontId="8" fillId="27" borderId="59" xfId="0" applyFont="1" applyFill="1" applyBorder="1" applyAlignment="1">
      <alignment horizontal="center" vertical="center" wrapText="1" readingOrder="1"/>
    </xf>
    <xf numFmtId="0" fontId="24" fillId="28" borderId="57" xfId="0" applyFont="1" applyFill="1" applyBorder="1" applyAlignment="1">
      <alignment horizontal="center" wrapText="1" readingOrder="1"/>
    </xf>
    <xf numFmtId="191" fontId="26" fillId="28" borderId="57" xfId="1" applyNumberFormat="1" applyFont="1" applyFill="1" applyBorder="1" applyAlignment="1">
      <alignment horizontal="center" wrapText="1" readingOrder="1"/>
    </xf>
    <xf numFmtId="191" fontId="26" fillId="28" borderId="57" xfId="0" applyNumberFormat="1" applyFont="1" applyFill="1" applyBorder="1" applyAlignment="1">
      <alignment horizontal="center" wrapText="1" readingOrder="1"/>
    </xf>
    <xf numFmtId="191" fontId="8" fillId="28" borderId="57" xfId="0" applyNumberFormat="1" applyFont="1" applyFill="1" applyBorder="1" applyAlignment="1">
      <alignment horizontal="center" wrapText="1"/>
    </xf>
    <xf numFmtId="0" fontId="24" fillId="29" borderId="56" xfId="0" applyFont="1" applyFill="1" applyBorder="1" applyAlignment="1">
      <alignment horizontal="center" wrapText="1" readingOrder="1"/>
    </xf>
    <xf numFmtId="191" fontId="25" fillId="29" borderId="56" xfId="1" applyNumberFormat="1" applyFont="1" applyFill="1" applyBorder="1" applyAlignment="1">
      <alignment horizontal="center" wrapText="1" readingOrder="1"/>
    </xf>
    <xf numFmtId="191" fontId="24" fillId="29" borderId="56" xfId="1" applyNumberFormat="1" applyFont="1" applyFill="1" applyBorder="1" applyAlignment="1">
      <alignment horizontal="center" wrapText="1" readingOrder="1"/>
    </xf>
    <xf numFmtId="0" fontId="24" fillId="29" borderId="54" xfId="0" applyFont="1" applyFill="1" applyBorder="1" applyAlignment="1">
      <alignment horizontal="center" wrapText="1" readingOrder="1"/>
    </xf>
    <xf numFmtId="191" fontId="24" fillId="29" borderId="54" xfId="1" applyNumberFormat="1" applyFont="1" applyFill="1" applyBorder="1" applyAlignment="1">
      <alignment horizontal="center" wrapText="1" readingOrder="1"/>
    </xf>
    <xf numFmtId="191" fontId="24" fillId="29" borderId="54" xfId="0" applyNumberFormat="1" applyFont="1" applyFill="1" applyBorder="1" applyAlignment="1">
      <alignment horizontal="center" wrapText="1" readingOrder="1"/>
    </xf>
    <xf numFmtId="191" fontId="23" fillId="29" borderId="54" xfId="0" applyNumberFormat="1" applyFont="1" applyFill="1" applyBorder="1" applyAlignment="1">
      <alignment horizontal="center" wrapText="1" readingOrder="1"/>
    </xf>
    <xf numFmtId="196" fontId="25" fillId="19" borderId="56" xfId="1" applyNumberFormat="1" applyFont="1" applyFill="1" applyBorder="1" applyAlignment="1">
      <alignment horizontal="center" wrapText="1" readingOrder="1"/>
    </xf>
    <xf numFmtId="196" fontId="24" fillId="19" borderId="54" xfId="1" applyNumberFormat="1" applyFont="1" applyFill="1" applyBorder="1" applyAlignment="1">
      <alignment horizontal="center" wrapText="1" readingOrder="1"/>
    </xf>
    <xf numFmtId="191" fontId="26" fillId="18" borderId="57" xfId="0" applyNumberFormat="1" applyFont="1" applyFill="1" applyBorder="1" applyAlignment="1">
      <alignment horizontal="center" wrapText="1" readingOrder="1"/>
    </xf>
    <xf numFmtId="191" fontId="24" fillId="19" borderId="54" xfId="0" applyNumberFormat="1" applyFont="1" applyFill="1" applyBorder="1" applyAlignment="1">
      <alignment horizontal="center" wrapText="1" readingOrder="1"/>
    </xf>
    <xf numFmtId="196" fontId="25" fillId="22" borderId="56" xfId="1" applyNumberFormat="1" applyFont="1" applyFill="1" applyBorder="1" applyAlignment="1">
      <alignment horizontal="center" wrapText="1" readingOrder="1"/>
    </xf>
    <xf numFmtId="196" fontId="26" fillId="6" borderId="57" xfId="1" applyNumberFormat="1" applyFont="1" applyFill="1" applyBorder="1" applyAlignment="1">
      <alignment horizontal="center" wrapText="1" readingOrder="1"/>
    </xf>
    <xf numFmtId="196" fontId="24" fillId="22" borderId="54" xfId="1" applyNumberFormat="1" applyFont="1" applyFill="1" applyBorder="1" applyAlignment="1">
      <alignment horizontal="center" wrapText="1" readingOrder="1"/>
    </xf>
    <xf numFmtId="196" fontId="24" fillId="22" borderId="56" xfId="1" applyNumberFormat="1" applyFont="1" applyFill="1" applyBorder="1" applyAlignment="1">
      <alignment horizontal="center" wrapText="1" readingOrder="1"/>
    </xf>
    <xf numFmtId="196" fontId="26" fillId="6" borderId="57" xfId="0" applyNumberFormat="1" applyFont="1" applyFill="1" applyBorder="1" applyAlignment="1">
      <alignment horizontal="center" wrapText="1" readingOrder="1"/>
    </xf>
    <xf numFmtId="196" fontId="8" fillId="6" borderId="57" xfId="0" applyNumberFormat="1" applyFont="1" applyFill="1" applyBorder="1" applyAlignment="1">
      <alignment horizontal="center" wrapText="1"/>
    </xf>
    <xf numFmtId="196" fontId="24" fillId="22" borderId="54" xfId="0" applyNumberFormat="1" applyFont="1" applyFill="1" applyBorder="1" applyAlignment="1">
      <alignment horizontal="center" wrapText="1" readingOrder="1"/>
    </xf>
    <xf numFmtId="196" fontId="23" fillId="22" borderId="54" xfId="0" applyNumberFormat="1" applyFont="1" applyFill="1" applyBorder="1" applyAlignment="1">
      <alignment horizontal="center" wrapText="1" readingOrder="1"/>
    </xf>
    <xf numFmtId="196" fontId="25" fillId="5" borderId="56" xfId="1" applyNumberFormat="1" applyFont="1" applyFill="1" applyBorder="1" applyAlignment="1">
      <alignment horizontal="center" wrapText="1" readingOrder="1"/>
    </xf>
    <xf numFmtId="196" fontId="24" fillId="5" borderId="56" xfId="1" applyNumberFormat="1" applyFont="1" applyFill="1" applyBorder="1" applyAlignment="1">
      <alignment horizontal="center" wrapText="1" readingOrder="1"/>
    </xf>
    <xf numFmtId="196" fontId="26" fillId="26" borderId="57" xfId="1" applyNumberFormat="1" applyFont="1" applyFill="1" applyBorder="1" applyAlignment="1">
      <alignment horizontal="center" wrapText="1" readingOrder="1"/>
    </xf>
    <xf numFmtId="196" fontId="26" fillId="26" borderId="57" xfId="0" applyNumberFormat="1" applyFont="1" applyFill="1" applyBorder="1" applyAlignment="1">
      <alignment horizontal="center" wrapText="1" readingOrder="1"/>
    </xf>
    <xf numFmtId="196" fontId="8" fillId="26" borderId="57" xfId="0" applyNumberFormat="1" applyFont="1" applyFill="1" applyBorder="1" applyAlignment="1">
      <alignment horizontal="center" wrapText="1"/>
    </xf>
    <xf numFmtId="196" fontId="24" fillId="5" borderId="54" xfId="1" applyNumberFormat="1" applyFont="1" applyFill="1" applyBorder="1" applyAlignment="1">
      <alignment horizontal="center" wrapText="1" readingOrder="1"/>
    </xf>
    <xf numFmtId="196" fontId="24" fillId="5" borderId="54" xfId="0" applyNumberFormat="1" applyFont="1" applyFill="1" applyBorder="1" applyAlignment="1">
      <alignment horizontal="center" wrapText="1" readingOrder="1"/>
    </xf>
    <xf numFmtId="196" fontId="23" fillId="5" borderId="54" xfId="0" applyNumberFormat="1" applyFont="1" applyFill="1" applyBorder="1" applyAlignment="1">
      <alignment horizontal="center" wrapText="1" readingOrder="1"/>
    </xf>
    <xf numFmtId="196" fontId="25" fillId="29" borderId="56" xfId="1" applyNumberFormat="1" applyFont="1" applyFill="1" applyBorder="1" applyAlignment="1">
      <alignment horizontal="center" wrapText="1" readingOrder="1"/>
    </xf>
    <xf numFmtId="196" fontId="26" fillId="28" borderId="57" xfId="1" applyNumberFormat="1" applyFont="1" applyFill="1" applyBorder="1" applyAlignment="1">
      <alignment horizontal="center" wrapText="1" readingOrder="1"/>
    </xf>
    <xf numFmtId="196" fontId="24" fillId="29" borderId="54" xfId="1" applyNumberFormat="1" applyFont="1" applyFill="1" applyBorder="1" applyAlignment="1">
      <alignment horizontal="center" wrapText="1" readingOrder="1"/>
    </xf>
    <xf numFmtId="196" fontId="24" fillId="29" borderId="56" xfId="1" applyNumberFormat="1" applyFont="1" applyFill="1" applyBorder="1" applyAlignment="1">
      <alignment horizontal="center" wrapText="1" readingOrder="1"/>
    </xf>
    <xf numFmtId="196" fontId="26" fillId="28" borderId="57" xfId="0" applyNumberFormat="1" applyFont="1" applyFill="1" applyBorder="1" applyAlignment="1">
      <alignment horizontal="center" wrapText="1" readingOrder="1"/>
    </xf>
    <xf numFmtId="196" fontId="8" fillId="28" borderId="57" xfId="0" applyNumberFormat="1" applyFont="1" applyFill="1" applyBorder="1" applyAlignment="1">
      <alignment horizontal="center" wrapText="1"/>
    </xf>
    <xf numFmtId="196" fontId="24" fillId="29" borderId="54" xfId="0" applyNumberFormat="1" applyFont="1" applyFill="1" applyBorder="1" applyAlignment="1">
      <alignment horizontal="center" wrapText="1" readingOrder="1"/>
    </xf>
    <xf numFmtId="196" fontId="23" fillId="29" borderId="54" xfId="0" applyNumberFormat="1" applyFont="1" applyFill="1" applyBorder="1" applyAlignment="1">
      <alignment horizontal="center" wrapText="1" readingOrder="1"/>
    </xf>
    <xf numFmtId="188" fontId="12" fillId="0" borderId="7" xfId="1" applyNumberFormat="1" applyFont="1" applyBorder="1"/>
    <xf numFmtId="0" fontId="24" fillId="0" borderId="0" xfId="0" applyFont="1" applyFill="1" applyBorder="1" applyAlignment="1">
      <alignment horizontal="left" readingOrder="1"/>
    </xf>
    <xf numFmtId="0" fontId="28" fillId="20" borderId="58" xfId="0" applyFont="1" applyFill="1" applyBorder="1" applyAlignment="1">
      <alignment horizontal="center" vertical="center" wrapText="1" readingOrder="1"/>
    </xf>
    <xf numFmtId="0" fontId="17" fillId="0" borderId="22" xfId="0" applyFont="1" applyBorder="1" applyAlignment="1">
      <alignment horizontal="center" vertical="center"/>
    </xf>
    <xf numFmtId="0" fontId="24" fillId="10" borderId="60" xfId="0" applyFont="1" applyFill="1" applyBorder="1" applyAlignment="1">
      <alignment horizontal="center" wrapText="1" readingOrder="1"/>
    </xf>
    <xf numFmtId="0" fontId="8" fillId="0" borderId="61" xfId="0" applyFont="1" applyFill="1" applyBorder="1" applyAlignment="1">
      <alignment horizontal="center" vertical="center" wrapText="1" readingOrder="1"/>
    </xf>
    <xf numFmtId="0" fontId="8" fillId="0" borderId="62" xfId="0" applyFont="1" applyFill="1" applyBorder="1" applyAlignment="1">
      <alignment horizontal="center" vertical="center" wrapText="1" readingOrder="1"/>
    </xf>
    <xf numFmtId="3" fontId="8" fillId="0" borderId="61" xfId="0" applyNumberFormat="1" applyFont="1" applyFill="1" applyBorder="1" applyAlignment="1">
      <alignment horizontal="center" wrapText="1"/>
    </xf>
    <xf numFmtId="0" fontId="8" fillId="0" borderId="62" xfId="0" applyFont="1" applyFill="1" applyBorder="1" applyAlignment="1">
      <alignment vertical="center" wrapText="1" readingOrder="1"/>
    </xf>
    <xf numFmtId="3" fontId="8" fillId="0" borderId="62" xfId="0" applyNumberFormat="1" applyFont="1" applyFill="1" applyBorder="1" applyAlignment="1">
      <alignment horizontal="center" wrapText="1"/>
    </xf>
    <xf numFmtId="3" fontId="24" fillId="0" borderId="61" xfId="1" applyNumberFormat="1" applyFont="1" applyFill="1" applyBorder="1" applyAlignment="1">
      <alignment horizontal="center" wrapText="1" readingOrder="1"/>
    </xf>
    <xf numFmtId="3" fontId="23" fillId="0" borderId="61" xfId="0" applyNumberFormat="1" applyFont="1" applyFill="1" applyBorder="1" applyAlignment="1">
      <alignment horizontal="center" wrapText="1" readingOrder="1"/>
    </xf>
    <xf numFmtId="3" fontId="24" fillId="0" borderId="62" xfId="1" applyNumberFormat="1" applyFont="1" applyFill="1" applyBorder="1" applyAlignment="1">
      <alignment horizontal="center" wrapText="1" readingOrder="1"/>
    </xf>
    <xf numFmtId="3" fontId="23" fillId="0" borderId="62" xfId="0" applyNumberFormat="1" applyFont="1" applyFill="1" applyBorder="1" applyAlignment="1">
      <alignment horizontal="center" wrapText="1" readingOrder="1"/>
    </xf>
    <xf numFmtId="0" fontId="8" fillId="0" borderId="7" xfId="0" applyFont="1" applyFill="1" applyBorder="1" applyAlignment="1">
      <alignment horizontal="center" vertical="center" wrapText="1" readingOrder="1"/>
    </xf>
    <xf numFmtId="3" fontId="24" fillId="0" borderId="7" xfId="1" applyNumberFormat="1" applyFont="1" applyFill="1" applyBorder="1" applyAlignment="1">
      <alignment horizontal="center" wrapText="1" readingOrder="1"/>
    </xf>
    <xf numFmtId="3" fontId="8" fillId="0" borderId="7" xfId="0" applyNumberFormat="1" applyFont="1" applyFill="1" applyBorder="1" applyAlignment="1">
      <alignment horizontal="center" wrapText="1"/>
    </xf>
    <xf numFmtId="3" fontId="23" fillId="0" borderId="7" xfId="0" applyNumberFormat="1" applyFont="1" applyFill="1" applyBorder="1" applyAlignment="1">
      <alignment horizontal="center" wrapText="1" readingOrder="1"/>
    </xf>
    <xf numFmtId="187" fontId="12" fillId="5" borderId="7" xfId="1" applyNumberFormat="1" applyFont="1" applyFill="1" applyBorder="1"/>
    <xf numFmtId="187" fontId="12" fillId="5" borderId="2" xfId="1" applyNumberFormat="1" applyFont="1" applyFill="1" applyBorder="1"/>
    <xf numFmtId="187" fontId="12" fillId="25" borderId="7" xfId="1" applyNumberFormat="1" applyFont="1" applyFill="1" applyBorder="1"/>
    <xf numFmtId="187" fontId="12" fillId="25" borderId="8" xfId="1" applyNumberFormat="1" applyFont="1" applyFill="1" applyBorder="1"/>
    <xf numFmtId="187" fontId="12" fillId="5" borderId="8" xfId="1" applyNumberFormat="1" applyFont="1" applyFill="1" applyBorder="1"/>
    <xf numFmtId="187" fontId="12" fillId="5" borderId="3" xfId="1" applyNumberFormat="1" applyFont="1" applyFill="1" applyBorder="1"/>
    <xf numFmtId="187" fontId="12" fillId="25" borderId="6" xfId="1" applyNumberFormat="1" applyFont="1" applyFill="1" applyBorder="1"/>
    <xf numFmtId="187" fontId="12" fillId="5" borderId="6" xfId="1" applyNumberFormat="1" applyFont="1" applyFill="1" applyBorder="1"/>
    <xf numFmtId="187" fontId="12" fillId="5" borderId="1" xfId="1" applyNumberFormat="1" applyFont="1" applyFill="1" applyBorder="1"/>
    <xf numFmtId="0" fontId="0" fillId="24" borderId="14" xfId="0" applyFill="1" applyBorder="1" applyAlignment="1">
      <alignment horizontal="center"/>
    </xf>
    <xf numFmtId="3" fontId="29" fillId="0" borderId="7" xfId="1" applyNumberFormat="1" applyFont="1" applyFill="1" applyBorder="1" applyAlignment="1">
      <alignment horizontal="center" wrapText="1" readingOrder="1"/>
    </xf>
    <xf numFmtId="3" fontId="29" fillId="0" borderId="7" xfId="0" applyNumberFormat="1" applyFont="1" applyFill="1" applyBorder="1" applyAlignment="1">
      <alignment horizontal="center" wrapText="1"/>
    </xf>
    <xf numFmtId="3" fontId="29" fillId="0" borderId="7" xfId="0" applyNumberFormat="1" applyFont="1" applyFill="1" applyBorder="1" applyAlignment="1">
      <alignment horizontal="center" wrapText="1" readingOrder="1"/>
    </xf>
    <xf numFmtId="0" fontId="8" fillId="0" borderId="0" xfId="0" applyFont="1" applyFill="1" applyBorder="1" applyAlignment="1">
      <alignment horizontal="center" vertical="center" wrapText="1" readingOrder="1"/>
    </xf>
    <xf numFmtId="3" fontId="8" fillId="0" borderId="0" xfId="0" applyNumberFormat="1" applyFont="1" applyFill="1" applyBorder="1" applyAlignment="1">
      <alignment horizontal="center" wrapText="1"/>
    </xf>
    <xf numFmtId="3" fontId="23" fillId="0" borderId="7" xfId="0" applyNumberFormat="1" applyFont="1" applyFill="1" applyBorder="1" applyAlignment="1">
      <alignment horizontal="center" wrapText="1" readingOrder="1"/>
    </xf>
    <xf numFmtId="0" fontId="28" fillId="20" borderId="58" xfId="0" applyFont="1" applyFill="1" applyBorder="1" applyAlignment="1">
      <alignment horizontal="center" vertical="center" wrapText="1" readingOrder="1"/>
    </xf>
    <xf numFmtId="0" fontId="24" fillId="10" borderId="0" xfId="0" applyFont="1" applyFill="1" applyBorder="1" applyAlignment="1">
      <alignment horizontal="center" wrapText="1" readingOrder="1"/>
    </xf>
    <xf numFmtId="43" fontId="24" fillId="10" borderId="0" xfId="0" applyNumberFormat="1" applyFont="1" applyFill="1" applyBorder="1" applyAlignment="1">
      <alignment horizontal="center" wrapText="1" readingOrder="1"/>
    </xf>
    <xf numFmtId="0" fontId="18" fillId="0" borderId="0" xfId="0" applyFont="1" applyFill="1" applyBorder="1" applyAlignment="1">
      <alignment horizontal="center" vertical="center"/>
    </xf>
    <xf numFmtId="191" fontId="8" fillId="0" borderId="0" xfId="0" applyNumberFormat="1" applyFont="1" applyFill="1" applyBorder="1" applyAlignment="1">
      <alignment horizontal="center" wrapText="1"/>
    </xf>
    <xf numFmtId="191" fontId="23" fillId="0" borderId="0" xfId="0" applyNumberFormat="1" applyFont="1" applyFill="1" applyBorder="1" applyAlignment="1">
      <alignment horizontal="center" wrapText="1" readingOrder="1"/>
    </xf>
    <xf numFmtId="0" fontId="8" fillId="11" borderId="63" xfId="0" applyFont="1" applyFill="1" applyBorder="1" applyAlignment="1">
      <alignment horizontal="center" vertical="center" wrapText="1" readingOrder="1"/>
    </xf>
    <xf numFmtId="0" fontId="8" fillId="11" borderId="64" xfId="0" applyFont="1" applyFill="1" applyBorder="1" applyAlignment="1">
      <alignment horizontal="center" vertical="center" wrapText="1" readingOrder="1"/>
    </xf>
    <xf numFmtId="193" fontId="24" fillId="12" borderId="65" xfId="1" applyNumberFormat="1" applyFont="1" applyFill="1" applyBorder="1" applyAlignment="1">
      <alignment horizontal="center" wrapText="1" readingOrder="1"/>
    </xf>
    <xf numFmtId="193" fontId="8" fillId="16" borderId="66" xfId="0" applyNumberFormat="1" applyFont="1" applyFill="1" applyBorder="1" applyAlignment="1">
      <alignment horizontal="center" wrapText="1"/>
    </xf>
    <xf numFmtId="193" fontId="23" fillId="12" borderId="67" xfId="0" applyNumberFormat="1" applyFont="1" applyFill="1" applyBorder="1" applyAlignment="1">
      <alignment horizontal="center" wrapText="1" readingOrder="1"/>
    </xf>
    <xf numFmtId="0" fontId="8" fillId="27" borderId="63" xfId="0" applyFont="1" applyFill="1" applyBorder="1" applyAlignment="1">
      <alignment horizontal="center" vertical="center" wrapText="1" readingOrder="1"/>
    </xf>
    <xf numFmtId="0" fontId="8" fillId="27" borderId="64" xfId="0" applyFont="1" applyFill="1" applyBorder="1" applyAlignment="1">
      <alignment horizontal="center" vertical="center" wrapText="1" readingOrder="1"/>
    </xf>
    <xf numFmtId="191" fontId="24" fillId="29" borderId="65" xfId="1" applyNumberFormat="1" applyFont="1" applyFill="1" applyBorder="1" applyAlignment="1">
      <alignment horizontal="center" wrapText="1" readingOrder="1"/>
    </xf>
    <xf numFmtId="191" fontId="8" fillId="28" borderId="66" xfId="0" applyNumberFormat="1" applyFont="1" applyFill="1" applyBorder="1" applyAlignment="1">
      <alignment horizontal="center" wrapText="1"/>
    </xf>
    <xf numFmtId="191" fontId="23" fillId="29" borderId="67" xfId="0" applyNumberFormat="1" applyFont="1" applyFill="1" applyBorder="1" applyAlignment="1">
      <alignment horizontal="center" wrapText="1" readingOrder="1"/>
    </xf>
    <xf numFmtId="0" fontId="24" fillId="10" borderId="68" xfId="0" applyFont="1" applyFill="1" applyBorder="1" applyAlignment="1">
      <alignment horizontal="center" wrapText="1" readingOrder="1"/>
    </xf>
    <xf numFmtId="0" fontId="24" fillId="15" borderId="69" xfId="0" applyFont="1" applyFill="1" applyBorder="1" applyAlignment="1">
      <alignment horizontal="center" wrapText="1" readingOrder="1"/>
    </xf>
    <xf numFmtId="0" fontId="17" fillId="0" borderId="0" xfId="0" applyFont="1" applyFill="1" applyBorder="1" applyAlignment="1">
      <alignment horizontal="center" vertical="center"/>
    </xf>
    <xf numFmtId="193" fontId="8" fillId="0" borderId="0" xfId="0" applyNumberFormat="1" applyFont="1" applyFill="1" applyBorder="1" applyAlignment="1">
      <alignment horizontal="center" wrapText="1"/>
    </xf>
    <xf numFmtId="0" fontId="0" fillId="0" borderId="0" xfId="0" applyFill="1" applyBorder="1"/>
    <xf numFmtId="0" fontId="28" fillId="20" borderId="70" xfId="0" applyFont="1" applyFill="1" applyBorder="1" applyAlignment="1">
      <alignment horizontal="center" vertical="center" wrapText="1" readingOrder="1"/>
    </xf>
    <xf numFmtId="0" fontId="28" fillId="20" borderId="58" xfId="0" applyFont="1" applyFill="1" applyBorder="1" applyAlignment="1">
      <alignment horizontal="center" vertical="center" wrapText="1" readingOrder="1"/>
    </xf>
    <xf numFmtId="3" fontId="23" fillId="0" borderId="7" xfId="0" applyNumberFormat="1" applyFont="1" applyFill="1" applyBorder="1" applyAlignment="1">
      <alignment horizontal="center" wrapText="1" readingOrder="1"/>
    </xf>
    <xf numFmtId="43" fontId="30" fillId="10" borderId="56" xfId="1" applyFont="1" applyFill="1" applyBorder="1" applyAlignment="1">
      <alignment horizontal="center" wrapText="1" readingOrder="1"/>
    </xf>
    <xf numFmtId="43" fontId="31" fillId="15" borderId="57" xfId="1" applyFont="1" applyFill="1" applyBorder="1" applyAlignment="1">
      <alignment horizontal="center" wrapText="1" readingOrder="1"/>
    </xf>
    <xf numFmtId="43" fontId="32" fillId="10" borderId="54" xfId="1" applyFont="1" applyFill="1" applyBorder="1" applyAlignment="1">
      <alignment horizontal="center" wrapText="1" readingOrder="1"/>
    </xf>
    <xf numFmtId="43" fontId="33" fillId="10" borderId="56" xfId="1" applyFont="1" applyFill="1" applyBorder="1" applyAlignment="1">
      <alignment horizontal="center" wrapText="1" readingOrder="1"/>
    </xf>
    <xf numFmtId="43" fontId="34" fillId="15" borderId="57" xfId="1" applyFont="1" applyFill="1" applyBorder="1" applyAlignment="1">
      <alignment horizontal="center" wrapText="1" readingOrder="1"/>
    </xf>
    <xf numFmtId="43" fontId="35" fillId="10" borderId="54" xfId="1" applyFont="1" applyFill="1" applyBorder="1" applyAlignment="1">
      <alignment horizontal="center" wrapText="1" readingOrder="1"/>
    </xf>
    <xf numFmtId="0" fontId="36" fillId="0" borderId="0" xfId="0" applyFont="1"/>
    <xf numFmtId="0" fontId="37" fillId="0" borderId="0" xfId="0" applyFont="1"/>
    <xf numFmtId="0" fontId="10" fillId="9" borderId="58" xfId="0" applyFont="1" applyFill="1" applyBorder="1" applyAlignment="1">
      <alignment horizontal="center" vertical="center" wrapText="1" readingOrder="1"/>
    </xf>
    <xf numFmtId="0" fontId="10" fillId="9" borderId="59" xfId="0" applyFont="1" applyFill="1" applyBorder="1" applyAlignment="1">
      <alignment horizontal="center" vertical="center" wrapText="1" readingOrder="1"/>
    </xf>
    <xf numFmtId="193" fontId="33" fillId="10" borderId="56" xfId="1" applyNumberFormat="1" applyFont="1" applyFill="1" applyBorder="1" applyAlignment="1">
      <alignment horizontal="center" wrapText="1" readingOrder="1"/>
    </xf>
    <xf numFmtId="193" fontId="35" fillId="10" borderId="56" xfId="1" applyNumberFormat="1" applyFont="1" applyFill="1" applyBorder="1" applyAlignment="1">
      <alignment horizontal="center" wrapText="1" readingOrder="1"/>
    </xf>
    <xf numFmtId="0" fontId="36" fillId="0" borderId="0" xfId="0" applyFont="1" applyAlignment="1"/>
    <xf numFmtId="193" fontId="34" fillId="15" borderId="57" xfId="1" applyNumberFormat="1" applyFont="1" applyFill="1" applyBorder="1" applyAlignment="1">
      <alignment horizontal="center" wrapText="1" readingOrder="1"/>
    </xf>
    <xf numFmtId="193" fontId="34" fillId="15" borderId="57" xfId="0" applyNumberFormat="1" applyFont="1" applyFill="1" applyBorder="1" applyAlignment="1">
      <alignment horizontal="center" wrapText="1" readingOrder="1"/>
    </xf>
    <xf numFmtId="193" fontId="10" fillId="15" borderId="57" xfId="0" applyNumberFormat="1" applyFont="1" applyFill="1" applyBorder="1" applyAlignment="1">
      <alignment horizontal="center" wrapText="1"/>
    </xf>
    <xf numFmtId="193" fontId="35" fillId="10" borderId="54" xfId="1" applyNumberFormat="1" applyFont="1" applyFill="1" applyBorder="1" applyAlignment="1">
      <alignment horizontal="center" wrapText="1" readingOrder="1"/>
    </xf>
    <xf numFmtId="193" fontId="35" fillId="10" borderId="54" xfId="0" applyNumberFormat="1" applyFont="1" applyFill="1" applyBorder="1" applyAlignment="1">
      <alignment horizontal="center" wrapText="1" readingOrder="1"/>
    </xf>
    <xf numFmtId="193" fontId="38" fillId="10" borderId="54" xfId="0" applyNumberFormat="1" applyFont="1" applyFill="1" applyBorder="1" applyAlignment="1">
      <alignment horizontal="center" wrapText="1" readingOrder="1"/>
    </xf>
    <xf numFmtId="193" fontId="35" fillId="0" borderId="0" xfId="1" applyNumberFormat="1" applyFont="1" applyFill="1" applyBorder="1" applyAlignment="1">
      <alignment horizontal="center" wrapText="1" readingOrder="1"/>
    </xf>
    <xf numFmtId="193" fontId="35" fillId="0" borderId="0" xfId="0" applyNumberFormat="1" applyFont="1" applyFill="1" applyBorder="1" applyAlignment="1">
      <alignment horizontal="center" wrapText="1" readingOrder="1"/>
    </xf>
    <xf numFmtId="193" fontId="38" fillId="0" borderId="0" xfId="0" applyNumberFormat="1" applyFont="1" applyFill="1" applyBorder="1" applyAlignment="1">
      <alignment horizontal="center" wrapText="1" readingOrder="1"/>
    </xf>
    <xf numFmtId="0" fontId="36" fillId="0" borderId="0" xfId="0" applyFont="1" applyFill="1" applyAlignment="1"/>
    <xf numFmtId="0" fontId="37" fillId="0" borderId="0" xfId="0" applyFont="1" applyAlignment="1">
      <alignment horizontal="center"/>
    </xf>
    <xf numFmtId="0" fontId="39" fillId="20" borderId="58" xfId="0" applyFont="1" applyFill="1" applyBorder="1" applyAlignment="1">
      <alignment horizontal="center" vertical="center" readingOrder="1"/>
    </xf>
    <xf numFmtId="43" fontId="35" fillId="10" borderId="56" xfId="0" applyNumberFormat="1" applyFont="1" applyFill="1" applyBorder="1" applyAlignment="1">
      <alignment horizontal="center" wrapText="1" readingOrder="1"/>
    </xf>
    <xf numFmtId="43" fontId="35" fillId="15" borderId="57" xfId="0" applyNumberFormat="1" applyFont="1" applyFill="1" applyBorder="1" applyAlignment="1">
      <alignment horizontal="center" wrapText="1" readingOrder="1"/>
    </xf>
    <xf numFmtId="0" fontId="35" fillId="10" borderId="54" xfId="0" applyFont="1" applyFill="1" applyBorder="1" applyAlignment="1">
      <alignment horizontal="center" wrapText="1" readingOrder="1"/>
    </xf>
    <xf numFmtId="43" fontId="35" fillId="10" borderId="0" xfId="0" applyNumberFormat="1" applyFont="1" applyFill="1" applyBorder="1" applyAlignment="1">
      <alignment horizontal="center" wrapText="1" readingOrder="1"/>
    </xf>
    <xf numFmtId="0" fontId="35" fillId="10" borderId="0" xfId="0" applyFont="1" applyFill="1" applyBorder="1" applyAlignment="1">
      <alignment horizontal="center" wrapText="1" readingOrder="1"/>
    </xf>
    <xf numFmtId="0" fontId="35" fillId="10" borderId="56" xfId="0" applyFont="1" applyFill="1" applyBorder="1" applyAlignment="1">
      <alignment horizontal="center" wrapText="1" readingOrder="1"/>
    </xf>
    <xf numFmtId="0" fontId="35" fillId="15" borderId="57" xfId="0" applyFont="1" applyFill="1" applyBorder="1" applyAlignment="1">
      <alignment horizontal="center" wrapText="1" readingOrder="1"/>
    </xf>
    <xf numFmtId="0" fontId="40" fillId="20" borderId="58" xfId="0" applyFont="1" applyFill="1" applyBorder="1" applyAlignment="1">
      <alignment horizontal="center" vertical="center" wrapText="1" readingOrder="1"/>
    </xf>
    <xf numFmtId="0" fontId="32" fillId="10" borderId="56" xfId="0" applyFont="1" applyFill="1" applyBorder="1" applyAlignment="1">
      <alignment horizontal="center" wrapText="1" readingOrder="1"/>
    </xf>
    <xf numFmtId="0" fontId="32" fillId="15" borderId="57" xfId="0" applyFont="1" applyFill="1" applyBorder="1" applyAlignment="1">
      <alignment horizontal="center" wrapText="1" readingOrder="1"/>
    </xf>
    <xf numFmtId="0" fontId="32" fillId="10" borderId="54" xfId="0" applyFont="1" applyFill="1" applyBorder="1" applyAlignment="1">
      <alignment horizontal="center" wrapText="1" readingOrder="1"/>
    </xf>
    <xf numFmtId="0" fontId="40" fillId="20" borderId="58" xfId="0" applyFont="1" applyFill="1" applyBorder="1" applyAlignment="1">
      <alignment horizontal="center" vertical="center" readingOrder="1"/>
    </xf>
    <xf numFmtId="43" fontId="32" fillId="10" borderId="56" xfId="0" applyNumberFormat="1" applyFont="1" applyFill="1" applyBorder="1" applyAlignment="1">
      <alignment horizontal="center" wrapText="1" readingOrder="1"/>
    </xf>
    <xf numFmtId="43" fontId="32" fillId="15" borderId="57" xfId="0" applyNumberFormat="1" applyFont="1" applyFill="1" applyBorder="1" applyAlignment="1">
      <alignment horizontal="center" wrapText="1" readingOrder="1"/>
    </xf>
    <xf numFmtId="0" fontId="41" fillId="0" borderId="0" xfId="0" applyFont="1"/>
    <xf numFmtId="0" fontId="42" fillId="0" borderId="0" xfId="0" applyFont="1"/>
    <xf numFmtId="0" fontId="32" fillId="10" borderId="0" xfId="0" applyFont="1" applyFill="1" applyBorder="1" applyAlignment="1">
      <alignment horizontal="center" wrapText="1" readingOrder="1"/>
    </xf>
    <xf numFmtId="43" fontId="32" fillId="10" borderId="0" xfId="0" applyNumberFormat="1" applyFont="1" applyFill="1" applyBorder="1" applyAlignment="1">
      <alignment horizontal="center" wrapText="1" readingOrder="1"/>
    </xf>
    <xf numFmtId="0" fontId="40" fillId="20" borderId="58" xfId="0" applyFont="1" applyFill="1" applyBorder="1" applyAlignment="1">
      <alignment horizontal="center" vertical="center" wrapText="1" readingOrder="1"/>
    </xf>
    <xf numFmtId="187" fontId="0" fillId="0" borderId="0" xfId="0" applyNumberFormat="1"/>
    <xf numFmtId="0" fontId="0" fillId="30" borderId="6" xfId="0" applyFill="1" applyBorder="1"/>
    <xf numFmtId="0" fontId="0" fillId="30" borderId="7" xfId="0" applyFill="1" applyBorder="1"/>
    <xf numFmtId="188" fontId="12" fillId="30" borderId="7" xfId="1" applyNumberFormat="1" applyFont="1" applyFill="1" applyBorder="1"/>
    <xf numFmtId="188" fontId="12" fillId="30" borderId="8" xfId="1" applyNumberFormat="1" applyFont="1" applyFill="1" applyBorder="1"/>
    <xf numFmtId="187" fontId="12" fillId="0" borderId="0" xfId="1" applyNumberFormat="1" applyFont="1"/>
    <xf numFmtId="3" fontId="23" fillId="0" borderId="7" xfId="0" applyNumberFormat="1" applyFont="1" applyFill="1" applyBorder="1" applyAlignment="1">
      <alignment horizontal="center" wrapText="1" readingOrder="1"/>
    </xf>
    <xf numFmtId="3" fontId="8" fillId="0" borderId="7" xfId="0" applyNumberFormat="1" applyFont="1" applyFill="1" applyBorder="1" applyAlignment="1">
      <alignment horizontal="center" wrapText="1"/>
    </xf>
    <xf numFmtId="0" fontId="2" fillId="31" borderId="21" xfId="22" applyFont="1" applyFill="1" applyBorder="1" applyAlignment="1">
      <alignment horizontal="center" vertical="center"/>
    </xf>
    <xf numFmtId="0" fontId="2" fillId="31" borderId="22" xfId="22" applyFont="1" applyFill="1" applyBorder="1" applyAlignment="1">
      <alignment horizontal="center" vertical="center"/>
    </xf>
    <xf numFmtId="0" fontId="1" fillId="0" borderId="51" xfId="22" applyFill="1" applyBorder="1" applyAlignment="1">
      <alignment horizontal="center"/>
    </xf>
    <xf numFmtId="0" fontId="1" fillId="0" borderId="10" xfId="22" applyFill="1" applyBorder="1" applyAlignment="1">
      <alignment horizontal="center"/>
    </xf>
    <xf numFmtId="0" fontId="1" fillId="0" borderId="52" xfId="22" applyFill="1" applyBorder="1" applyAlignment="1">
      <alignment horizontal="center"/>
    </xf>
    <xf numFmtId="0" fontId="1" fillId="0" borderId="11" xfId="22" applyFill="1" applyBorder="1" applyAlignment="1">
      <alignment horizontal="center"/>
    </xf>
    <xf numFmtId="0" fontId="4" fillId="0" borderId="21" xfId="22" applyFont="1" applyFill="1" applyBorder="1" applyAlignment="1">
      <alignment horizontal="center" vertical="center"/>
    </xf>
    <xf numFmtId="0" fontId="4" fillId="0" borderId="22" xfId="22" applyFont="1" applyFill="1" applyBorder="1" applyAlignment="1">
      <alignment horizontal="center" vertical="center"/>
    </xf>
    <xf numFmtId="0" fontId="4" fillId="0" borderId="23" xfId="22" applyFont="1" applyFill="1" applyBorder="1" applyAlignment="1">
      <alignment horizontal="center" vertical="center"/>
    </xf>
    <xf numFmtId="0" fontId="4" fillId="32" borderId="21" xfId="22" applyFont="1" applyFill="1" applyBorder="1" applyAlignment="1">
      <alignment horizontal="center" vertical="center"/>
    </xf>
    <xf numFmtId="0" fontId="4" fillId="32" borderId="22" xfId="22" applyFont="1" applyFill="1" applyBorder="1" applyAlignment="1">
      <alignment horizontal="center" vertical="center"/>
    </xf>
    <xf numFmtId="0" fontId="4" fillId="32" borderId="23" xfId="22" applyFont="1" applyFill="1" applyBorder="1" applyAlignment="1">
      <alignment horizontal="center" vertical="center"/>
    </xf>
    <xf numFmtId="0" fontId="4" fillId="33" borderId="21" xfId="22" applyFont="1" applyFill="1" applyBorder="1" applyAlignment="1">
      <alignment horizontal="center" vertical="center"/>
    </xf>
    <xf numFmtId="0" fontId="4" fillId="33" borderId="22" xfId="22" applyFont="1" applyFill="1" applyBorder="1" applyAlignment="1">
      <alignment horizontal="center" vertical="center"/>
    </xf>
    <xf numFmtId="0" fontId="4" fillId="33" borderId="23" xfId="22" applyFont="1" applyFill="1" applyBorder="1" applyAlignment="1">
      <alignment horizontal="center" vertical="center"/>
    </xf>
    <xf numFmtId="0" fontId="4" fillId="31" borderId="21" xfId="22" applyFont="1" applyFill="1" applyBorder="1" applyAlignment="1">
      <alignment horizontal="center" vertical="center"/>
    </xf>
    <xf numFmtId="0" fontId="4" fillId="31" borderId="22" xfId="22" applyFont="1" applyFill="1" applyBorder="1" applyAlignment="1">
      <alignment horizontal="center" vertical="center"/>
    </xf>
    <xf numFmtId="0" fontId="4" fillId="31" borderId="23" xfId="22" applyFont="1" applyFill="1" applyBorder="1" applyAlignment="1">
      <alignment horizontal="center" vertical="center"/>
    </xf>
    <xf numFmtId="0" fontId="2" fillId="33" borderId="21" xfId="22" applyFont="1" applyFill="1" applyBorder="1" applyAlignment="1">
      <alignment horizontal="center" vertical="center"/>
    </xf>
    <xf numFmtId="0" fontId="2" fillId="33" borderId="22" xfId="22" applyFont="1" applyFill="1" applyBorder="1" applyAlignment="1">
      <alignment horizontal="center" vertical="center"/>
    </xf>
    <xf numFmtId="0" fontId="2" fillId="33" borderId="23" xfId="22" applyFont="1" applyFill="1" applyBorder="1" applyAlignment="1">
      <alignment horizontal="center" vertical="center"/>
    </xf>
    <xf numFmtId="0" fontId="2" fillId="31" borderId="23" xfId="22" applyFont="1" applyFill="1" applyBorder="1" applyAlignment="1">
      <alignment horizontal="center" vertical="center"/>
    </xf>
    <xf numFmtId="0" fontId="1" fillId="0" borderId="29" xfId="22" applyBorder="1" applyAlignment="1">
      <alignment horizontal="center" vertical="center"/>
    </xf>
    <xf numFmtId="0" fontId="1" fillId="0" borderId="9" xfId="22" applyBorder="1" applyAlignment="1">
      <alignment horizontal="center" vertical="center"/>
    </xf>
    <xf numFmtId="0" fontId="1" fillId="0" borderId="51" xfId="22" applyBorder="1" applyAlignment="1">
      <alignment horizontal="center" vertical="center"/>
    </xf>
    <xf numFmtId="0" fontId="1" fillId="0" borderId="10" xfId="22" applyBorder="1" applyAlignment="1">
      <alignment horizontal="center" vertical="center"/>
    </xf>
    <xf numFmtId="0" fontId="1" fillId="0" borderId="52" xfId="22" applyBorder="1" applyAlignment="1">
      <alignment horizontal="center" vertical="center"/>
    </xf>
    <xf numFmtId="0" fontId="1" fillId="0" borderId="11" xfId="22" applyBorder="1" applyAlignment="1">
      <alignment horizontal="center" vertical="center"/>
    </xf>
    <xf numFmtId="0" fontId="2" fillId="0" borderId="21" xfId="22" applyFont="1" applyBorder="1" applyAlignment="1">
      <alignment horizontal="center" vertical="center"/>
    </xf>
    <xf numFmtId="0" fontId="2" fillId="0" borderId="22" xfId="22" applyFont="1" applyBorder="1" applyAlignment="1">
      <alignment horizontal="center" vertical="center"/>
    </xf>
    <xf numFmtId="0" fontId="2" fillId="0" borderId="23" xfId="22" applyFont="1" applyBorder="1" applyAlignment="1">
      <alignment horizontal="center" vertical="center"/>
    </xf>
    <xf numFmtId="0" fontId="2" fillId="32" borderId="21" xfId="22" applyFont="1" applyFill="1" applyBorder="1" applyAlignment="1">
      <alignment horizontal="center" vertical="center"/>
    </xf>
    <xf numFmtId="0" fontId="2" fillId="32" borderId="22" xfId="22" applyFont="1" applyFill="1" applyBorder="1" applyAlignment="1">
      <alignment horizontal="center" vertical="center"/>
    </xf>
    <xf numFmtId="0" fontId="2" fillId="32" borderId="23" xfId="22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4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27" xfId="0" applyFont="1" applyBorder="1" applyAlignment="1">
      <alignment horizontal="right" vertical="center"/>
    </xf>
    <xf numFmtId="0" fontId="17" fillId="0" borderId="22" xfId="0" applyFont="1" applyBorder="1" applyAlignment="1">
      <alignment horizontal="right" vertical="center"/>
    </xf>
    <xf numFmtId="0" fontId="17" fillId="0" borderId="23" xfId="0" applyFont="1" applyBorder="1" applyAlignment="1">
      <alignment horizontal="right" vertical="center"/>
    </xf>
    <xf numFmtId="0" fontId="28" fillId="20" borderId="58" xfId="0" applyFont="1" applyFill="1" applyBorder="1" applyAlignment="1">
      <alignment horizontal="center" vertical="center" wrapText="1" readingOrder="1"/>
    </xf>
    <xf numFmtId="0" fontId="28" fillId="20" borderId="59" xfId="0" applyFont="1" applyFill="1" applyBorder="1" applyAlignment="1">
      <alignment horizontal="center" vertical="center" wrapText="1" readingOrder="1"/>
    </xf>
    <xf numFmtId="0" fontId="8" fillId="11" borderId="58" xfId="0" applyFont="1" applyFill="1" applyBorder="1" applyAlignment="1">
      <alignment horizontal="center" vertical="center" wrapText="1" readingOrder="1"/>
    </xf>
    <xf numFmtId="0" fontId="8" fillId="11" borderId="59" xfId="0" applyFont="1" applyFill="1" applyBorder="1" applyAlignment="1">
      <alignment horizontal="center" vertical="center" wrapText="1" readingOrder="1"/>
    </xf>
    <xf numFmtId="0" fontId="17" fillId="0" borderId="27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8" fillId="9" borderId="58" xfId="0" applyFont="1" applyFill="1" applyBorder="1" applyAlignment="1">
      <alignment horizontal="center" vertical="center" wrapText="1" readingOrder="1"/>
    </xf>
    <xf numFmtId="0" fontId="8" fillId="9" borderId="59" xfId="0" applyFont="1" applyFill="1" applyBorder="1" applyAlignment="1">
      <alignment horizontal="center" vertical="center" wrapText="1" readingOrder="1"/>
    </xf>
    <xf numFmtId="0" fontId="8" fillId="17" borderId="58" xfId="0" applyFont="1" applyFill="1" applyBorder="1" applyAlignment="1">
      <alignment horizontal="center" vertical="center" wrapText="1" readingOrder="1"/>
    </xf>
    <xf numFmtId="0" fontId="8" fillId="17" borderId="59" xfId="0" applyFont="1" applyFill="1" applyBorder="1" applyAlignment="1">
      <alignment horizontal="center" vertical="center" wrapText="1" readingOrder="1"/>
    </xf>
    <xf numFmtId="43" fontId="25" fillId="10" borderId="65" xfId="1" applyNumberFormat="1" applyFont="1" applyFill="1" applyBorder="1" applyAlignment="1">
      <alignment horizontal="center" wrapText="1" readingOrder="1"/>
    </xf>
    <xf numFmtId="43" fontId="25" fillId="10" borderId="68" xfId="1" applyNumberFormat="1" applyFont="1" applyFill="1" applyBorder="1" applyAlignment="1">
      <alignment horizontal="center" wrapText="1" readingOrder="1"/>
    </xf>
    <xf numFmtId="0" fontId="28" fillId="20" borderId="71" xfId="0" applyFont="1" applyFill="1" applyBorder="1" applyAlignment="1">
      <alignment horizontal="center" vertical="center" readingOrder="1"/>
    </xf>
    <xf numFmtId="0" fontId="28" fillId="20" borderId="72" xfId="0" applyFont="1" applyFill="1" applyBorder="1" applyAlignment="1">
      <alignment horizontal="center" vertical="center" readingOrder="1"/>
    </xf>
    <xf numFmtId="43" fontId="23" fillId="15" borderId="67" xfId="0" applyNumberFormat="1" applyFont="1" applyFill="1" applyBorder="1" applyAlignment="1">
      <alignment horizontal="center" wrapText="1" readingOrder="1"/>
    </xf>
    <xf numFmtId="0" fontId="23" fillId="15" borderId="60" xfId="0" applyFont="1" applyFill="1" applyBorder="1" applyAlignment="1">
      <alignment horizontal="center" wrapText="1" readingOrder="1"/>
    </xf>
    <xf numFmtId="43" fontId="24" fillId="10" borderId="67" xfId="0" applyNumberFormat="1" applyFont="1" applyFill="1" applyBorder="1" applyAlignment="1">
      <alignment horizontal="center" wrapText="1" readingOrder="1"/>
    </xf>
    <xf numFmtId="0" fontId="24" fillId="10" borderId="60" xfId="0" applyFont="1" applyFill="1" applyBorder="1" applyAlignment="1">
      <alignment horizontal="center" wrapText="1" readingOrder="1"/>
    </xf>
    <xf numFmtId="0" fontId="18" fillId="0" borderId="27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 readingOrder="1"/>
    </xf>
    <xf numFmtId="3" fontId="23" fillId="0" borderId="7" xfId="0" applyNumberFormat="1" applyFont="1" applyFill="1" applyBorder="1" applyAlignment="1">
      <alignment horizontal="center" wrapText="1" readingOrder="1"/>
    </xf>
    <xf numFmtId="0" fontId="8" fillId="0" borderId="19" xfId="0" applyFont="1" applyFill="1" applyBorder="1" applyAlignment="1">
      <alignment horizontal="center" vertical="center" wrapText="1" readingOrder="1"/>
    </xf>
    <xf numFmtId="0" fontId="8" fillId="0" borderId="20" xfId="0" applyFont="1" applyFill="1" applyBorder="1" applyAlignment="1">
      <alignment horizontal="center" vertical="center" wrapText="1" readingOrder="1"/>
    </xf>
    <xf numFmtId="0" fontId="8" fillId="0" borderId="12" xfId="0" applyFont="1" applyFill="1" applyBorder="1" applyAlignment="1">
      <alignment horizontal="center" vertical="center" wrapText="1" readingOrder="1"/>
    </xf>
    <xf numFmtId="0" fontId="8" fillId="0" borderId="13" xfId="0" applyFont="1" applyFill="1" applyBorder="1" applyAlignment="1">
      <alignment horizontal="center" vertical="center" wrapText="1" readingOrder="1"/>
    </xf>
    <xf numFmtId="3" fontId="24" fillId="0" borderId="7" xfId="1" applyNumberFormat="1" applyFont="1" applyFill="1" applyBorder="1" applyAlignment="1">
      <alignment horizontal="center" vertical="center" wrapText="1" readingOrder="1"/>
    </xf>
    <xf numFmtId="3" fontId="8" fillId="0" borderId="7" xfId="0" applyNumberFormat="1" applyFont="1" applyFill="1" applyBorder="1" applyAlignment="1">
      <alignment horizontal="center" wrapText="1"/>
    </xf>
    <xf numFmtId="0" fontId="8" fillId="21" borderId="58" xfId="0" applyFont="1" applyFill="1" applyBorder="1" applyAlignment="1">
      <alignment horizontal="center" vertical="center" wrapText="1" readingOrder="1"/>
    </xf>
    <xf numFmtId="0" fontId="8" fillId="21" borderId="59" xfId="0" applyFont="1" applyFill="1" applyBorder="1" applyAlignment="1">
      <alignment horizontal="center" vertical="center" wrapText="1" readingOrder="1"/>
    </xf>
    <xf numFmtId="0" fontId="8" fillId="24" borderId="58" xfId="0" applyFont="1" applyFill="1" applyBorder="1" applyAlignment="1">
      <alignment horizontal="center" vertical="center" wrapText="1" readingOrder="1"/>
    </xf>
    <xf numFmtId="0" fontId="8" fillId="24" borderId="59" xfId="0" applyFont="1" applyFill="1" applyBorder="1" applyAlignment="1">
      <alignment horizontal="center" vertical="center" wrapText="1" readingOrder="1"/>
    </xf>
    <xf numFmtId="0" fontId="8" fillId="33" borderId="58" xfId="0" applyFont="1" applyFill="1" applyBorder="1" applyAlignment="1">
      <alignment horizontal="center" vertical="center" wrapText="1" readingOrder="1"/>
    </xf>
    <xf numFmtId="0" fontId="8" fillId="33" borderId="59" xfId="0" applyFont="1" applyFill="1" applyBorder="1" applyAlignment="1">
      <alignment horizontal="center" vertical="center" wrapText="1" readingOrder="1"/>
    </xf>
    <xf numFmtId="0" fontId="9" fillId="27" borderId="58" xfId="0" applyFont="1" applyFill="1" applyBorder="1" applyAlignment="1">
      <alignment horizontal="center" vertical="center" wrapText="1" readingOrder="1"/>
    </xf>
    <xf numFmtId="0" fontId="9" fillId="27" borderId="59" xfId="0" applyFont="1" applyFill="1" applyBorder="1" applyAlignment="1">
      <alignment horizontal="center" vertical="center" wrapText="1" readingOrder="1"/>
    </xf>
    <xf numFmtId="0" fontId="8" fillId="27" borderId="58" xfId="0" applyFont="1" applyFill="1" applyBorder="1" applyAlignment="1">
      <alignment horizontal="center" vertical="center" wrapText="1" readingOrder="1"/>
    </xf>
    <xf numFmtId="0" fontId="8" fillId="27" borderId="59" xfId="0" applyFont="1" applyFill="1" applyBorder="1" applyAlignment="1">
      <alignment horizontal="center" vertical="center" wrapText="1" readingOrder="1"/>
    </xf>
    <xf numFmtId="0" fontId="28" fillId="20" borderId="70" xfId="0" applyFont="1" applyFill="1" applyBorder="1" applyAlignment="1">
      <alignment horizontal="center" vertical="center" wrapText="1" readingOrder="1"/>
    </xf>
    <xf numFmtId="0" fontId="28" fillId="20" borderId="73" xfId="0" applyFont="1" applyFill="1" applyBorder="1" applyAlignment="1">
      <alignment horizontal="center" vertical="center" wrapText="1" readingOrder="1"/>
    </xf>
    <xf numFmtId="0" fontId="8" fillId="9" borderId="70" xfId="0" applyFont="1" applyFill="1" applyBorder="1" applyAlignment="1">
      <alignment horizontal="center" vertical="center" wrapText="1" readingOrder="1"/>
    </xf>
    <xf numFmtId="0" fontId="8" fillId="9" borderId="73" xfId="0" applyFont="1" applyFill="1" applyBorder="1" applyAlignment="1">
      <alignment horizontal="center" vertical="center" wrapText="1" readingOrder="1"/>
    </xf>
    <xf numFmtId="0" fontId="11" fillId="24" borderId="58" xfId="0" applyFont="1" applyFill="1" applyBorder="1" applyAlignment="1">
      <alignment horizontal="center" vertical="center" wrapText="1" readingOrder="1"/>
    </xf>
    <xf numFmtId="0" fontId="11" fillId="24" borderId="59" xfId="0" applyFont="1" applyFill="1" applyBorder="1" applyAlignment="1">
      <alignment horizontal="center" vertical="center" wrapText="1" readingOrder="1"/>
    </xf>
    <xf numFmtId="0" fontId="44" fillId="20" borderId="58" xfId="0" applyFont="1" applyFill="1" applyBorder="1" applyAlignment="1">
      <alignment horizontal="center" vertical="center" wrapText="1" readingOrder="1"/>
    </xf>
    <xf numFmtId="0" fontId="44" fillId="20" borderId="59" xfId="0" applyFont="1" applyFill="1" applyBorder="1" applyAlignment="1">
      <alignment horizontal="center" vertical="center" wrapText="1" readingOrder="1"/>
    </xf>
    <xf numFmtId="0" fontId="39" fillId="20" borderId="58" xfId="0" applyFont="1" applyFill="1" applyBorder="1" applyAlignment="1">
      <alignment horizontal="center" vertical="center" wrapText="1" readingOrder="1"/>
    </xf>
    <xf numFmtId="0" fontId="39" fillId="20" borderId="59" xfId="0" applyFont="1" applyFill="1" applyBorder="1" applyAlignment="1">
      <alignment horizontal="center" vertical="center" wrapText="1" readingOrder="1"/>
    </xf>
    <xf numFmtId="0" fontId="39" fillId="20" borderId="71" xfId="0" applyFont="1" applyFill="1" applyBorder="1" applyAlignment="1">
      <alignment horizontal="center" vertical="center" readingOrder="1"/>
    </xf>
    <xf numFmtId="0" fontId="39" fillId="20" borderId="72" xfId="0" applyFont="1" applyFill="1" applyBorder="1" applyAlignment="1">
      <alignment horizontal="center" vertical="center" readingOrder="1"/>
    </xf>
    <xf numFmtId="43" fontId="33" fillId="10" borderId="65" xfId="1" applyNumberFormat="1" applyFont="1" applyFill="1" applyBorder="1" applyAlignment="1">
      <alignment horizontal="center" wrapText="1" readingOrder="1"/>
    </xf>
    <xf numFmtId="43" fontId="33" fillId="10" borderId="68" xfId="1" applyNumberFormat="1" applyFont="1" applyFill="1" applyBorder="1" applyAlignment="1">
      <alignment horizontal="center" wrapText="1" readingOrder="1"/>
    </xf>
    <xf numFmtId="43" fontId="38" fillId="15" borderId="67" xfId="0" applyNumberFormat="1" applyFont="1" applyFill="1" applyBorder="1" applyAlignment="1">
      <alignment horizontal="center" wrapText="1" readingOrder="1"/>
    </xf>
    <xf numFmtId="0" fontId="38" fillId="15" borderId="60" xfId="0" applyFont="1" applyFill="1" applyBorder="1" applyAlignment="1">
      <alignment horizontal="center" wrapText="1" readingOrder="1"/>
    </xf>
    <xf numFmtId="43" fontId="35" fillId="10" borderId="67" xfId="0" applyNumberFormat="1" applyFont="1" applyFill="1" applyBorder="1" applyAlignment="1">
      <alignment horizontal="center" wrapText="1" readingOrder="1"/>
    </xf>
    <xf numFmtId="0" fontId="35" fillId="10" borderId="60" xfId="0" applyFont="1" applyFill="1" applyBorder="1" applyAlignment="1">
      <alignment horizontal="center" wrapText="1" readingOrder="1"/>
    </xf>
    <xf numFmtId="0" fontId="10" fillId="9" borderId="58" xfId="0" applyFont="1" applyFill="1" applyBorder="1" applyAlignment="1">
      <alignment horizontal="center" vertical="center" wrapText="1" readingOrder="1"/>
    </xf>
    <xf numFmtId="0" fontId="10" fillId="9" borderId="59" xfId="0" applyFont="1" applyFill="1" applyBorder="1" applyAlignment="1">
      <alignment horizontal="center" vertical="center" wrapText="1" readingOrder="1"/>
    </xf>
    <xf numFmtId="0" fontId="37" fillId="0" borderId="27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0" fontId="37" fillId="0" borderId="28" xfId="0" applyFont="1" applyBorder="1" applyAlignment="1">
      <alignment horizontal="center" vertical="center"/>
    </xf>
    <xf numFmtId="0" fontId="37" fillId="0" borderId="23" xfId="0" applyFont="1" applyBorder="1" applyAlignment="1">
      <alignment horizontal="center" vertical="center"/>
    </xf>
    <xf numFmtId="0" fontId="40" fillId="20" borderId="58" xfId="0" applyFont="1" applyFill="1" applyBorder="1" applyAlignment="1">
      <alignment horizontal="center" vertical="center" wrapText="1" readingOrder="1"/>
    </xf>
    <xf numFmtId="0" fontId="40" fillId="20" borderId="59" xfId="0" applyFont="1" applyFill="1" applyBorder="1" applyAlignment="1">
      <alignment horizontal="center" vertical="center" wrapText="1" readingOrder="1"/>
    </xf>
    <xf numFmtId="0" fontId="40" fillId="20" borderId="71" xfId="0" applyFont="1" applyFill="1" applyBorder="1" applyAlignment="1">
      <alignment horizontal="center" vertical="center" readingOrder="1"/>
    </xf>
    <xf numFmtId="0" fontId="40" fillId="20" borderId="72" xfId="0" applyFont="1" applyFill="1" applyBorder="1" applyAlignment="1">
      <alignment horizontal="center" vertical="center" readingOrder="1"/>
    </xf>
    <xf numFmtId="43" fontId="30" fillId="10" borderId="65" xfId="1" applyNumberFormat="1" applyFont="1" applyFill="1" applyBorder="1" applyAlignment="1">
      <alignment horizontal="center" wrapText="1" readingOrder="1"/>
    </xf>
    <xf numFmtId="43" fontId="30" fillId="10" borderId="68" xfId="1" applyNumberFormat="1" applyFont="1" applyFill="1" applyBorder="1" applyAlignment="1">
      <alignment horizontal="center" wrapText="1" readingOrder="1"/>
    </xf>
    <xf numFmtId="43" fontId="45" fillId="15" borderId="67" xfId="0" applyNumberFormat="1" applyFont="1" applyFill="1" applyBorder="1" applyAlignment="1">
      <alignment horizontal="center" wrapText="1" readingOrder="1"/>
    </xf>
    <xf numFmtId="0" fontId="45" fillId="15" borderId="60" xfId="0" applyFont="1" applyFill="1" applyBorder="1" applyAlignment="1">
      <alignment horizontal="center" wrapText="1" readingOrder="1"/>
    </xf>
    <xf numFmtId="43" fontId="32" fillId="10" borderId="67" xfId="0" applyNumberFormat="1" applyFont="1" applyFill="1" applyBorder="1" applyAlignment="1">
      <alignment horizontal="center" wrapText="1" readingOrder="1"/>
    </xf>
    <xf numFmtId="0" fontId="32" fillId="10" borderId="60" xfId="0" applyFont="1" applyFill="1" applyBorder="1" applyAlignment="1">
      <alignment horizontal="center" wrapText="1" readingOrder="1"/>
    </xf>
  </cellXfs>
  <cellStyles count="23">
    <cellStyle name="Comma" xfId="1" builtinId="3"/>
    <cellStyle name="Comma 2" xfId="2"/>
    <cellStyle name="Comma 2 2" xfId="3"/>
    <cellStyle name="Comma 3" xfId="4"/>
    <cellStyle name="Comma 3 3" xfId="5"/>
    <cellStyle name="Normal" xfId="0" builtinId="0"/>
    <cellStyle name="Percent" xfId="6" builtinId="5"/>
    <cellStyle name="Percent 2" xfId="7"/>
    <cellStyle name="เครื่องหมายจุลภาค 2" xfId="8"/>
    <cellStyle name="เครื่องหมายจุลภาค 2 2" xfId="9"/>
    <cellStyle name="เครื่องหมายจุลภาค 2 3" xfId="10"/>
    <cellStyle name="เครื่องหมายจุลภาค 2 4" xfId="11"/>
    <cellStyle name="เครื่องหมายจุลภาค 2 5" xfId="12"/>
    <cellStyle name="เครื่องหมายจุลภาค 2 7" xfId="13"/>
    <cellStyle name="เครื่องหมายจุลภาค 5" xfId="14"/>
    <cellStyle name="เครื่องหมายจุลภาค 5 2" xfId="15"/>
    <cellStyle name="ปกติ 2" xfId="16"/>
    <cellStyle name="ปกติ 2 2" xfId="17"/>
    <cellStyle name="ปกติ 2 3" xfId="18"/>
    <cellStyle name="ปกติ 2 4" xfId="19"/>
    <cellStyle name="ปกติ 2 5" xfId="20"/>
    <cellStyle name="ปกติ 5" xfId="21"/>
    <cellStyle name="ปกติ_M10_0752 detail" xfId="22"/>
  </cellStyles>
  <dxfs count="421"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5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- 2559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dLbl>
              <c:idx val="2"/>
              <c:layout>
                <c:manualLayout>
                  <c:x val="7.0412507252710768E-2"/>
                  <c:y val="0.1149872226305980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8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(ภาพรวม!$A$9,ภาพรวม!$A$13,ภาพรวม!$A$17)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(ภาพรวม!$B$9,ภาพรวม!$B$13,ภาพรวม!$B$17)</c:f>
              <c:numCache>
                <c:formatCode>_-* #,##0_-;\-* #,##0_-;_-* "-"??_-;_-@_-</c:formatCode>
                <c:ptCount val="3"/>
                <c:pt idx="0">
                  <c:v>286319</c:v>
                </c:pt>
                <c:pt idx="1">
                  <c:v>56720</c:v>
                </c:pt>
                <c:pt idx="2">
                  <c:v>22948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'00_g'!$B$39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'00_g'!$C$39:$N$39</c:f>
              <c:numCache>
                <c:formatCode>#,##0_ ;\-#,##0\ </c:formatCode>
                <c:ptCount val="12"/>
                <c:pt idx="0">
                  <c:v>1185</c:v>
                </c:pt>
                <c:pt idx="1">
                  <c:v>2698</c:v>
                </c:pt>
                <c:pt idx="2">
                  <c:v>4175</c:v>
                </c:pt>
                <c:pt idx="3">
                  <c:v>5359</c:v>
                </c:pt>
                <c:pt idx="4">
                  <c:v>7041</c:v>
                </c:pt>
                <c:pt idx="5">
                  <c:v>9058</c:v>
                </c:pt>
                <c:pt idx="6">
                  <c:v>10836</c:v>
                </c:pt>
                <c:pt idx="7">
                  <c:v>13143</c:v>
                </c:pt>
                <c:pt idx="8">
                  <c:v>15607</c:v>
                </c:pt>
                <c:pt idx="9">
                  <c:v>17266</c:v>
                </c:pt>
                <c:pt idx="10">
                  <c:v>19241</c:v>
                </c:pt>
                <c:pt idx="11">
                  <c:v>21525</c:v>
                </c:pt>
              </c:numCache>
            </c:numRef>
          </c:val>
        </c:ser>
        <c:ser>
          <c:idx val="0"/>
          <c:order val="2"/>
          <c:tx>
            <c:strRef>
              <c:f>'00_g'!$B$41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'00_g'!$C$41:$N$41</c:f>
              <c:numCache>
                <c:formatCode>#,##0_ ;\-#,##0\ </c:formatCode>
                <c:ptCount val="12"/>
                <c:pt idx="0">
                  <c:v>1846</c:v>
                </c:pt>
                <c:pt idx="1">
                  <c:v>3357</c:v>
                </c:pt>
                <c:pt idx="2">
                  <c:v>4807</c:v>
                </c:pt>
                <c:pt idx="3">
                  <c:v>6089</c:v>
                </c:pt>
                <c:pt idx="4">
                  <c:v>7494</c:v>
                </c:pt>
                <c:pt idx="5">
                  <c:v>9373</c:v>
                </c:pt>
                <c:pt idx="6">
                  <c:v>10574</c:v>
                </c:pt>
                <c:pt idx="7">
                  <c:v>11964</c:v>
                </c:pt>
                <c:pt idx="8">
                  <c:v>13444</c:v>
                </c:pt>
                <c:pt idx="9">
                  <c:v>14763</c:v>
                </c:pt>
                <c:pt idx="10">
                  <c:v>16631</c:v>
                </c:pt>
                <c:pt idx="11">
                  <c:v>19033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98206464"/>
        <c:axId val="167447360"/>
      </c:barChart>
      <c:lineChart>
        <c:grouping val="standard"/>
        <c:varyColors val="0"/>
        <c:ser>
          <c:idx val="3"/>
          <c:order val="1"/>
          <c:tx>
            <c:strRef>
              <c:f>'00_g'!$B$40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'00_g'!$C$37:$N$37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'00_g'!$C$40:$N$40</c:f>
              <c:numCache>
                <c:formatCode>#,##0_ ;\-#,##0\ </c:formatCode>
                <c:ptCount val="12"/>
                <c:pt idx="0">
                  <c:v>1493.5236963601665</c:v>
                </c:pt>
                <c:pt idx="1">
                  <c:v>3094.0713547132782</c:v>
                </c:pt>
                <c:pt idx="2">
                  <c:v>4607.8471650113925</c:v>
                </c:pt>
                <c:pt idx="3">
                  <c:v>6075.1221950337904</c:v>
                </c:pt>
                <c:pt idx="4">
                  <c:v>8014.5392534171069</c:v>
                </c:pt>
                <c:pt idx="5">
                  <c:v>10083.949993797982</c:v>
                </c:pt>
                <c:pt idx="6">
                  <c:v>11970.58724031111</c:v>
                </c:pt>
                <c:pt idx="7">
                  <c:v>14009.909339075033</c:v>
                </c:pt>
                <c:pt idx="8">
                  <c:v>16121.420353690672</c:v>
                </c:pt>
                <c:pt idx="9">
                  <c:v>17841.616157557681</c:v>
                </c:pt>
                <c:pt idx="10">
                  <c:v>19620.70806055357</c:v>
                </c:pt>
                <c:pt idx="11">
                  <c:v>21500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206464"/>
        <c:axId val="167447360"/>
      </c:lineChart>
      <c:catAx>
        <c:axId val="19820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7447360"/>
        <c:crosses val="autoZero"/>
        <c:auto val="1"/>
        <c:lblAlgn val="ctr"/>
        <c:lblOffset val="100"/>
        <c:noMultiLvlLbl val="0"/>
      </c:catAx>
      <c:valAx>
        <c:axId val="1674473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982064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'14_g'!$B$85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'14_g'!$C$85:$N$85</c:f>
              <c:numCache>
                <c:formatCode>#,##0.00_ ;\-#,##0.00\ </c:formatCode>
                <c:ptCount val="12"/>
                <c:pt idx="0">
                  <c:v>7.4560674799999997</c:v>
                </c:pt>
                <c:pt idx="1">
                  <c:v>16.239049399999999</c:v>
                </c:pt>
                <c:pt idx="2">
                  <c:v>24.119544300000001</c:v>
                </c:pt>
                <c:pt idx="3">
                  <c:v>32.481228180000002</c:v>
                </c:pt>
                <c:pt idx="4">
                  <c:v>40.406739730000005</c:v>
                </c:pt>
                <c:pt idx="5">
                  <c:v>48.284875540000009</c:v>
                </c:pt>
                <c:pt idx="6">
                  <c:v>56.940705890000011</c:v>
                </c:pt>
                <c:pt idx="7">
                  <c:v>66.09301957000001</c:v>
                </c:pt>
                <c:pt idx="8">
                  <c:v>74.667797390000004</c:v>
                </c:pt>
                <c:pt idx="9">
                  <c:v>82.974455860000006</c:v>
                </c:pt>
                <c:pt idx="10">
                  <c:v>90.805054250000012</c:v>
                </c:pt>
                <c:pt idx="11">
                  <c:v>99.444385550000007</c:v>
                </c:pt>
              </c:numCache>
            </c:numRef>
          </c:val>
        </c:ser>
        <c:ser>
          <c:idx val="0"/>
          <c:order val="2"/>
          <c:tx>
            <c:strRef>
              <c:f>'14_g'!$B$87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'14_g'!$C$87:$N$87</c:f>
              <c:numCache>
                <c:formatCode>#,##0.00_ ;\-#,##0.00\ </c:formatCode>
                <c:ptCount val="12"/>
                <c:pt idx="0">
                  <c:v>8.0680252299999999</c:v>
                </c:pt>
                <c:pt idx="1">
                  <c:v>16.18057696</c:v>
                </c:pt>
                <c:pt idx="2">
                  <c:v>24.31152634</c:v>
                </c:pt>
                <c:pt idx="3">
                  <c:v>32.62164757</c:v>
                </c:pt>
                <c:pt idx="4">
                  <c:v>41.857825990000002</c:v>
                </c:pt>
                <c:pt idx="5">
                  <c:v>50.251731070000005</c:v>
                </c:pt>
                <c:pt idx="6">
                  <c:v>59.944020690000002</c:v>
                </c:pt>
                <c:pt idx="7">
                  <c:v>69.654581800000003</c:v>
                </c:pt>
                <c:pt idx="8">
                  <c:v>78.573751590000001</c:v>
                </c:pt>
                <c:pt idx="9">
                  <c:v>86.904825029999998</c:v>
                </c:pt>
                <c:pt idx="10">
                  <c:v>95.817723040000004</c:v>
                </c:pt>
                <c:pt idx="11">
                  <c:v>104.25809851000001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5762688"/>
        <c:axId val="235848256"/>
      </c:barChart>
      <c:lineChart>
        <c:grouping val="standard"/>
        <c:varyColors val="0"/>
        <c:ser>
          <c:idx val="3"/>
          <c:order val="1"/>
          <c:tx>
            <c:strRef>
              <c:f>'14_g'!$B$86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'14_g'!$C$83:$N$83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'14_g'!$C$86:$N$86</c:f>
              <c:numCache>
                <c:formatCode>#,##0.00_ ;\-#,##0.00\ </c:formatCode>
                <c:ptCount val="12"/>
                <c:pt idx="0">
                  <c:v>8.5410389999999996</c:v>
                </c:pt>
                <c:pt idx="1">
                  <c:v>18.518695999999998</c:v>
                </c:pt>
                <c:pt idx="2">
                  <c:v>27.513875999999996</c:v>
                </c:pt>
                <c:pt idx="3">
                  <c:v>36.554725999999995</c:v>
                </c:pt>
                <c:pt idx="4">
                  <c:v>45.176979999999993</c:v>
                </c:pt>
                <c:pt idx="5">
                  <c:v>53.978635999999995</c:v>
                </c:pt>
                <c:pt idx="6">
                  <c:v>64.146897999999993</c:v>
                </c:pt>
                <c:pt idx="7">
                  <c:v>73.911345999999995</c:v>
                </c:pt>
                <c:pt idx="8">
                  <c:v>83.644087999999996</c:v>
                </c:pt>
                <c:pt idx="9">
                  <c:v>93.171081999999998</c:v>
                </c:pt>
                <c:pt idx="10">
                  <c:v>102.02618699999999</c:v>
                </c:pt>
                <c:pt idx="11">
                  <c:v>112.67755699999999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62688"/>
        <c:axId val="235848256"/>
      </c:lineChart>
      <c:catAx>
        <c:axId val="2357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848256"/>
        <c:crosses val="autoZero"/>
        <c:auto val="1"/>
        <c:lblAlgn val="ctr"/>
        <c:lblOffset val="100"/>
        <c:noMultiLvlLbl val="0"/>
      </c:catAx>
      <c:valAx>
        <c:axId val="2358482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7626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'14_g'!$S$64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'14_g'!$T$62:$AE$62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'14_g'!$T$64:$AE$64</c:f>
              <c:numCache>
                <c:formatCode>#,##0.00_ ;\-#,##0.00\ </c:formatCode>
                <c:ptCount val="12"/>
                <c:pt idx="0">
                  <c:v>2.7660984800000001</c:v>
                </c:pt>
                <c:pt idx="1">
                  <c:v>2.4039372700000006</c:v>
                </c:pt>
                <c:pt idx="2">
                  <c:v>2.5002543000000004</c:v>
                </c:pt>
                <c:pt idx="3">
                  <c:v>2.6870617299999999</c:v>
                </c:pt>
                <c:pt idx="4">
                  <c:v>2.3411871699999995</c:v>
                </c:pt>
                <c:pt idx="5">
                  <c:v>2.6974091800000002</c:v>
                </c:pt>
                <c:pt idx="6">
                  <c:v>2.12491399</c:v>
                </c:pt>
                <c:pt idx="7">
                  <c:v>2.2592561699999996</c:v>
                </c:pt>
                <c:pt idx="8">
                  <c:v>2.5222010199999993</c:v>
                </c:pt>
                <c:pt idx="9">
                  <c:v>2.3482912799999998</c:v>
                </c:pt>
                <c:pt idx="10">
                  <c:v>3.1243384399999998</c:v>
                </c:pt>
                <c:pt idx="11">
                  <c:v>1.7924631299999991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'14_g'!$S$65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'14_g'!$T$62:$AE$62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'14_g'!$T$65:$AE$65</c:f>
              <c:numCache>
                <c:formatCode>#,##0.00_ ;\-#,##0.00\ </c:formatCode>
                <c:ptCount val="12"/>
                <c:pt idx="0">
                  <c:v>2.8455569999999999</c:v>
                </c:pt>
                <c:pt idx="1">
                  <c:v>2.6263619999999999</c:v>
                </c:pt>
                <c:pt idx="2">
                  <c:v>2.6832829999999999</c:v>
                </c:pt>
                <c:pt idx="3">
                  <c:v>2.7409020000000002</c:v>
                </c:pt>
                <c:pt idx="4">
                  <c:v>2.5386540000000002</c:v>
                </c:pt>
                <c:pt idx="5">
                  <c:v>2.816071</c:v>
                </c:pt>
                <c:pt idx="6">
                  <c:v>2.4099529999999998</c:v>
                </c:pt>
                <c:pt idx="7">
                  <c:v>2.6509100000000001</c:v>
                </c:pt>
                <c:pt idx="8">
                  <c:v>2.7615940000000001</c:v>
                </c:pt>
                <c:pt idx="9">
                  <c:v>2.6864249999999998</c:v>
                </c:pt>
                <c:pt idx="10">
                  <c:v>3.0131260000000002</c:v>
                </c:pt>
                <c:pt idx="11">
                  <c:v>2.536934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'14_g'!$S$66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'14_g'!$T$62:$AE$62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'14_g'!$T$66:$AE$66</c:f>
              <c:numCache>
                <c:formatCode>#,##0.00_ ;\-#,##0.00\ </c:formatCode>
                <c:ptCount val="12"/>
                <c:pt idx="0">
                  <c:v>2.2633878000000003</c:v>
                </c:pt>
                <c:pt idx="1">
                  <c:v>2.2324988100000001</c:v>
                </c:pt>
                <c:pt idx="2">
                  <c:v>2.4619962000000002</c:v>
                </c:pt>
                <c:pt idx="3">
                  <c:v>2.1839093900000002</c:v>
                </c:pt>
                <c:pt idx="4">
                  <c:v>2.3537584299999996</c:v>
                </c:pt>
                <c:pt idx="5">
                  <c:v>2.4104416199999998</c:v>
                </c:pt>
                <c:pt idx="6">
                  <c:v>2.6725193100000002</c:v>
                </c:pt>
                <c:pt idx="7">
                  <c:v>2.3443180799999999</c:v>
                </c:pt>
                <c:pt idx="8">
                  <c:v>2.62284089</c:v>
                </c:pt>
                <c:pt idx="9">
                  <c:v>2.4326527000000002</c:v>
                </c:pt>
                <c:pt idx="10">
                  <c:v>2.3291832200000009</c:v>
                </c:pt>
                <c:pt idx="11">
                  <c:v>2.5564844300000003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63200"/>
        <c:axId val="235850560"/>
      </c:lineChart>
      <c:catAx>
        <c:axId val="23576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850560"/>
        <c:crosses val="autoZero"/>
        <c:auto val="1"/>
        <c:lblAlgn val="ctr"/>
        <c:lblOffset val="100"/>
        <c:noMultiLvlLbl val="0"/>
      </c:catAx>
      <c:valAx>
        <c:axId val="2358505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4673685452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7632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2414993075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'14_g'!$T$85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'14_g'!$U$85:$AF$85</c:f>
              <c:numCache>
                <c:formatCode>#,##0.00_ ;\-#,##0.00\ </c:formatCode>
                <c:ptCount val="12"/>
                <c:pt idx="0">
                  <c:v>2.7660984800000001</c:v>
                </c:pt>
                <c:pt idx="1">
                  <c:v>5.1700357500000003</c:v>
                </c:pt>
                <c:pt idx="2">
                  <c:v>7.6702900500000002</c:v>
                </c:pt>
                <c:pt idx="3">
                  <c:v>10.35735178</c:v>
                </c:pt>
                <c:pt idx="4">
                  <c:v>12.69853895</c:v>
                </c:pt>
                <c:pt idx="5">
                  <c:v>15.395948130000001</c:v>
                </c:pt>
                <c:pt idx="6">
                  <c:v>17.52086212</c:v>
                </c:pt>
                <c:pt idx="7">
                  <c:v>19.780118290000001</c:v>
                </c:pt>
                <c:pt idx="8">
                  <c:v>22.302319310000001</c:v>
                </c:pt>
                <c:pt idx="9">
                  <c:v>24.650610589999999</c:v>
                </c:pt>
                <c:pt idx="10">
                  <c:v>27.774949029999998</c:v>
                </c:pt>
                <c:pt idx="11">
                  <c:v>29.567412159999996</c:v>
                </c:pt>
              </c:numCache>
            </c:numRef>
          </c:val>
        </c:ser>
        <c:ser>
          <c:idx val="0"/>
          <c:order val="2"/>
          <c:tx>
            <c:strRef>
              <c:f>'14_g'!$T$87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'14_g'!$U$87:$AF$87</c:f>
              <c:numCache>
                <c:formatCode>#,##0.00_ ;\-#,##0.00\ </c:formatCode>
                <c:ptCount val="12"/>
                <c:pt idx="0">
                  <c:v>2.2633878000000003</c:v>
                </c:pt>
                <c:pt idx="1">
                  <c:v>4.4958866100000003</c:v>
                </c:pt>
                <c:pt idx="2">
                  <c:v>6.957882810000001</c:v>
                </c:pt>
                <c:pt idx="3">
                  <c:v>9.1417922000000011</c:v>
                </c:pt>
                <c:pt idx="4">
                  <c:v>11.49555063</c:v>
                </c:pt>
                <c:pt idx="5">
                  <c:v>13.905992250000001</c:v>
                </c:pt>
                <c:pt idx="6">
                  <c:v>16.578511560000003</c:v>
                </c:pt>
                <c:pt idx="7">
                  <c:v>18.922829640000003</c:v>
                </c:pt>
                <c:pt idx="8">
                  <c:v>21.545670530000002</c:v>
                </c:pt>
                <c:pt idx="9">
                  <c:v>23.978323230000001</c:v>
                </c:pt>
                <c:pt idx="10">
                  <c:v>26.307506450000002</c:v>
                </c:pt>
                <c:pt idx="11">
                  <c:v>28.863990880000003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5763712"/>
        <c:axId val="235852864"/>
      </c:barChart>
      <c:lineChart>
        <c:grouping val="standard"/>
        <c:varyColors val="0"/>
        <c:ser>
          <c:idx val="3"/>
          <c:order val="1"/>
          <c:tx>
            <c:strRef>
              <c:f>'14_g'!$T$86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'14_g'!$U$83:$AF$83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'14_g'!$U$86:$AF$86</c:f>
              <c:numCache>
                <c:formatCode>#,##0.00_ ;\-#,##0.00\ </c:formatCode>
                <c:ptCount val="12"/>
                <c:pt idx="0">
                  <c:v>2.8455569999999999</c:v>
                </c:pt>
                <c:pt idx="1">
                  <c:v>5.4719189999999998</c:v>
                </c:pt>
                <c:pt idx="2">
                  <c:v>8.1552019999999992</c:v>
                </c:pt>
                <c:pt idx="3">
                  <c:v>10.896103999999999</c:v>
                </c:pt>
                <c:pt idx="4">
                  <c:v>13.434757999999999</c:v>
                </c:pt>
                <c:pt idx="5">
                  <c:v>16.250829</c:v>
                </c:pt>
                <c:pt idx="6">
                  <c:v>18.660781999999998</c:v>
                </c:pt>
                <c:pt idx="7">
                  <c:v>21.311691999999997</c:v>
                </c:pt>
                <c:pt idx="8">
                  <c:v>24.073285999999996</c:v>
                </c:pt>
                <c:pt idx="9">
                  <c:v>26.759710999999996</c:v>
                </c:pt>
                <c:pt idx="10">
                  <c:v>29.772836999999996</c:v>
                </c:pt>
                <c:pt idx="11">
                  <c:v>32.309770999999998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63712"/>
        <c:axId val="235852864"/>
      </c:lineChart>
      <c:catAx>
        <c:axId val="2357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852864"/>
        <c:crosses val="autoZero"/>
        <c:auto val="1"/>
        <c:lblAlgn val="ctr"/>
        <c:lblOffset val="100"/>
        <c:noMultiLvlLbl val="0"/>
      </c:catAx>
      <c:valAx>
        <c:axId val="2358528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90092141161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7637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731028508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'14_g'!$AI$64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'14_g'!$AJ$62:$AU$62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'14_g'!$AJ$64:$AU$64</c:f>
              <c:numCache>
                <c:formatCode>#,##0.00_ ;\-#,##0.00\ </c:formatCode>
                <c:ptCount val="12"/>
                <c:pt idx="0">
                  <c:v>4.6899689999999996</c:v>
                </c:pt>
                <c:pt idx="1">
                  <c:v>6.3790446499999991</c:v>
                </c:pt>
                <c:pt idx="2">
                  <c:v>5.3802406000000005</c:v>
                </c:pt>
                <c:pt idx="3">
                  <c:v>5.6746221499999994</c:v>
                </c:pt>
                <c:pt idx="4">
                  <c:v>5.5843243800000009</c:v>
                </c:pt>
                <c:pt idx="5">
                  <c:v>5.1807266300000006</c:v>
                </c:pt>
                <c:pt idx="6">
                  <c:v>6.5309163600000009</c:v>
                </c:pt>
                <c:pt idx="7">
                  <c:v>6.8930575099999993</c:v>
                </c:pt>
                <c:pt idx="8">
                  <c:v>6.0525768000000006</c:v>
                </c:pt>
                <c:pt idx="9">
                  <c:v>5.9583671900000006</c:v>
                </c:pt>
                <c:pt idx="10">
                  <c:v>4.7062599499999997</c:v>
                </c:pt>
                <c:pt idx="11">
                  <c:v>6.8468681700000014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'14_g'!$AI$65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'14_g'!$AJ$62:$AU$62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'14_g'!$AJ$65:$AU$65</c:f>
              <c:numCache>
                <c:formatCode>#,##0.00_ ;\-#,##0.00\ </c:formatCode>
                <c:ptCount val="12"/>
                <c:pt idx="0">
                  <c:v>5.6954820000000002</c:v>
                </c:pt>
                <c:pt idx="1">
                  <c:v>7.3512950000000004</c:v>
                </c:pt>
                <c:pt idx="2">
                  <c:v>6.3118970000000001</c:v>
                </c:pt>
                <c:pt idx="3">
                  <c:v>6.2999480000000005</c:v>
                </c:pt>
                <c:pt idx="4">
                  <c:v>6.0835999999999997</c:v>
                </c:pt>
                <c:pt idx="5">
                  <c:v>5.9855849999999995</c:v>
                </c:pt>
                <c:pt idx="6">
                  <c:v>7.7583090000000006</c:v>
                </c:pt>
                <c:pt idx="7">
                  <c:v>7.1135380000000001</c:v>
                </c:pt>
                <c:pt idx="8">
                  <c:v>6.9711479999999995</c:v>
                </c:pt>
                <c:pt idx="9">
                  <c:v>6.8405690000000003</c:v>
                </c:pt>
                <c:pt idx="10">
                  <c:v>5.8419790000000003</c:v>
                </c:pt>
                <c:pt idx="11">
                  <c:v>8.1144359999999995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'14_g'!$AI$66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'14_g'!$AJ$62:$AU$62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'14_g'!$AJ$66:$AU$66</c:f>
              <c:numCache>
                <c:formatCode>#,##0.00_ ;\-#,##0.00\ </c:formatCode>
                <c:ptCount val="12"/>
                <c:pt idx="0">
                  <c:v>5.8046374299999997</c:v>
                </c:pt>
                <c:pt idx="1">
                  <c:v>5.8800529199999998</c:v>
                </c:pt>
                <c:pt idx="2">
                  <c:v>5.668953179999999</c:v>
                </c:pt>
                <c:pt idx="3">
                  <c:v>6.1262118399999999</c:v>
                </c:pt>
                <c:pt idx="4">
                  <c:v>6.8824199900000025</c:v>
                </c:pt>
                <c:pt idx="5">
                  <c:v>5.9834634599999994</c:v>
                </c:pt>
                <c:pt idx="6">
                  <c:v>7.0197703100000002</c:v>
                </c:pt>
                <c:pt idx="7">
                  <c:v>7.3662430299999988</c:v>
                </c:pt>
                <c:pt idx="8">
                  <c:v>6.2963288999999998</c:v>
                </c:pt>
                <c:pt idx="9">
                  <c:v>5.8984207399999988</c:v>
                </c:pt>
                <c:pt idx="10">
                  <c:v>6.5837147899999984</c:v>
                </c:pt>
                <c:pt idx="11">
                  <c:v>5.8838910400000008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64736"/>
        <c:axId val="235855168"/>
      </c:lineChart>
      <c:catAx>
        <c:axId val="2357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855168"/>
        <c:crosses val="autoZero"/>
        <c:auto val="1"/>
        <c:lblAlgn val="ctr"/>
        <c:lblOffset val="100"/>
        <c:noMultiLvlLbl val="0"/>
      </c:catAx>
      <c:valAx>
        <c:axId val="2358551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85897338964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7647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1532966817"/>
          <c:y val="2.2161373086791118E-2"/>
          <c:w val="0.4542921846703318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'14_g'!$AJ$85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'14_g'!$AK$85:$AV$85</c:f>
              <c:numCache>
                <c:formatCode>#,##0.00_ ;\-#,##0.00\ </c:formatCode>
                <c:ptCount val="12"/>
                <c:pt idx="0">
                  <c:v>4.6899689999999996</c:v>
                </c:pt>
                <c:pt idx="1">
                  <c:v>11.069013649999999</c:v>
                </c:pt>
                <c:pt idx="2">
                  <c:v>16.449254249999999</c:v>
                </c:pt>
                <c:pt idx="3">
                  <c:v>22.1238764</c:v>
                </c:pt>
                <c:pt idx="4">
                  <c:v>27.708200780000002</c:v>
                </c:pt>
                <c:pt idx="5">
                  <c:v>32.888927410000001</c:v>
                </c:pt>
                <c:pt idx="6">
                  <c:v>39.41984377</c:v>
                </c:pt>
                <c:pt idx="7">
                  <c:v>46.312901279999998</c:v>
                </c:pt>
                <c:pt idx="8">
                  <c:v>52.365478080000003</c:v>
                </c:pt>
                <c:pt idx="9">
                  <c:v>58.323845270000007</c:v>
                </c:pt>
                <c:pt idx="10">
                  <c:v>63.03010522000001</c:v>
                </c:pt>
                <c:pt idx="11">
                  <c:v>69.876973390000018</c:v>
                </c:pt>
              </c:numCache>
            </c:numRef>
          </c:val>
        </c:ser>
        <c:ser>
          <c:idx val="0"/>
          <c:order val="2"/>
          <c:tx>
            <c:strRef>
              <c:f>'14_g'!$AJ$87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'14_g'!$AK$87:$AV$87</c:f>
              <c:numCache>
                <c:formatCode>#,##0.00_ ;\-#,##0.00\ </c:formatCode>
                <c:ptCount val="12"/>
                <c:pt idx="0">
                  <c:v>5.8046374299999997</c:v>
                </c:pt>
                <c:pt idx="1">
                  <c:v>11.68469035</c:v>
                </c:pt>
                <c:pt idx="2">
                  <c:v>17.353643529999999</c:v>
                </c:pt>
                <c:pt idx="3">
                  <c:v>23.479855369999999</c:v>
                </c:pt>
                <c:pt idx="4">
                  <c:v>30.362275360000002</c:v>
                </c:pt>
                <c:pt idx="5">
                  <c:v>36.345738820000001</c:v>
                </c:pt>
                <c:pt idx="6">
                  <c:v>43.36550913</c:v>
                </c:pt>
                <c:pt idx="7">
                  <c:v>50.731752159999999</c:v>
                </c:pt>
                <c:pt idx="8">
                  <c:v>57.028081059999998</c:v>
                </c:pt>
                <c:pt idx="9">
                  <c:v>62.926501799999997</c:v>
                </c:pt>
                <c:pt idx="10">
                  <c:v>69.510216589999999</c:v>
                </c:pt>
                <c:pt idx="11">
                  <c:v>75.394107629999993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5765248"/>
        <c:axId val="236660416"/>
      </c:barChart>
      <c:lineChart>
        <c:grouping val="standard"/>
        <c:varyColors val="0"/>
        <c:ser>
          <c:idx val="3"/>
          <c:order val="1"/>
          <c:tx>
            <c:strRef>
              <c:f>'14_g'!$AJ$86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'14_g'!$AK$83:$AV$83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'14_g'!$AK$86:$AV$86</c:f>
              <c:numCache>
                <c:formatCode>#,##0.00_ ;\-#,##0.00\ </c:formatCode>
                <c:ptCount val="12"/>
                <c:pt idx="0">
                  <c:v>5.6954820000000002</c:v>
                </c:pt>
                <c:pt idx="1">
                  <c:v>13.046777000000001</c:v>
                </c:pt>
                <c:pt idx="2">
                  <c:v>19.358674000000001</c:v>
                </c:pt>
                <c:pt idx="3">
                  <c:v>25.658622000000001</c:v>
                </c:pt>
                <c:pt idx="4">
                  <c:v>31.742222000000002</c:v>
                </c:pt>
                <c:pt idx="5">
                  <c:v>37.727806999999999</c:v>
                </c:pt>
                <c:pt idx="6">
                  <c:v>45.486115999999996</c:v>
                </c:pt>
                <c:pt idx="7">
                  <c:v>52.599653999999994</c:v>
                </c:pt>
                <c:pt idx="8">
                  <c:v>59.570801999999993</c:v>
                </c:pt>
                <c:pt idx="9">
                  <c:v>66.411370999999988</c:v>
                </c:pt>
                <c:pt idx="10">
                  <c:v>72.253349999999983</c:v>
                </c:pt>
                <c:pt idx="11">
                  <c:v>80.367785999999981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65248"/>
        <c:axId val="236660416"/>
      </c:lineChart>
      <c:catAx>
        <c:axId val="2357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6660416"/>
        <c:crosses val="autoZero"/>
        <c:auto val="1"/>
        <c:lblAlgn val="ctr"/>
        <c:lblOffset val="100"/>
        <c:noMultiLvlLbl val="0"/>
      </c:catAx>
      <c:valAx>
        <c:axId val="2366604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69375935444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7652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36305069299"/>
          <c:y val="2.2161373086791118E-2"/>
          <c:w val="0.39103663694930701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'14_g'!$T$21:$U$21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'14_g'!$V$21:$AC$21</c:f>
              <c:numCache>
                <c:formatCode>#,##0</c:formatCode>
                <c:ptCount val="8"/>
                <c:pt idx="0">
                  <c:v>266.96041979010494</c:v>
                </c:pt>
                <c:pt idx="1">
                  <c:v>357</c:v>
                </c:pt>
                <c:pt idx="2">
                  <c:v>494.45127436281859</c:v>
                </c:pt>
                <c:pt idx="3">
                  <c:v>748</c:v>
                </c:pt>
                <c:pt idx="4">
                  <c:v>833.03958020989501</c:v>
                </c:pt>
                <c:pt idx="5">
                  <c:v>959</c:v>
                </c:pt>
                <c:pt idx="6">
                  <c:v>1097</c:v>
                </c:pt>
                <c:pt idx="7">
                  <c:v>1113</c:v>
                </c:pt>
              </c:numCache>
            </c:numRef>
          </c:val>
        </c:ser>
        <c:ser>
          <c:idx val="0"/>
          <c:order val="1"/>
          <c:tx>
            <c:strRef>
              <c:f>'14_g'!$T$22:$U$22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'14_g'!$V$20:$AC$20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'14_g'!$V$22:$AC$22</c:f>
              <c:numCache>
                <c:formatCode>#,##0</c:formatCode>
                <c:ptCount val="8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9</c:v>
                </c:pt>
                <c:pt idx="7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36392960"/>
        <c:axId val="236662720"/>
      </c:barChart>
      <c:catAx>
        <c:axId val="23639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236662720"/>
        <c:crosses val="autoZero"/>
        <c:auto val="1"/>
        <c:lblAlgn val="ctr"/>
        <c:lblOffset val="100"/>
        <c:noMultiLvlLbl val="0"/>
      </c:catAx>
      <c:valAx>
        <c:axId val="23666272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3639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('15'!$A$9,'15'!$A$13,'15'!$A$17)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('15'!$B$9,'15'!$B$13,'15'!$B$17)</c:f>
              <c:numCache>
                <c:formatCode>_-* #,##0_-;\-* #,##0_-;_-* "-"??_-;_-@_-</c:formatCode>
                <c:ptCount val="3"/>
                <c:pt idx="0">
                  <c:v>3510</c:v>
                </c:pt>
                <c:pt idx="1">
                  <c:v>1227</c:v>
                </c:pt>
                <c:pt idx="2">
                  <c:v>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('15'!$A$9,'15'!$A$13,'15'!$A$17)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('15'!$G$9,'15'!$G$13,'15'!$G$17)</c:f>
              <c:numCache>
                <c:formatCode>_-* #,##0_-;\-* #,##0_-;_-* "-"??_-;_-@_-</c:formatCode>
                <c:ptCount val="3"/>
                <c:pt idx="0">
                  <c:v>3622</c:v>
                </c:pt>
                <c:pt idx="1">
                  <c:v>1309</c:v>
                </c:pt>
                <c:pt idx="2">
                  <c:v>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('15'!$A$9,'15'!$A$13,'15'!$A$17)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('15'!$C$9,'15'!$C$13,'15'!$C$17)</c:f>
              <c:numCache>
                <c:formatCode>_(* #,##0.00_);_(* \(#,##0.00\);_(* "-"??_);_(@_)</c:formatCode>
                <c:ptCount val="3"/>
                <c:pt idx="0">
                  <c:v>0.52554900000000004</c:v>
                </c:pt>
                <c:pt idx="1">
                  <c:v>0.65951899999999997</c:v>
                </c:pt>
                <c:pt idx="2">
                  <c:v>8.8691999999999993E-2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('15'!$A$9,'15'!$A$13,'15'!$A$17)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('15'!$H$9,'15'!$H$13,'15'!$H$17)</c:f>
              <c:numCache>
                <c:formatCode>_(* #,##0.00_);_(* \(#,##0.00\);_(* "-"??_);_(@_)</c:formatCode>
                <c:ptCount val="3"/>
                <c:pt idx="0">
                  <c:v>0.50721499999999997</c:v>
                </c:pt>
                <c:pt idx="1">
                  <c:v>0.75867799999999996</c:v>
                </c:pt>
                <c:pt idx="2">
                  <c:v>9.8034999999999997E-2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'00_g'!$AI$18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'00_g'!$AJ$16:$AU$16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'00_g'!$AJ$18:$AU$18</c:f>
              <c:numCache>
                <c:formatCode>#,##0.000_ ;\-#,##0.000\ </c:formatCode>
                <c:ptCount val="12"/>
                <c:pt idx="0">
                  <c:v>7.0824943599999983</c:v>
                </c:pt>
                <c:pt idx="1">
                  <c:v>7.3622788699999999</c:v>
                </c:pt>
                <c:pt idx="2">
                  <c:v>7.1881295800000018</c:v>
                </c:pt>
                <c:pt idx="3">
                  <c:v>7.5210051199999999</c:v>
                </c:pt>
                <c:pt idx="4">
                  <c:v>7.2293043900000002</c:v>
                </c:pt>
                <c:pt idx="5">
                  <c:v>7.1041087400000018</c:v>
                </c:pt>
                <c:pt idx="6">
                  <c:v>8.2387351800000008</c:v>
                </c:pt>
                <c:pt idx="7">
                  <c:v>8.5919689999999989</c:v>
                </c:pt>
                <c:pt idx="8">
                  <c:v>8.0822814399999992</c:v>
                </c:pt>
                <c:pt idx="9">
                  <c:v>7.6276452000000008</c:v>
                </c:pt>
                <c:pt idx="10">
                  <c:v>7.0697757300000008</c:v>
                </c:pt>
                <c:pt idx="11">
                  <c:v>7.5762410600000001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'00_g'!$AI$19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'00_g'!$AJ$16:$AU$16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'00_g'!$AJ$19:$AU$19</c:f>
              <c:numCache>
                <c:formatCode>#,##0.000_ ;\-#,##0.000\ </c:formatCode>
                <c:ptCount val="12"/>
                <c:pt idx="0">
                  <c:v>7.4998030000000018</c:v>
                </c:pt>
                <c:pt idx="1">
                  <c:v>7.7783630000000024</c:v>
                </c:pt>
                <c:pt idx="2">
                  <c:v>7.6294730000000008</c:v>
                </c:pt>
                <c:pt idx="3">
                  <c:v>7.9942579999999994</c:v>
                </c:pt>
                <c:pt idx="4">
                  <c:v>7.6729049999999992</c:v>
                </c:pt>
                <c:pt idx="5">
                  <c:v>7.5427600000000004</c:v>
                </c:pt>
                <c:pt idx="6">
                  <c:v>8.5503929999999997</c:v>
                </c:pt>
                <c:pt idx="7">
                  <c:v>8.890566999999999</c:v>
                </c:pt>
                <c:pt idx="8">
                  <c:v>8.5878019999999999</c:v>
                </c:pt>
                <c:pt idx="9">
                  <c:v>8.1682380000000006</c:v>
                </c:pt>
                <c:pt idx="10">
                  <c:v>7.8897239999999984</c:v>
                </c:pt>
                <c:pt idx="11">
                  <c:v>8.0757110000000001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'00_g'!$AI$20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'00_g'!$AJ$16:$AU$16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'00_g'!$AJ$20:$AU$20</c:f>
              <c:numCache>
                <c:formatCode>#,##0.000_ ;\-#,##0.000\ </c:formatCode>
                <c:ptCount val="12"/>
                <c:pt idx="0">
                  <c:v>7.1288564900000004</c:v>
                </c:pt>
                <c:pt idx="1">
                  <c:v>7.3201653199999992</c:v>
                </c:pt>
                <c:pt idx="2">
                  <c:v>7.3735426599999991</c:v>
                </c:pt>
                <c:pt idx="3">
                  <c:v>7.7464177900000006</c:v>
                </c:pt>
                <c:pt idx="4">
                  <c:v>7.5416828900000006</c:v>
                </c:pt>
                <c:pt idx="5">
                  <c:v>7.4267125800000002</c:v>
                </c:pt>
                <c:pt idx="6">
                  <c:v>8.6516066600000006</c:v>
                </c:pt>
                <c:pt idx="7">
                  <c:v>8.2894316000000003</c:v>
                </c:pt>
                <c:pt idx="8">
                  <c:v>7.9268964300000011</c:v>
                </c:pt>
                <c:pt idx="9">
                  <c:v>7.5577739600000013</c:v>
                </c:pt>
                <c:pt idx="10">
                  <c:v>7.6685574599999988</c:v>
                </c:pt>
                <c:pt idx="11">
                  <c:v>7.7466060199999998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55904"/>
        <c:axId val="167449664"/>
      </c:lineChart>
      <c:catAx>
        <c:axId val="167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7449664"/>
        <c:crosses val="autoZero"/>
        <c:auto val="1"/>
        <c:lblAlgn val="ctr"/>
        <c:lblOffset val="100"/>
        <c:noMultiLvlLbl val="0"/>
      </c:catAx>
      <c:valAx>
        <c:axId val="1674496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872242321062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73559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162020278"/>
          <c:y val="2.2161373086791118E-2"/>
          <c:w val="0.3512889267219975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('15'!$A$9,'15'!$A$13,'15'!$A$17)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('15'!$E$9,'15'!$E$13,'15'!$E$17)</c:f>
              <c:numCache>
                <c:formatCode>_(* #,##0.00_);_(* \(#,##0.00\);_(* "-"??_);_(@_)</c:formatCode>
                <c:ptCount val="3"/>
                <c:pt idx="0">
                  <c:v>7.38049438</c:v>
                </c:pt>
                <c:pt idx="1">
                  <c:v>14.15100015</c:v>
                </c:pt>
                <c:pt idx="2">
                  <c:v>2.37674195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('15'!$A$9,'15'!$A$13,'15'!$A$17)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('15'!$J$9,'15'!$J$13,'15'!$J$17)</c:f>
              <c:numCache>
                <c:formatCode>_(* #,##0.00_);_(* \(#,##0.00\);_(* "-"??_);_(@_)</c:formatCode>
                <c:ptCount val="3"/>
                <c:pt idx="0">
                  <c:v>7.0245758600000006</c:v>
                </c:pt>
                <c:pt idx="1">
                  <c:v>16.353979970000001</c:v>
                </c:pt>
                <c:pt idx="2">
                  <c:v>2.6691649500000003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('15'!$A$9,'15'!$A$13,'15'!$A$17,'15'!$A$20)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('15'!$D$9,'15'!$D$13,'15'!$D$17,'15'!$D$20)</c:f>
              <c:numCache>
                <c:formatCode>_-* #,##0.000_-;\-* #,##0.000_-;_-* "-"??_-;_-@_-</c:formatCode>
                <c:ptCount val="4"/>
                <c:pt idx="0">
                  <c:v>0.4217516912632111</c:v>
                </c:pt>
                <c:pt idx="1">
                  <c:v>1.5423827314238274</c:v>
                </c:pt>
                <c:pt idx="2">
                  <c:v>1.221064225235768</c:v>
                </c:pt>
                <c:pt idx="3">
                  <c:v>0.72938727655084845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('15'!$A$9,'15'!$A$13,'15'!$A$17,'15'!$A$20)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('15'!$I$9,'15'!$I$13,'15'!$I$17,'15'!$I$20)</c:f>
              <c:numCache>
                <c:formatCode>_-* #,##0.000_-;\-* #,##0.000_-;_-* "-"??_-;_-@_-</c:formatCode>
                <c:ptCount val="4"/>
                <c:pt idx="0">
                  <c:v>0.389688765279389</c:v>
                </c:pt>
                <c:pt idx="1">
                  <c:v>1.6392506806101723</c:v>
                </c:pt>
                <c:pt idx="2">
                  <c:v>1.3166129465484824</c:v>
                </c:pt>
                <c:pt idx="3">
                  <c:v>0.74172073066611555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35090944"/>
        <c:axId val="234329152"/>
      </c:barChart>
      <c:catAx>
        <c:axId val="23509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4329152"/>
        <c:crosses val="autoZero"/>
        <c:auto val="1"/>
        <c:lblAlgn val="ctr"/>
        <c:lblOffset val="100"/>
        <c:noMultiLvlLbl val="0"/>
      </c:catAx>
      <c:valAx>
        <c:axId val="234329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090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('15'!$A$9,'15'!$A$13,'15'!$A$17,'15'!$A$20)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('15'!$F$9,'15'!$F$13,'15'!$F$17,'15'!$F$20)</c:f>
              <c:numCache>
                <c:formatCode>_(* #,##0.00_);_(* \(#,##0.00\);_(* "-"??_);_(@_)</c:formatCode>
                <c:ptCount val="4"/>
                <c:pt idx="0">
                  <c:v>14.043399150221957</c:v>
                </c:pt>
                <c:pt idx="1">
                  <c:v>21.456546589256718</c:v>
                </c:pt>
                <c:pt idx="2">
                  <c:v>26.797703851531143</c:v>
                </c:pt>
                <c:pt idx="3">
                  <c:v>18.769812586358494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('15'!$A$9,'15'!$A$13,'15'!$A$17,'15'!$A$20)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('15'!$K$9,'15'!$K$13,'15'!$K$17,'15'!$K$20)</c:f>
              <c:numCache>
                <c:formatCode>_(* #,##0.00_);_(* \(#,##0.00\);_(* "-"??_);_(@_)</c:formatCode>
                <c:ptCount val="4"/>
                <c:pt idx="0">
                  <c:v>13.849306231085439</c:v>
                </c:pt>
                <c:pt idx="1">
                  <c:v>21.555890601809992</c:v>
                </c:pt>
                <c:pt idx="2">
                  <c:v>27.226653236089156</c:v>
                </c:pt>
                <c:pt idx="3">
                  <c:v>19.097577570077014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35091456"/>
        <c:axId val="234330880"/>
      </c:barChart>
      <c:catAx>
        <c:axId val="2350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4330880"/>
        <c:crosses val="autoZero"/>
        <c:auto val="1"/>
        <c:lblAlgn val="ctr"/>
        <c:lblOffset val="100"/>
        <c:noMultiLvlLbl val="0"/>
      </c:catAx>
      <c:valAx>
        <c:axId val="2343308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091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'15_g'!$A$18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'15_g'!$B$16:$M$16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'15_g'!$B$18:$M$18</c:f>
              <c:numCache>
                <c:formatCode>#,##0_ ;\-#,##0\ </c:formatCode>
                <c:ptCount val="12"/>
                <c:pt idx="0">
                  <c:v>20</c:v>
                </c:pt>
                <c:pt idx="1">
                  <c:v>28</c:v>
                </c:pt>
                <c:pt idx="2">
                  <c:v>25</c:v>
                </c:pt>
                <c:pt idx="3">
                  <c:v>21</c:v>
                </c:pt>
                <c:pt idx="4">
                  <c:v>20</c:v>
                </c:pt>
                <c:pt idx="5">
                  <c:v>36</c:v>
                </c:pt>
                <c:pt idx="6">
                  <c:v>64</c:v>
                </c:pt>
                <c:pt idx="7">
                  <c:v>34</c:v>
                </c:pt>
                <c:pt idx="8">
                  <c:v>29</c:v>
                </c:pt>
                <c:pt idx="9">
                  <c:v>16</c:v>
                </c:pt>
                <c:pt idx="10">
                  <c:v>28</c:v>
                </c:pt>
                <c:pt idx="11">
                  <c:v>23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'15_g'!$A$19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'15_g'!$B$16:$M$16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'15_g'!$B$19:$M$19</c:f>
              <c:numCache>
                <c:formatCode>#,##0_ ;\-#,##0\ </c:formatCode>
                <c:ptCount val="12"/>
                <c:pt idx="0">
                  <c:v>16.842767295597486</c:v>
                </c:pt>
                <c:pt idx="1">
                  <c:v>26.775681341719082</c:v>
                </c:pt>
                <c:pt idx="2">
                  <c:v>20.729559748427675</c:v>
                </c:pt>
                <c:pt idx="3">
                  <c:v>19.865828092243191</c:v>
                </c:pt>
                <c:pt idx="4">
                  <c:v>50.096436058700213</c:v>
                </c:pt>
                <c:pt idx="5">
                  <c:v>80.32704402515725</c:v>
                </c:pt>
                <c:pt idx="6">
                  <c:v>53.983228511530399</c:v>
                </c:pt>
                <c:pt idx="7">
                  <c:v>31.094339622641513</c:v>
                </c:pt>
                <c:pt idx="8">
                  <c:v>38.867924528301899</c:v>
                </c:pt>
                <c:pt idx="9">
                  <c:v>25.048218029350107</c:v>
                </c:pt>
                <c:pt idx="10">
                  <c:v>28.935010482180296</c:v>
                </c:pt>
                <c:pt idx="11">
                  <c:v>19.433962264150949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'15_g'!$A$20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'15_g'!$B$16:$M$16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'15_g'!$B$20:$M$20</c:f>
              <c:numCache>
                <c:formatCode>#,##0_ ;\-#,##0\ </c:formatCode>
                <c:ptCount val="12"/>
                <c:pt idx="0">
                  <c:v>24</c:v>
                </c:pt>
                <c:pt idx="1">
                  <c:v>18</c:v>
                </c:pt>
                <c:pt idx="2">
                  <c:v>12</c:v>
                </c:pt>
                <c:pt idx="3">
                  <c:v>13</c:v>
                </c:pt>
                <c:pt idx="4">
                  <c:v>10</c:v>
                </c:pt>
                <c:pt idx="5">
                  <c:v>24</c:v>
                </c:pt>
                <c:pt idx="6">
                  <c:v>26</c:v>
                </c:pt>
                <c:pt idx="7">
                  <c:v>15</c:v>
                </c:pt>
                <c:pt idx="8">
                  <c:v>15</c:v>
                </c:pt>
                <c:pt idx="9">
                  <c:v>7</c:v>
                </c:pt>
                <c:pt idx="10">
                  <c:v>10</c:v>
                </c:pt>
                <c:pt idx="11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24416"/>
        <c:axId val="237232704"/>
      </c:lineChart>
      <c:catAx>
        <c:axId val="2369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232704"/>
        <c:crosses val="autoZero"/>
        <c:auto val="1"/>
        <c:lblAlgn val="ctr"/>
        <c:lblOffset val="100"/>
        <c:noMultiLvlLbl val="0"/>
      </c:catAx>
      <c:valAx>
        <c:axId val="2372327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69244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'15_g'!$B$39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'15_g'!$C$39:$N$39</c:f>
              <c:numCache>
                <c:formatCode>#,##0_ ;\-#,##0\ </c:formatCode>
                <c:ptCount val="12"/>
                <c:pt idx="0">
                  <c:v>20</c:v>
                </c:pt>
                <c:pt idx="1">
                  <c:v>48</c:v>
                </c:pt>
                <c:pt idx="2">
                  <c:v>73</c:v>
                </c:pt>
                <c:pt idx="3">
                  <c:v>94</c:v>
                </c:pt>
                <c:pt idx="4">
                  <c:v>114</c:v>
                </c:pt>
                <c:pt idx="5">
                  <c:v>150</c:v>
                </c:pt>
                <c:pt idx="6">
                  <c:v>214</c:v>
                </c:pt>
                <c:pt idx="7">
                  <c:v>248</c:v>
                </c:pt>
                <c:pt idx="8">
                  <c:v>277</c:v>
                </c:pt>
                <c:pt idx="9">
                  <c:v>293</c:v>
                </c:pt>
                <c:pt idx="10">
                  <c:v>321</c:v>
                </c:pt>
                <c:pt idx="11">
                  <c:v>344</c:v>
                </c:pt>
              </c:numCache>
            </c:numRef>
          </c:val>
        </c:ser>
        <c:ser>
          <c:idx val="0"/>
          <c:order val="2"/>
          <c:tx>
            <c:strRef>
              <c:f>'15_g'!$B$41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'15_g'!$C$41:$N$41</c:f>
              <c:numCache>
                <c:formatCode>#,##0_ ;\-#,##0\ </c:formatCode>
                <c:ptCount val="12"/>
                <c:pt idx="0">
                  <c:v>24</c:v>
                </c:pt>
                <c:pt idx="1">
                  <c:v>42</c:v>
                </c:pt>
                <c:pt idx="2">
                  <c:v>54</c:v>
                </c:pt>
                <c:pt idx="3">
                  <c:v>67</c:v>
                </c:pt>
                <c:pt idx="4">
                  <c:v>77</c:v>
                </c:pt>
                <c:pt idx="5">
                  <c:v>101</c:v>
                </c:pt>
                <c:pt idx="6">
                  <c:v>127</c:v>
                </c:pt>
                <c:pt idx="7">
                  <c:v>142</c:v>
                </c:pt>
                <c:pt idx="8">
                  <c:v>157</c:v>
                </c:pt>
                <c:pt idx="9">
                  <c:v>164</c:v>
                </c:pt>
                <c:pt idx="10">
                  <c:v>174</c:v>
                </c:pt>
                <c:pt idx="11">
                  <c:v>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6951040"/>
        <c:axId val="237235008"/>
      </c:barChart>
      <c:lineChart>
        <c:grouping val="standard"/>
        <c:varyColors val="0"/>
        <c:ser>
          <c:idx val="3"/>
          <c:order val="1"/>
          <c:tx>
            <c:strRef>
              <c:f>'15_g'!$B$40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'15_g'!$C$37:$N$37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'15_g'!$C$40:$N$40</c:f>
              <c:numCache>
                <c:formatCode>#,##0_ ;\-#,##0\ </c:formatCode>
                <c:ptCount val="12"/>
                <c:pt idx="0">
                  <c:v>16.842767295597486</c:v>
                </c:pt>
                <c:pt idx="1">
                  <c:v>43.618448637316568</c:v>
                </c:pt>
                <c:pt idx="2">
                  <c:v>64.348008385744237</c:v>
                </c:pt>
                <c:pt idx="3">
                  <c:v>84.213836477987428</c:v>
                </c:pt>
                <c:pt idx="4">
                  <c:v>134.31027253668765</c:v>
                </c:pt>
                <c:pt idx="5">
                  <c:v>214.6373165618449</c:v>
                </c:pt>
                <c:pt idx="6">
                  <c:v>268.6205450733753</c:v>
                </c:pt>
                <c:pt idx="7">
                  <c:v>299.71488469601684</c:v>
                </c:pt>
                <c:pt idx="8">
                  <c:v>338.58280922431874</c:v>
                </c:pt>
                <c:pt idx="9">
                  <c:v>363.63102725366883</c:v>
                </c:pt>
                <c:pt idx="10">
                  <c:v>392.56603773584914</c:v>
                </c:pt>
                <c:pt idx="11">
                  <c:v>412.00000000000011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51040"/>
        <c:axId val="237235008"/>
      </c:lineChart>
      <c:catAx>
        <c:axId val="23695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235008"/>
        <c:crosses val="autoZero"/>
        <c:auto val="1"/>
        <c:lblAlgn val="ctr"/>
        <c:lblOffset val="100"/>
        <c:noMultiLvlLbl val="0"/>
      </c:catAx>
      <c:valAx>
        <c:axId val="2372350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69510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'15_g'!$AI$18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'15_g'!$AJ$16:$AU$16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'15_g'!$AJ$18:$AU$18</c:f>
              <c:numCache>
                <c:formatCode>#,##0.000_ ;\-#,##0.000\ </c:formatCode>
                <c:ptCount val="12"/>
                <c:pt idx="0">
                  <c:v>9.0230000000000005E-2</c:v>
                </c:pt>
                <c:pt idx="1">
                  <c:v>9.6406000000000006E-2</c:v>
                </c:pt>
                <c:pt idx="2">
                  <c:v>9.1666209999999998E-2</c:v>
                </c:pt>
                <c:pt idx="3">
                  <c:v>0.10529332000000001</c:v>
                </c:pt>
                <c:pt idx="4">
                  <c:v>9.9144029999999994E-2</c:v>
                </c:pt>
                <c:pt idx="5">
                  <c:v>0.10650151000000001</c:v>
                </c:pt>
                <c:pt idx="6">
                  <c:v>0.1177605</c:v>
                </c:pt>
                <c:pt idx="7">
                  <c:v>0.13838400000000001</c:v>
                </c:pt>
                <c:pt idx="8">
                  <c:v>0.1140355</c:v>
                </c:pt>
                <c:pt idx="9">
                  <c:v>0.10986700000000001</c:v>
                </c:pt>
                <c:pt idx="10">
                  <c:v>0.102391</c:v>
                </c:pt>
                <c:pt idx="11">
                  <c:v>0.10975483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'15_g'!$AJ$16:$AU$16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'15_g'!$AJ$19:$AU$19</c:f>
              <c:numCache>
                <c:formatCode>#,##0.000_ ;\-#,##0.000\ </c:formatCode>
                <c:ptCount val="12"/>
                <c:pt idx="0">
                  <c:v>8.4153000000000006E-2</c:v>
                </c:pt>
                <c:pt idx="1">
                  <c:v>8.7217000000000003E-2</c:v>
                </c:pt>
                <c:pt idx="2">
                  <c:v>8.5499000000000006E-2</c:v>
                </c:pt>
                <c:pt idx="3">
                  <c:v>9.4826999999999995E-2</c:v>
                </c:pt>
                <c:pt idx="4">
                  <c:v>9.0485999999999997E-2</c:v>
                </c:pt>
                <c:pt idx="5">
                  <c:v>9.1575000000000004E-2</c:v>
                </c:pt>
                <c:pt idx="6">
                  <c:v>0.102287</c:v>
                </c:pt>
                <c:pt idx="7">
                  <c:v>0.116118</c:v>
                </c:pt>
                <c:pt idx="8">
                  <c:v>0.10492700000000001</c:v>
                </c:pt>
                <c:pt idx="9">
                  <c:v>0.101539</c:v>
                </c:pt>
                <c:pt idx="10">
                  <c:v>0.103196</c:v>
                </c:pt>
                <c:pt idx="11">
                  <c:v>0.102005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'15_g'!$AI$20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'15_g'!$AJ$16:$AU$16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'15_g'!$AJ$20:$AU$20</c:f>
              <c:numCache>
                <c:formatCode>#,##0.000_ ;\-#,##0.000\ </c:formatCode>
                <c:ptCount val="12"/>
                <c:pt idx="0">
                  <c:v>0.103203</c:v>
                </c:pt>
                <c:pt idx="1">
                  <c:v>0.105242</c:v>
                </c:pt>
                <c:pt idx="2">
                  <c:v>0.10981857</c:v>
                </c:pt>
                <c:pt idx="3">
                  <c:v>0.11737</c:v>
                </c:pt>
                <c:pt idx="4">
                  <c:v>0.11895799999999999</c:v>
                </c:pt>
                <c:pt idx="5">
                  <c:v>0.112329</c:v>
                </c:pt>
                <c:pt idx="6">
                  <c:v>0.12903500000000001</c:v>
                </c:pt>
                <c:pt idx="7">
                  <c:v>0.12409199999999999</c:v>
                </c:pt>
                <c:pt idx="8">
                  <c:v>0.118738</c:v>
                </c:pt>
                <c:pt idx="9">
                  <c:v>0.107629</c:v>
                </c:pt>
                <c:pt idx="10">
                  <c:v>0.116539</c:v>
                </c:pt>
                <c:pt idx="11">
                  <c:v>0.115817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52064"/>
        <c:axId val="237237312"/>
      </c:lineChart>
      <c:catAx>
        <c:axId val="2369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237312"/>
        <c:crosses val="autoZero"/>
        <c:auto val="1"/>
        <c:lblAlgn val="ctr"/>
        <c:lblOffset val="100"/>
        <c:noMultiLvlLbl val="0"/>
      </c:catAx>
      <c:valAx>
        <c:axId val="2372373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01905143562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69520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1975760596"/>
          <c:y val="2.2161373086791118E-2"/>
          <c:w val="0.3512889774610360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'15_g'!$AJ$39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'15_g'!$AK$39:$AV$39</c:f>
              <c:numCache>
                <c:formatCode>#,##0.000_ ;\-#,##0.000\ </c:formatCode>
                <c:ptCount val="12"/>
                <c:pt idx="0">
                  <c:v>9.0230000000000005E-2</c:v>
                </c:pt>
                <c:pt idx="1">
                  <c:v>0.18663600000000002</c:v>
                </c:pt>
                <c:pt idx="2">
                  <c:v>0.27830220999999999</c:v>
                </c:pt>
                <c:pt idx="3">
                  <c:v>0.38359553000000002</c:v>
                </c:pt>
                <c:pt idx="4">
                  <c:v>0.48273956000000001</c:v>
                </c:pt>
                <c:pt idx="5">
                  <c:v>0.58924107000000003</c:v>
                </c:pt>
                <c:pt idx="6">
                  <c:v>0.70700157000000008</c:v>
                </c:pt>
                <c:pt idx="7">
                  <c:v>0.84538557000000014</c:v>
                </c:pt>
                <c:pt idx="8">
                  <c:v>0.9594210700000001</c:v>
                </c:pt>
                <c:pt idx="9">
                  <c:v>1.06928807</c:v>
                </c:pt>
                <c:pt idx="10">
                  <c:v>1.1716790699999999</c:v>
                </c:pt>
                <c:pt idx="11">
                  <c:v>1.2814338999999999</c:v>
                </c:pt>
              </c:numCache>
            </c:numRef>
          </c:val>
        </c:ser>
        <c:ser>
          <c:idx val="0"/>
          <c:order val="2"/>
          <c:tx>
            <c:strRef>
              <c:f>'15_g'!$AJ$41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'15_g'!$AK$41:$AV$41</c:f>
              <c:numCache>
                <c:formatCode>#,##0.000_ ;\-#,##0.000\ </c:formatCode>
                <c:ptCount val="12"/>
                <c:pt idx="0">
                  <c:v>0.103203</c:v>
                </c:pt>
                <c:pt idx="1">
                  <c:v>0.20844499999999999</c:v>
                </c:pt>
                <c:pt idx="2">
                  <c:v>0.31826357</c:v>
                </c:pt>
                <c:pt idx="3">
                  <c:v>0.43563357000000003</c:v>
                </c:pt>
                <c:pt idx="4">
                  <c:v>0.55459157000000003</c:v>
                </c:pt>
                <c:pt idx="5">
                  <c:v>0.66692057000000005</c:v>
                </c:pt>
                <c:pt idx="6">
                  <c:v>0.79595557000000006</c:v>
                </c:pt>
                <c:pt idx="7">
                  <c:v>0.92004757000000004</c:v>
                </c:pt>
                <c:pt idx="8">
                  <c:v>1.0387855699999999</c:v>
                </c:pt>
                <c:pt idx="9">
                  <c:v>1.1464145699999999</c:v>
                </c:pt>
                <c:pt idx="10">
                  <c:v>1.2629535699999999</c:v>
                </c:pt>
                <c:pt idx="11">
                  <c:v>1.3787705699999999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6952576"/>
        <c:axId val="237239616"/>
      </c:barChart>
      <c:lineChart>
        <c:grouping val="standard"/>
        <c:varyColors val="0"/>
        <c:ser>
          <c:idx val="3"/>
          <c:order val="1"/>
          <c:tx>
            <c:strRef>
              <c:f>'15_g'!$AJ$40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'15_g'!$AK$37:$AV$37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'15_g'!$AK$40:$AV$40</c:f>
              <c:numCache>
                <c:formatCode>#,##0.000_ ;\-#,##0.000\ </c:formatCode>
                <c:ptCount val="12"/>
                <c:pt idx="0">
                  <c:v>8.4153000000000006E-2</c:v>
                </c:pt>
                <c:pt idx="1">
                  <c:v>0.17137000000000002</c:v>
                </c:pt>
                <c:pt idx="2">
                  <c:v>0.25686900000000001</c:v>
                </c:pt>
                <c:pt idx="3">
                  <c:v>0.35169600000000001</c:v>
                </c:pt>
                <c:pt idx="4">
                  <c:v>0.44218200000000002</c:v>
                </c:pt>
                <c:pt idx="5">
                  <c:v>0.53375700000000004</c:v>
                </c:pt>
                <c:pt idx="6">
                  <c:v>0.63604400000000005</c:v>
                </c:pt>
                <c:pt idx="7">
                  <c:v>0.752162</c:v>
                </c:pt>
                <c:pt idx="8">
                  <c:v>0.85708899999999999</c:v>
                </c:pt>
                <c:pt idx="9">
                  <c:v>0.95862800000000004</c:v>
                </c:pt>
                <c:pt idx="10">
                  <c:v>1.0618240000000001</c:v>
                </c:pt>
                <c:pt idx="11">
                  <c:v>1.163829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52576"/>
        <c:axId val="237239616"/>
      </c:lineChart>
      <c:catAx>
        <c:axId val="2369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239616"/>
        <c:crosses val="autoZero"/>
        <c:auto val="1"/>
        <c:lblAlgn val="ctr"/>
        <c:lblOffset val="100"/>
        <c:noMultiLvlLbl val="0"/>
      </c:catAx>
      <c:valAx>
        <c:axId val="2372396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632689749397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69525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1455434514"/>
          <c:y val="2.2161373086791118E-2"/>
          <c:w val="0.33180958544565486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'15_g'!$AY$18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'15_g'!$AZ$16:$BK$16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'15_g'!$AZ$18:$BK$18</c:f>
              <c:numCache>
                <c:formatCode>#,##0.000_ ;\-#,##0.000\ </c:formatCode>
                <c:ptCount val="12"/>
                <c:pt idx="0">
                  <c:v>2.0125000000000001E-2</c:v>
                </c:pt>
                <c:pt idx="1">
                  <c:v>2.1582E-2</c:v>
                </c:pt>
                <c:pt idx="2">
                  <c:v>4.317979000000001E-2</c:v>
                </c:pt>
                <c:pt idx="3">
                  <c:v>4.1068679999999996E-2</c:v>
                </c:pt>
                <c:pt idx="4">
                  <c:v>3.9195970000000004E-2</c:v>
                </c:pt>
                <c:pt idx="5">
                  <c:v>4.0012690000000004E-2</c:v>
                </c:pt>
                <c:pt idx="6">
                  <c:v>4.2228500000000002E-2</c:v>
                </c:pt>
                <c:pt idx="7">
                  <c:v>1.2142919999999984E-2</c:v>
                </c:pt>
                <c:pt idx="8">
                  <c:v>1.6985010000000009E-2</c:v>
                </c:pt>
                <c:pt idx="9">
                  <c:v>2.175197999999998E-2</c:v>
                </c:pt>
                <c:pt idx="10">
                  <c:v>2.8518850000000005E-2</c:v>
                </c:pt>
                <c:pt idx="11">
                  <c:v>1.8581169999999998E-2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'15_g'!$AZ$16:$BK$16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'15_g'!$AZ$19:$BK$19</c:f>
              <c:numCache>
                <c:formatCode>#,##0.000_ ;\-#,##0.000\ </c:formatCode>
                <c:ptCount val="12"/>
                <c:pt idx="0">
                  <c:v>2.3389E-2</c:v>
                </c:pt>
                <c:pt idx="1">
                  <c:v>2.2602000000000001E-2</c:v>
                </c:pt>
                <c:pt idx="2">
                  <c:v>3.3465000000000002E-2</c:v>
                </c:pt>
                <c:pt idx="3">
                  <c:v>3.1580999999999998E-2</c:v>
                </c:pt>
                <c:pt idx="4">
                  <c:v>2.8885999999999998E-2</c:v>
                </c:pt>
                <c:pt idx="5">
                  <c:v>3.4687999999999997E-2</c:v>
                </c:pt>
                <c:pt idx="6">
                  <c:v>4.4783999999999997E-2</c:v>
                </c:pt>
                <c:pt idx="7">
                  <c:v>2.6669000000000002E-2</c:v>
                </c:pt>
                <c:pt idx="8">
                  <c:v>2.6713000000000001E-2</c:v>
                </c:pt>
                <c:pt idx="9">
                  <c:v>2.7675000000000002E-2</c:v>
                </c:pt>
                <c:pt idx="10">
                  <c:v>2.5634000000000001E-2</c:v>
                </c:pt>
                <c:pt idx="11">
                  <c:v>2.1555000000000001E-2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'15_g'!$AY$20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'15_g'!$AZ$16:$BK$16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'15_g'!$AZ$20:$BK$20</c:f>
              <c:numCache>
                <c:formatCode>#,##0.000_ ;\-#,##0.000\ </c:formatCode>
                <c:ptCount val="12"/>
                <c:pt idx="0">
                  <c:v>3.4156390000000016E-2</c:v>
                </c:pt>
                <c:pt idx="1">
                  <c:v>3.2348369999999994E-2</c:v>
                </c:pt>
                <c:pt idx="2">
                  <c:v>3.9565260000000012E-2</c:v>
                </c:pt>
                <c:pt idx="3">
                  <c:v>3.2374270000000017E-2</c:v>
                </c:pt>
                <c:pt idx="4">
                  <c:v>2.1154789999999979E-2</c:v>
                </c:pt>
                <c:pt idx="5">
                  <c:v>4.1296950000000013E-2</c:v>
                </c:pt>
                <c:pt idx="6">
                  <c:v>1.6971229999999983E-2</c:v>
                </c:pt>
                <c:pt idx="7">
                  <c:v>1.6019739999999991E-2</c:v>
                </c:pt>
                <c:pt idx="8">
                  <c:v>1.3233729999999982E-2</c:v>
                </c:pt>
                <c:pt idx="9">
                  <c:v>3.3857330000000019E-2</c:v>
                </c:pt>
                <c:pt idx="10">
                  <c:v>2.279747E-2</c:v>
                </c:pt>
                <c:pt idx="11">
                  <c:v>2.0585160000000005E-2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53088"/>
        <c:axId val="237881024"/>
      </c:lineChart>
      <c:catAx>
        <c:axId val="23695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881024"/>
        <c:crosses val="autoZero"/>
        <c:auto val="1"/>
        <c:lblAlgn val="ctr"/>
        <c:lblOffset val="100"/>
        <c:noMultiLvlLbl val="0"/>
      </c:catAx>
      <c:valAx>
        <c:axId val="2378810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81147221665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69530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0568455923"/>
          <c:y val="2.2161373086791118E-2"/>
          <c:w val="0.35300979431544077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'15_g'!$AY$39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'15_g'!$AZ$37:$BO$37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'15_g'!$AZ$39:$BO$39</c:f>
              <c:numCache>
                <c:formatCode>_(* #,##0.00_);_(* \(#,##0.00\);_(* "-"??_);_(@_)</c:formatCode>
                <c:ptCount val="16"/>
                <c:pt idx="0">
                  <c:v>18.178615625028229</c:v>
                </c:pt>
                <c:pt idx="1">
                  <c:v>18.25208890091675</c:v>
                </c:pt>
                <c:pt idx="2">
                  <c:v>31.931809946385659</c:v>
                </c:pt>
                <c:pt idx="3">
                  <c:v>23.309276283994564</c:v>
                </c:pt>
                <c:pt idx="4">
                  <c:v>27.973081769573948</c:v>
                </c:pt>
                <c:pt idx="5">
                  <c:v>28.212341289263815</c:v>
                </c:pt>
                <c:pt idx="6">
                  <c:v>27.258049133400817</c:v>
                </c:pt>
                <c:pt idx="7">
                  <c:v>25.751250886138489</c:v>
                </c:pt>
                <c:pt idx="8">
                  <c:v>26.362660207387801</c:v>
                </c:pt>
                <c:pt idx="9">
                  <c:v>8.0546886649625336</c:v>
                </c:pt>
                <c:pt idx="10">
                  <c:v>12.961351538889646</c:v>
                </c:pt>
                <c:pt idx="11">
                  <c:v>22.32349148839495</c:v>
                </c:pt>
                <c:pt idx="12">
                  <c:v>16.526476652531407</c:v>
                </c:pt>
                <c:pt idx="13">
                  <c:v>21.78127948792072</c:v>
                </c:pt>
                <c:pt idx="14">
                  <c:v>14.478532913601793</c:v>
                </c:pt>
                <c:pt idx="15">
                  <c:v>21.193890622956349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'15_g'!$AY$40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'15_g'!$AZ$37:$BO$37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'15_g'!$AZ$40:$BO$40</c:f>
              <c:numCache>
                <c:formatCode>_(* #,##0.00_);_(* \(#,##0.00\);_(* "-"??_);_(@_)</c:formatCode>
                <c:ptCount val="16"/>
                <c:pt idx="0">
                  <c:v>23.000191866196484</c:v>
                </c:pt>
                <c:pt idx="1">
                  <c:v>23.000191866196484</c:v>
                </c:pt>
                <c:pt idx="2">
                  <c:v>23.000191866196484</c:v>
                </c:pt>
                <c:pt idx="3">
                  <c:v>23.000191866196484</c:v>
                </c:pt>
                <c:pt idx="4">
                  <c:v>23.000191866196484</c:v>
                </c:pt>
                <c:pt idx="5">
                  <c:v>23.000191866196484</c:v>
                </c:pt>
                <c:pt idx="6">
                  <c:v>23.000191866196484</c:v>
                </c:pt>
                <c:pt idx="7">
                  <c:v>23.000191866196484</c:v>
                </c:pt>
                <c:pt idx="8">
                  <c:v>23.000191866196484</c:v>
                </c:pt>
                <c:pt idx="9">
                  <c:v>23.000191866196484</c:v>
                </c:pt>
                <c:pt idx="10">
                  <c:v>23.000191866196484</c:v>
                </c:pt>
                <c:pt idx="11">
                  <c:v>23.000191866196484</c:v>
                </c:pt>
                <c:pt idx="12">
                  <c:v>23.000191866196484</c:v>
                </c:pt>
                <c:pt idx="13">
                  <c:v>23.000191866196484</c:v>
                </c:pt>
                <c:pt idx="14">
                  <c:v>23.000191866196484</c:v>
                </c:pt>
                <c:pt idx="15">
                  <c:v>23.000191866196484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'15_g'!$AY$41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'15_g'!$AZ$37:$BO$37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'15_g'!$AZ$41:$BO$41</c:f>
              <c:numCache>
                <c:formatCode>_(* #,##0.00_);_(* \(#,##0.00\);_(* "-"??_);_(@_)</c:formatCode>
                <c:ptCount val="16"/>
                <c:pt idx="0">
                  <c:v>24.866439782529618</c:v>
                </c:pt>
                <c:pt idx="1">
                  <c:v>23.510635228323025</c:v>
                </c:pt>
                <c:pt idx="2">
                  <c:v>26.485637702554556</c:v>
                </c:pt>
                <c:pt idx="3">
                  <c:v>24.996847409605259</c:v>
                </c:pt>
                <c:pt idx="4">
                  <c:v>21.619705381715114</c:v>
                </c:pt>
                <c:pt idx="5">
                  <c:v>15.098400367304071</c:v>
                </c:pt>
                <c:pt idx="6">
                  <c:v>26.881493653904183</c:v>
                </c:pt>
                <c:pt idx="7">
                  <c:v>23.149595202488637</c:v>
                </c:pt>
                <c:pt idx="8">
                  <c:v>11.623634142186935</c:v>
                </c:pt>
                <c:pt idx="9">
                  <c:v>11.433545825638873</c:v>
                </c:pt>
                <c:pt idx="10">
                  <c:v>10.027700629521172</c:v>
                </c:pt>
                <c:pt idx="11">
                  <c:v>19.217631175770737</c:v>
                </c:pt>
                <c:pt idx="12">
                  <c:v>23.92975349632718</c:v>
                </c:pt>
                <c:pt idx="13">
                  <c:v>16.354409835485793</c:v>
                </c:pt>
                <c:pt idx="14">
                  <c:v>15.08223251353837</c:v>
                </c:pt>
                <c:pt idx="15">
                  <c:v>19.043351219696572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014464"/>
        <c:axId val="237883328"/>
      </c:lineChart>
      <c:catAx>
        <c:axId val="2380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883328"/>
        <c:crosses val="autoZero"/>
        <c:auto val="1"/>
        <c:lblAlgn val="ctr"/>
        <c:lblOffset val="100"/>
        <c:noMultiLvlLbl val="0"/>
      </c:catAx>
      <c:valAx>
        <c:axId val="2378833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04173073039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0144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2943825807"/>
          <c:y val="2.2161373086791118E-2"/>
          <c:w val="0.283030704002236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'00_g'!$AJ$39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'00_g'!$AK$39:$AV$39</c:f>
              <c:numCache>
                <c:formatCode>#,##0.000_ ;\-#,##0.000\ </c:formatCode>
                <c:ptCount val="12"/>
                <c:pt idx="0">
                  <c:v>7.0824943599999983</c:v>
                </c:pt>
                <c:pt idx="1">
                  <c:v>14.444773229999999</c:v>
                </c:pt>
                <c:pt idx="2">
                  <c:v>21.632902810000001</c:v>
                </c:pt>
                <c:pt idx="3">
                  <c:v>29.153907930000003</c:v>
                </c:pt>
                <c:pt idx="4">
                  <c:v>36.383212320000005</c:v>
                </c:pt>
                <c:pt idx="5">
                  <c:v>43.487321060000006</c:v>
                </c:pt>
                <c:pt idx="6">
                  <c:v>51.726056240000005</c:v>
                </c:pt>
                <c:pt idx="7">
                  <c:v>60.318025240000004</c:v>
                </c:pt>
                <c:pt idx="8">
                  <c:v>68.40030668</c:v>
                </c:pt>
                <c:pt idx="9">
                  <c:v>76.027951880000003</c:v>
                </c:pt>
                <c:pt idx="10">
                  <c:v>83.097727610000007</c:v>
                </c:pt>
                <c:pt idx="11">
                  <c:v>90.673968670000008</c:v>
                </c:pt>
              </c:numCache>
            </c:numRef>
          </c:val>
        </c:ser>
        <c:ser>
          <c:idx val="0"/>
          <c:order val="2"/>
          <c:tx>
            <c:strRef>
              <c:f>'00_g'!$AJ$41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'00_g'!$AK$41:$AV$41</c:f>
              <c:numCache>
                <c:formatCode>#,##0.000_ ;\-#,##0.000\ </c:formatCode>
                <c:ptCount val="12"/>
                <c:pt idx="0">
                  <c:v>7.1288564900000004</c:v>
                </c:pt>
                <c:pt idx="1">
                  <c:v>14.44902181</c:v>
                </c:pt>
                <c:pt idx="2">
                  <c:v>21.82256447</c:v>
                </c:pt>
                <c:pt idx="3">
                  <c:v>29.568982259999999</c:v>
                </c:pt>
                <c:pt idx="4">
                  <c:v>37.110665150000003</c:v>
                </c:pt>
                <c:pt idx="5">
                  <c:v>44.537377730000003</c:v>
                </c:pt>
                <c:pt idx="6">
                  <c:v>53.188984390000002</c:v>
                </c:pt>
                <c:pt idx="7">
                  <c:v>61.478415990000002</c:v>
                </c:pt>
                <c:pt idx="8">
                  <c:v>69.405312420000001</c:v>
                </c:pt>
                <c:pt idx="9">
                  <c:v>76.963086380000007</c:v>
                </c:pt>
                <c:pt idx="10">
                  <c:v>84.63164384000001</c:v>
                </c:pt>
                <c:pt idx="11">
                  <c:v>92.378249860000011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67356416"/>
        <c:axId val="167451968"/>
      </c:barChart>
      <c:lineChart>
        <c:grouping val="standard"/>
        <c:varyColors val="0"/>
        <c:ser>
          <c:idx val="3"/>
          <c:order val="1"/>
          <c:tx>
            <c:strRef>
              <c:f>'00_g'!$AJ$40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'00_g'!$AK$37:$AV$37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'00_g'!$AK$40:$AV$40</c:f>
              <c:numCache>
                <c:formatCode>#,##0.000_ ;\-#,##0.000\ </c:formatCode>
                <c:ptCount val="12"/>
                <c:pt idx="0">
                  <c:v>7.4998030000000018</c:v>
                </c:pt>
                <c:pt idx="1">
                  <c:v>15.278166000000004</c:v>
                </c:pt>
                <c:pt idx="2">
                  <c:v>22.907639000000003</c:v>
                </c:pt>
                <c:pt idx="3">
                  <c:v>30.901897000000002</c:v>
                </c:pt>
                <c:pt idx="4">
                  <c:v>38.574801999999998</c:v>
                </c:pt>
                <c:pt idx="5">
                  <c:v>46.117562</c:v>
                </c:pt>
                <c:pt idx="6">
                  <c:v>54.667954999999999</c:v>
                </c:pt>
                <c:pt idx="7">
                  <c:v>63.558521999999996</c:v>
                </c:pt>
                <c:pt idx="8">
                  <c:v>72.146323999999993</c:v>
                </c:pt>
                <c:pt idx="9">
                  <c:v>80.314561999999995</c:v>
                </c:pt>
                <c:pt idx="10">
                  <c:v>88.204285999999996</c:v>
                </c:pt>
                <c:pt idx="11">
                  <c:v>96.279996999999995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56416"/>
        <c:axId val="167451968"/>
      </c:lineChart>
      <c:catAx>
        <c:axId val="1673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7451968"/>
        <c:crosses val="autoZero"/>
        <c:auto val="1"/>
        <c:lblAlgn val="ctr"/>
        <c:lblOffset val="100"/>
        <c:noMultiLvlLbl val="0"/>
      </c:catAx>
      <c:valAx>
        <c:axId val="1674519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29002799883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73564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4815659723"/>
          <c:y val="2.2161373086791118E-2"/>
          <c:w val="0.33180955184340277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'15_g'!$A$64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'15_g'!$B$62:$M$62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'15_g'!$B$64:$M$64</c:f>
              <c:numCache>
                <c:formatCode>#,##0.00_ ;\-#,##0.00\ </c:formatCode>
                <c:ptCount val="12"/>
                <c:pt idx="0">
                  <c:v>1.8526508000000004</c:v>
                </c:pt>
                <c:pt idx="1">
                  <c:v>1.9554097199999998</c:v>
                </c:pt>
                <c:pt idx="2">
                  <c:v>1.8985084100000003</c:v>
                </c:pt>
                <c:pt idx="3">
                  <c:v>2.1602298100000001</c:v>
                </c:pt>
                <c:pt idx="4">
                  <c:v>2.2579211200000002</c:v>
                </c:pt>
                <c:pt idx="5">
                  <c:v>2.1966791400000001</c:v>
                </c:pt>
                <c:pt idx="6">
                  <c:v>2.4000737999999999</c:v>
                </c:pt>
                <c:pt idx="7">
                  <c:v>2.7785699299999997</c:v>
                </c:pt>
                <c:pt idx="8">
                  <c:v>2.3127732999999999</c:v>
                </c:pt>
                <c:pt idx="9">
                  <c:v>2.2253382500000001</c:v>
                </c:pt>
                <c:pt idx="10">
                  <c:v>2.0617992600000004</c:v>
                </c:pt>
                <c:pt idx="11">
                  <c:v>2.2529813700000001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'15_g'!$A$65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'15_g'!$B$62:$M$62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'15_g'!$B$65:$M$65</c:f>
              <c:numCache>
                <c:formatCode>#,##0.00_ ;\-#,##0.00\ </c:formatCode>
                <c:ptCount val="12"/>
                <c:pt idx="0">
                  <c:v>1.7470270000000001</c:v>
                </c:pt>
                <c:pt idx="1">
                  <c:v>1.784405</c:v>
                </c:pt>
                <c:pt idx="2">
                  <c:v>1.7945800000000001</c:v>
                </c:pt>
                <c:pt idx="3">
                  <c:v>1.935467</c:v>
                </c:pt>
                <c:pt idx="4">
                  <c:v>1.9624470000000001</c:v>
                </c:pt>
                <c:pt idx="5">
                  <c:v>1.899597</c:v>
                </c:pt>
                <c:pt idx="6">
                  <c:v>2.1388210000000001</c:v>
                </c:pt>
                <c:pt idx="7">
                  <c:v>2.36863</c:v>
                </c:pt>
                <c:pt idx="8">
                  <c:v>2.1544400000000001</c:v>
                </c:pt>
                <c:pt idx="9">
                  <c:v>2.1080610000000002</c:v>
                </c:pt>
                <c:pt idx="10">
                  <c:v>2.1415389999999999</c:v>
                </c:pt>
                <c:pt idx="11">
                  <c:v>2.0854140000000001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'15_g'!$A$66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'15_g'!$B$62:$M$62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'15_g'!$B$66:$M$66</c:f>
              <c:numCache>
                <c:formatCode>#,##0.00_ ;\-#,##0.00\ </c:formatCode>
                <c:ptCount val="12"/>
                <c:pt idx="0">
                  <c:v>2.1278294300000002</c:v>
                </c:pt>
                <c:pt idx="1">
                  <c:v>2.1894062800000005</c:v>
                </c:pt>
                <c:pt idx="2">
                  <c:v>2.2736740600000007</c:v>
                </c:pt>
                <c:pt idx="3">
                  <c:v>2.4346078499999999</c:v>
                </c:pt>
                <c:pt idx="4">
                  <c:v>2.4422278900000003</c:v>
                </c:pt>
                <c:pt idx="5">
                  <c:v>2.3095569</c:v>
                </c:pt>
                <c:pt idx="6">
                  <c:v>2.6479307900000002</c:v>
                </c:pt>
                <c:pt idx="7">
                  <c:v>2.5182723800000004</c:v>
                </c:pt>
                <c:pt idx="8">
                  <c:v>2.4169882800000009</c:v>
                </c:pt>
                <c:pt idx="9">
                  <c:v>2.2074740900000003</c:v>
                </c:pt>
                <c:pt idx="10">
                  <c:v>2.4367073099999996</c:v>
                </c:pt>
                <c:pt idx="11">
                  <c:v>2.3950170700000002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014976"/>
        <c:axId val="237885632"/>
      </c:lineChart>
      <c:catAx>
        <c:axId val="23801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885632"/>
        <c:crosses val="autoZero"/>
        <c:auto val="1"/>
        <c:lblAlgn val="ctr"/>
        <c:lblOffset val="100"/>
        <c:noMultiLvlLbl val="0"/>
      </c:catAx>
      <c:valAx>
        <c:axId val="2378856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0149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'15_g'!$B$85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'15_g'!$C$85:$N$85</c:f>
              <c:numCache>
                <c:formatCode>#,##0.00_ ;\-#,##0.00\ </c:formatCode>
                <c:ptCount val="12"/>
                <c:pt idx="0">
                  <c:v>1.8526508000000004</c:v>
                </c:pt>
                <c:pt idx="1">
                  <c:v>3.8080605200000002</c:v>
                </c:pt>
                <c:pt idx="2">
                  <c:v>5.7065689300000004</c:v>
                </c:pt>
                <c:pt idx="3">
                  <c:v>7.8667987400000001</c:v>
                </c:pt>
                <c:pt idx="4">
                  <c:v>10.124719860000001</c:v>
                </c:pt>
                <c:pt idx="5">
                  <c:v>12.321399000000001</c:v>
                </c:pt>
                <c:pt idx="6">
                  <c:v>14.721472800000001</c:v>
                </c:pt>
                <c:pt idx="7">
                  <c:v>17.500042730000001</c:v>
                </c:pt>
                <c:pt idx="8">
                  <c:v>19.81281603</c:v>
                </c:pt>
                <c:pt idx="9">
                  <c:v>22.038154280000001</c:v>
                </c:pt>
                <c:pt idx="10">
                  <c:v>24.099953540000001</c:v>
                </c:pt>
                <c:pt idx="11">
                  <c:v>26.352934910000002</c:v>
                </c:pt>
              </c:numCache>
            </c:numRef>
          </c:val>
        </c:ser>
        <c:ser>
          <c:idx val="0"/>
          <c:order val="2"/>
          <c:tx>
            <c:strRef>
              <c:f>'15_g'!$B$87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'15_g'!$C$87:$N$87</c:f>
              <c:numCache>
                <c:formatCode>#,##0.00_ ;\-#,##0.00\ </c:formatCode>
                <c:ptCount val="12"/>
                <c:pt idx="0">
                  <c:v>2.1278294300000002</c:v>
                </c:pt>
                <c:pt idx="1">
                  <c:v>4.3172357100000003</c:v>
                </c:pt>
                <c:pt idx="2">
                  <c:v>6.5909097700000014</c:v>
                </c:pt>
                <c:pt idx="3">
                  <c:v>9.0255176200000022</c:v>
                </c:pt>
                <c:pt idx="4">
                  <c:v>11.467745510000002</c:v>
                </c:pt>
                <c:pt idx="5">
                  <c:v>13.777302410000003</c:v>
                </c:pt>
                <c:pt idx="6">
                  <c:v>16.425233200000001</c:v>
                </c:pt>
                <c:pt idx="7">
                  <c:v>18.94350558</c:v>
                </c:pt>
                <c:pt idx="8">
                  <c:v>21.360493860000002</c:v>
                </c:pt>
                <c:pt idx="9">
                  <c:v>23.567967950000003</c:v>
                </c:pt>
                <c:pt idx="10">
                  <c:v>26.004675260000003</c:v>
                </c:pt>
                <c:pt idx="11">
                  <c:v>28.399692330000004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8016000"/>
        <c:axId val="238076480"/>
      </c:barChart>
      <c:lineChart>
        <c:grouping val="standard"/>
        <c:varyColors val="0"/>
        <c:ser>
          <c:idx val="3"/>
          <c:order val="1"/>
          <c:tx>
            <c:strRef>
              <c:f>'15_g'!$B$86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'15_g'!$C$83:$N$83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'15_g'!$C$86:$N$86</c:f>
              <c:numCache>
                <c:formatCode>#,##0.00_ ;\-#,##0.00\ </c:formatCode>
                <c:ptCount val="12"/>
                <c:pt idx="0">
                  <c:v>1.7470270000000001</c:v>
                </c:pt>
                <c:pt idx="1">
                  <c:v>3.5314320000000001</c:v>
                </c:pt>
                <c:pt idx="2">
                  <c:v>5.3260120000000004</c:v>
                </c:pt>
                <c:pt idx="3">
                  <c:v>7.2614790000000005</c:v>
                </c:pt>
                <c:pt idx="4">
                  <c:v>9.2239260000000005</c:v>
                </c:pt>
                <c:pt idx="5">
                  <c:v>11.123523</c:v>
                </c:pt>
                <c:pt idx="6">
                  <c:v>13.262344000000001</c:v>
                </c:pt>
                <c:pt idx="7">
                  <c:v>15.630974</c:v>
                </c:pt>
                <c:pt idx="8">
                  <c:v>17.785413999999999</c:v>
                </c:pt>
                <c:pt idx="9">
                  <c:v>19.893474999999999</c:v>
                </c:pt>
                <c:pt idx="10">
                  <c:v>22.035013999999997</c:v>
                </c:pt>
                <c:pt idx="11">
                  <c:v>24.120427999999997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016000"/>
        <c:axId val="238076480"/>
      </c:lineChart>
      <c:catAx>
        <c:axId val="2380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076480"/>
        <c:crosses val="autoZero"/>
        <c:auto val="1"/>
        <c:lblAlgn val="ctr"/>
        <c:lblOffset val="100"/>
        <c:noMultiLvlLbl val="0"/>
      </c:catAx>
      <c:valAx>
        <c:axId val="238076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0160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'15_g'!$S$64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'15_g'!$T$62:$AE$62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'15_g'!$T$64:$AE$64</c:f>
              <c:numCache>
                <c:formatCode>#,##0.00_ ;\-#,##0.00\ </c:formatCode>
                <c:ptCount val="12"/>
                <c:pt idx="0">
                  <c:v>0.88388347</c:v>
                </c:pt>
                <c:pt idx="1">
                  <c:v>1.0645957899999998</c:v>
                </c:pt>
                <c:pt idx="2">
                  <c:v>1.0092266399999998</c:v>
                </c:pt>
                <c:pt idx="3">
                  <c:v>1.0361366599999997</c:v>
                </c:pt>
                <c:pt idx="4">
                  <c:v>1.1049902700000001</c:v>
                </c:pt>
                <c:pt idx="5">
                  <c:v>1.2084945499999999</c:v>
                </c:pt>
                <c:pt idx="6">
                  <c:v>1.0760013799999999</c:v>
                </c:pt>
                <c:pt idx="7">
                  <c:v>1.0970516299999999</c:v>
                </c:pt>
                <c:pt idx="8">
                  <c:v>1.0747145300000003</c:v>
                </c:pt>
                <c:pt idx="9">
                  <c:v>0.99596702000000004</c:v>
                </c:pt>
                <c:pt idx="10">
                  <c:v>0.98055031000000004</c:v>
                </c:pt>
                <c:pt idx="11">
                  <c:v>1.2516732099999999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'15_g'!$S$65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'15_g'!$T$62:$AE$62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'15_g'!$T$65:$AE$65</c:f>
              <c:numCache>
                <c:formatCode>#,##0.00_ ;\-#,##0.00\ </c:formatCode>
                <c:ptCount val="12"/>
                <c:pt idx="0">
                  <c:v>0.95327300000000004</c:v>
                </c:pt>
                <c:pt idx="1">
                  <c:v>1.079583</c:v>
                </c:pt>
                <c:pt idx="2">
                  <c:v>1.0757190000000001</c:v>
                </c:pt>
                <c:pt idx="3">
                  <c:v>1.0814649999999999</c:v>
                </c:pt>
                <c:pt idx="4">
                  <c:v>1.1032230000000001</c:v>
                </c:pt>
                <c:pt idx="5">
                  <c:v>1.214391</c:v>
                </c:pt>
                <c:pt idx="6">
                  <c:v>1.1033010000000001</c:v>
                </c:pt>
                <c:pt idx="7">
                  <c:v>1.135097</c:v>
                </c:pt>
                <c:pt idx="8">
                  <c:v>1.1699740000000001</c:v>
                </c:pt>
                <c:pt idx="9">
                  <c:v>1.1813990000000001</c:v>
                </c:pt>
                <c:pt idx="10">
                  <c:v>1.1186780000000001</c:v>
                </c:pt>
                <c:pt idx="11">
                  <c:v>1.2117739999999999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'15_g'!$S$66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'15_g'!$T$62:$AE$62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'15_g'!$T$66:$AE$66</c:f>
              <c:numCache>
                <c:formatCode>#,##0.00_ ;\-#,##0.00\ </c:formatCode>
                <c:ptCount val="12"/>
                <c:pt idx="0">
                  <c:v>1.0540850500000001</c:v>
                </c:pt>
                <c:pt idx="1">
                  <c:v>0.96969540999999981</c:v>
                </c:pt>
                <c:pt idx="2">
                  <c:v>1.1470850799999999</c:v>
                </c:pt>
                <c:pt idx="3">
                  <c:v>0.86163213999999988</c:v>
                </c:pt>
                <c:pt idx="4">
                  <c:v>0.93898509999999991</c:v>
                </c:pt>
                <c:pt idx="5">
                  <c:v>1.0098317999999999</c:v>
                </c:pt>
                <c:pt idx="6">
                  <c:v>0.97628800000000016</c:v>
                </c:pt>
                <c:pt idx="7">
                  <c:v>0.93626854000000015</c:v>
                </c:pt>
                <c:pt idx="8">
                  <c:v>1.0179731700000001</c:v>
                </c:pt>
                <c:pt idx="9">
                  <c:v>1.0407246000000001</c:v>
                </c:pt>
                <c:pt idx="10">
                  <c:v>1.0676963999999998</c:v>
                </c:pt>
                <c:pt idx="11">
                  <c:v>1.1101775200000004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23904"/>
        <c:axId val="238078784"/>
      </c:lineChart>
      <c:catAx>
        <c:axId val="23692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078784"/>
        <c:crosses val="autoZero"/>
        <c:auto val="1"/>
        <c:lblAlgn val="ctr"/>
        <c:lblOffset val="100"/>
        <c:noMultiLvlLbl val="0"/>
      </c:catAx>
      <c:valAx>
        <c:axId val="238078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69239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'15_g'!$T$85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'15_g'!$U$85:$AF$85</c:f>
              <c:numCache>
                <c:formatCode>#,##0.00_ ;\-#,##0.00\ </c:formatCode>
                <c:ptCount val="12"/>
                <c:pt idx="0">
                  <c:v>0.88388347</c:v>
                </c:pt>
                <c:pt idx="1">
                  <c:v>1.9484792599999998</c:v>
                </c:pt>
                <c:pt idx="2">
                  <c:v>2.9577058999999997</c:v>
                </c:pt>
                <c:pt idx="3">
                  <c:v>3.9938425599999992</c:v>
                </c:pt>
                <c:pt idx="4">
                  <c:v>5.0988328299999992</c:v>
                </c:pt>
                <c:pt idx="5">
                  <c:v>6.3073273799999994</c:v>
                </c:pt>
                <c:pt idx="6">
                  <c:v>7.3833287599999995</c:v>
                </c:pt>
                <c:pt idx="7">
                  <c:v>8.4803803899999988</c:v>
                </c:pt>
                <c:pt idx="8">
                  <c:v>9.5550949199999984</c:v>
                </c:pt>
                <c:pt idx="9">
                  <c:v>10.551061939999999</c:v>
                </c:pt>
                <c:pt idx="10">
                  <c:v>11.531612249999998</c:v>
                </c:pt>
                <c:pt idx="11">
                  <c:v>12.783285459999998</c:v>
                </c:pt>
              </c:numCache>
            </c:numRef>
          </c:val>
        </c:ser>
        <c:ser>
          <c:idx val="0"/>
          <c:order val="2"/>
          <c:tx>
            <c:strRef>
              <c:f>'15_g'!$T$87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'15_g'!$U$87:$AF$87</c:f>
              <c:numCache>
                <c:formatCode>#,##0.00_ ;\-#,##0.00\ </c:formatCode>
                <c:ptCount val="12"/>
                <c:pt idx="0">
                  <c:v>1.0540850500000001</c:v>
                </c:pt>
                <c:pt idx="1">
                  <c:v>2.0237804599999998</c:v>
                </c:pt>
                <c:pt idx="2">
                  <c:v>3.1708655399999994</c:v>
                </c:pt>
                <c:pt idx="3">
                  <c:v>4.0324976799999996</c:v>
                </c:pt>
                <c:pt idx="4">
                  <c:v>4.9714827799999997</c:v>
                </c:pt>
                <c:pt idx="5">
                  <c:v>5.9813145799999994</c:v>
                </c:pt>
                <c:pt idx="6">
                  <c:v>6.9576025799999996</c:v>
                </c:pt>
                <c:pt idx="7">
                  <c:v>7.89387112</c:v>
                </c:pt>
                <c:pt idx="8">
                  <c:v>8.9118442899999994</c:v>
                </c:pt>
                <c:pt idx="9">
                  <c:v>9.9525688900000002</c:v>
                </c:pt>
                <c:pt idx="10">
                  <c:v>11.020265289999999</c:v>
                </c:pt>
                <c:pt idx="11">
                  <c:v>12.13044281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8017024"/>
        <c:axId val="238081088"/>
      </c:barChart>
      <c:lineChart>
        <c:grouping val="standard"/>
        <c:varyColors val="0"/>
        <c:ser>
          <c:idx val="3"/>
          <c:order val="1"/>
          <c:tx>
            <c:strRef>
              <c:f>'15_g'!$T$86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'15_g'!$U$83:$AF$83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'15_g'!$U$86:$AF$86</c:f>
              <c:numCache>
                <c:formatCode>#,##0.00_ ;\-#,##0.00\ </c:formatCode>
                <c:ptCount val="12"/>
                <c:pt idx="0">
                  <c:v>0.95327300000000004</c:v>
                </c:pt>
                <c:pt idx="1">
                  <c:v>2.0328559999999998</c:v>
                </c:pt>
                <c:pt idx="2">
                  <c:v>3.1085750000000001</c:v>
                </c:pt>
                <c:pt idx="3">
                  <c:v>4.1900399999999998</c:v>
                </c:pt>
                <c:pt idx="4">
                  <c:v>5.2932629999999996</c:v>
                </c:pt>
                <c:pt idx="5">
                  <c:v>6.5076539999999996</c:v>
                </c:pt>
                <c:pt idx="6">
                  <c:v>7.6109549999999997</c:v>
                </c:pt>
                <c:pt idx="7">
                  <c:v>8.7460519999999988</c:v>
                </c:pt>
                <c:pt idx="8">
                  <c:v>9.9160259999999987</c:v>
                </c:pt>
                <c:pt idx="9">
                  <c:v>11.097424999999999</c:v>
                </c:pt>
                <c:pt idx="10">
                  <c:v>12.216103</c:v>
                </c:pt>
                <c:pt idx="11">
                  <c:v>13.427877000000001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017024"/>
        <c:axId val="238081088"/>
      </c:lineChart>
      <c:catAx>
        <c:axId val="2380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081088"/>
        <c:crosses val="autoZero"/>
        <c:auto val="1"/>
        <c:lblAlgn val="ctr"/>
        <c:lblOffset val="100"/>
        <c:noMultiLvlLbl val="0"/>
      </c:catAx>
      <c:valAx>
        <c:axId val="2380810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0170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'15_g'!$AI$64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'15_g'!$AJ$62:$AU$62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'15_g'!$AJ$64:$AU$64</c:f>
              <c:numCache>
                <c:formatCode>#,##0.00_ ;\-#,##0.00\ </c:formatCode>
                <c:ptCount val="12"/>
                <c:pt idx="0">
                  <c:v>0.96876733000000037</c:v>
                </c:pt>
                <c:pt idx="1">
                  <c:v>0.89081392999999998</c:v>
                </c:pt>
                <c:pt idx="2">
                  <c:v>0.88928177000000042</c:v>
                </c:pt>
                <c:pt idx="3">
                  <c:v>1.1240931500000004</c:v>
                </c:pt>
                <c:pt idx="4">
                  <c:v>1.1529308500000002</c:v>
                </c:pt>
                <c:pt idx="5">
                  <c:v>0.98818459000000014</c:v>
                </c:pt>
                <c:pt idx="6">
                  <c:v>1.32407242</c:v>
                </c:pt>
                <c:pt idx="7">
                  <c:v>1.6815182999999998</c:v>
                </c:pt>
                <c:pt idx="8">
                  <c:v>1.2380587699999996</c:v>
                </c:pt>
                <c:pt idx="9">
                  <c:v>1.2293712299999999</c:v>
                </c:pt>
                <c:pt idx="10">
                  <c:v>1.0812489500000004</c:v>
                </c:pt>
                <c:pt idx="11">
                  <c:v>1.0013081600000002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'15_g'!$AI$65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'15_g'!$AJ$62:$AU$62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'15_g'!$AJ$65:$AU$65</c:f>
              <c:numCache>
                <c:formatCode>#,##0.00_ ;\-#,##0.00\ </c:formatCode>
                <c:ptCount val="12"/>
                <c:pt idx="0">
                  <c:v>0.79375400000000007</c:v>
                </c:pt>
                <c:pt idx="1">
                  <c:v>0.70482200000000006</c:v>
                </c:pt>
                <c:pt idx="2">
                  <c:v>0.71886099999999997</c:v>
                </c:pt>
                <c:pt idx="3">
                  <c:v>0.85400200000000015</c:v>
                </c:pt>
                <c:pt idx="4">
                  <c:v>0.85922399999999999</c:v>
                </c:pt>
                <c:pt idx="5">
                  <c:v>0.68520599999999998</c:v>
                </c:pt>
                <c:pt idx="6">
                  <c:v>1.03552</c:v>
                </c:pt>
                <c:pt idx="7">
                  <c:v>1.233533</c:v>
                </c:pt>
                <c:pt idx="8">
                  <c:v>0.98446600000000006</c:v>
                </c:pt>
                <c:pt idx="9">
                  <c:v>0.9266620000000001</c:v>
                </c:pt>
                <c:pt idx="10">
                  <c:v>1.0228609999999998</c:v>
                </c:pt>
                <c:pt idx="11">
                  <c:v>0.87364000000000019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'15_g'!$AI$66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'15_g'!$AJ$62:$AU$62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'15_g'!$AJ$66:$AU$66</c:f>
              <c:numCache>
                <c:formatCode>#,##0.00_ ;\-#,##0.00\ </c:formatCode>
                <c:ptCount val="12"/>
                <c:pt idx="0">
                  <c:v>1.0737443800000002</c:v>
                </c:pt>
                <c:pt idx="1">
                  <c:v>1.2197108700000006</c:v>
                </c:pt>
                <c:pt idx="2">
                  <c:v>1.1265889800000009</c:v>
                </c:pt>
                <c:pt idx="3">
                  <c:v>1.5729757100000001</c:v>
                </c:pt>
                <c:pt idx="4">
                  <c:v>1.5032427900000003</c:v>
                </c:pt>
                <c:pt idx="5">
                  <c:v>1.2997251000000001</c:v>
                </c:pt>
                <c:pt idx="6">
                  <c:v>1.6716427899999999</c:v>
                </c:pt>
                <c:pt idx="7">
                  <c:v>1.5820038400000003</c:v>
                </c:pt>
                <c:pt idx="8">
                  <c:v>1.3990151100000008</c:v>
                </c:pt>
                <c:pt idx="9">
                  <c:v>1.1667494900000002</c:v>
                </c:pt>
                <c:pt idx="10">
                  <c:v>1.3690109099999999</c:v>
                </c:pt>
                <c:pt idx="11">
                  <c:v>1.2848395499999998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018048"/>
        <c:axId val="238083392"/>
      </c:lineChart>
      <c:catAx>
        <c:axId val="2380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083392"/>
        <c:crosses val="autoZero"/>
        <c:auto val="1"/>
        <c:lblAlgn val="ctr"/>
        <c:lblOffset val="100"/>
        <c:noMultiLvlLbl val="0"/>
      </c:catAx>
      <c:valAx>
        <c:axId val="2380833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676003614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0180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258150111"/>
          <c:y val="2.2161373086791118E-2"/>
          <c:w val="0.4542921274184988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'15_g'!$AJ$85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'15_g'!$AK$85:$AV$85</c:f>
              <c:numCache>
                <c:formatCode>#,##0.00_ ;\-#,##0.00\ </c:formatCode>
                <c:ptCount val="12"/>
                <c:pt idx="0">
                  <c:v>0.96876733000000037</c:v>
                </c:pt>
                <c:pt idx="1">
                  <c:v>1.8595812600000003</c:v>
                </c:pt>
                <c:pt idx="2">
                  <c:v>2.7488630300000008</c:v>
                </c:pt>
                <c:pt idx="3">
                  <c:v>3.872956180000001</c:v>
                </c:pt>
                <c:pt idx="4">
                  <c:v>5.0258870300000016</c:v>
                </c:pt>
                <c:pt idx="5">
                  <c:v>6.0140716200000019</c:v>
                </c:pt>
                <c:pt idx="6">
                  <c:v>7.3381440400000022</c:v>
                </c:pt>
                <c:pt idx="7">
                  <c:v>9.0196623400000018</c:v>
                </c:pt>
                <c:pt idx="8">
                  <c:v>10.257721110000002</c:v>
                </c:pt>
                <c:pt idx="9">
                  <c:v>11.487092340000002</c:v>
                </c:pt>
                <c:pt idx="10">
                  <c:v>12.568341290000003</c:v>
                </c:pt>
                <c:pt idx="11">
                  <c:v>13.569649450000004</c:v>
                </c:pt>
              </c:numCache>
            </c:numRef>
          </c:val>
        </c:ser>
        <c:ser>
          <c:idx val="0"/>
          <c:order val="2"/>
          <c:tx>
            <c:strRef>
              <c:f>'15_g'!$AJ$87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'15_g'!$AK$83:$AV$83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'15_g'!$AK$87:$AV$87</c:f>
              <c:numCache>
                <c:formatCode>#,##0.00_ ;\-#,##0.00\ </c:formatCode>
                <c:ptCount val="12"/>
                <c:pt idx="0">
                  <c:v>1.0737443800000002</c:v>
                </c:pt>
                <c:pt idx="1">
                  <c:v>2.2934552500000009</c:v>
                </c:pt>
                <c:pt idx="2">
                  <c:v>3.420044230000002</c:v>
                </c:pt>
                <c:pt idx="3">
                  <c:v>4.9930199400000017</c:v>
                </c:pt>
                <c:pt idx="4">
                  <c:v>6.4962627300000015</c:v>
                </c:pt>
                <c:pt idx="5">
                  <c:v>7.7959878300000014</c:v>
                </c:pt>
                <c:pt idx="6">
                  <c:v>9.4676306200000013</c:v>
                </c:pt>
                <c:pt idx="7">
                  <c:v>11.049634460000002</c:v>
                </c:pt>
                <c:pt idx="8">
                  <c:v>12.448649570000002</c:v>
                </c:pt>
                <c:pt idx="9">
                  <c:v>13.615399060000003</c:v>
                </c:pt>
                <c:pt idx="10">
                  <c:v>14.984409970000003</c:v>
                </c:pt>
                <c:pt idx="11">
                  <c:v>16.269249520000002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8993408"/>
        <c:axId val="238577344"/>
      </c:barChart>
      <c:lineChart>
        <c:grouping val="standard"/>
        <c:varyColors val="0"/>
        <c:ser>
          <c:idx val="3"/>
          <c:order val="1"/>
          <c:tx>
            <c:strRef>
              <c:f>'15_g'!$AJ$86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'15_g'!$AK$83:$AV$83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'15_g'!$AK$86:$AV$86</c:f>
              <c:numCache>
                <c:formatCode>#,##0.00_ ;\-#,##0.00\ </c:formatCode>
                <c:ptCount val="12"/>
                <c:pt idx="0">
                  <c:v>0.79375400000000007</c:v>
                </c:pt>
                <c:pt idx="1">
                  <c:v>1.4985760000000001</c:v>
                </c:pt>
                <c:pt idx="2">
                  <c:v>2.2174370000000003</c:v>
                </c:pt>
                <c:pt idx="3">
                  <c:v>3.0714390000000007</c:v>
                </c:pt>
                <c:pt idx="4">
                  <c:v>3.9306630000000009</c:v>
                </c:pt>
                <c:pt idx="5">
                  <c:v>4.6158690000000009</c:v>
                </c:pt>
                <c:pt idx="6">
                  <c:v>5.6513890000000009</c:v>
                </c:pt>
                <c:pt idx="7">
                  <c:v>6.8849220000000013</c:v>
                </c:pt>
                <c:pt idx="8">
                  <c:v>7.8693880000000016</c:v>
                </c:pt>
                <c:pt idx="9">
                  <c:v>8.796050000000001</c:v>
                </c:pt>
                <c:pt idx="10">
                  <c:v>9.8189109999999999</c:v>
                </c:pt>
                <c:pt idx="11">
                  <c:v>10.692551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93408"/>
        <c:axId val="238577344"/>
      </c:lineChart>
      <c:catAx>
        <c:axId val="2389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577344"/>
        <c:crosses val="autoZero"/>
        <c:auto val="1"/>
        <c:lblAlgn val="ctr"/>
        <c:lblOffset val="100"/>
        <c:noMultiLvlLbl val="0"/>
      </c:catAx>
      <c:valAx>
        <c:axId val="2385773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2476591252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89934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36305069299"/>
          <c:y val="2.2161373086791118E-2"/>
          <c:w val="0.39103663694930701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'15_g'!$T$21:$U$21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'15_g'!$V$21:$AC$21</c:f>
              <c:numCache>
                <c:formatCode>#,##0</c:formatCode>
                <c:ptCount val="8"/>
                <c:pt idx="0">
                  <c:v>61.348008385744244</c:v>
                </c:pt>
                <c:pt idx="1">
                  <c:v>46</c:v>
                </c:pt>
                <c:pt idx="2">
                  <c:v>208.6373165618449</c:v>
                </c:pt>
                <c:pt idx="3">
                  <c:v>92</c:v>
                </c:pt>
                <c:pt idx="4">
                  <c:v>327.58280922431874</c:v>
                </c:pt>
                <c:pt idx="5">
                  <c:v>148</c:v>
                </c:pt>
                <c:pt idx="6">
                  <c:v>392.00000000000011</c:v>
                </c:pt>
                <c:pt idx="7">
                  <c:v>172</c:v>
                </c:pt>
              </c:numCache>
            </c:numRef>
          </c:val>
        </c:ser>
        <c:ser>
          <c:idx val="0"/>
          <c:order val="1"/>
          <c:tx>
            <c:strRef>
              <c:f>'15_g'!$T$22:$U$22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'15_g'!$V$20:$AC$20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'15_g'!$V$22:$AC$22</c:f>
              <c:numCache>
                <c:formatCode>#,##0</c:formatCode>
                <c:ptCount val="8"/>
                <c:pt idx="0">
                  <c:v>3</c:v>
                </c:pt>
                <c:pt idx="1">
                  <c:v>8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9</c:v>
                </c:pt>
                <c:pt idx="6">
                  <c:v>20</c:v>
                </c:pt>
                <c:pt idx="7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38994432"/>
        <c:axId val="238579648"/>
      </c:barChart>
      <c:catAx>
        <c:axId val="23899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238579648"/>
        <c:crosses val="autoZero"/>
        <c:auto val="1"/>
        <c:lblAlgn val="ctr"/>
        <c:lblOffset val="100"/>
        <c:noMultiLvlLbl val="0"/>
      </c:catAx>
      <c:valAx>
        <c:axId val="23857964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38994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('16'!$A$9,'16'!$A$13,'16'!$A$17)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('16'!$B$9,'16'!$B$13,'16'!$B$17)</c:f>
              <c:numCache>
                <c:formatCode>_-* #,##0_-;\-* #,##0_-;_-* "-"??_-;_-@_-</c:formatCode>
                <c:ptCount val="3"/>
                <c:pt idx="0">
                  <c:v>3420</c:v>
                </c:pt>
                <c:pt idx="1">
                  <c:v>1404</c:v>
                </c:pt>
                <c:pt idx="2">
                  <c:v>295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('16'!$A$9,'16'!$A$13,'16'!$A$17)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('16'!$G$9,'16'!$G$13,'16'!$G$17)</c:f>
              <c:numCache>
                <c:formatCode>_-* #,##0_-;\-* #,##0_-;_-* "-"??_-;_-@_-</c:formatCode>
                <c:ptCount val="3"/>
                <c:pt idx="0">
                  <c:v>3634</c:v>
                </c:pt>
                <c:pt idx="1">
                  <c:v>1383</c:v>
                </c:pt>
                <c:pt idx="2">
                  <c:v>293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('16'!$A$9,'16'!$A$13,'16'!$A$17)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('16'!$C$9,'16'!$C$13,'16'!$C$17)</c:f>
              <c:numCache>
                <c:formatCode>_(* #,##0.00_);_(* \(#,##0.00\);_(* "-"??_);_(@_)</c:formatCode>
                <c:ptCount val="3"/>
                <c:pt idx="0">
                  <c:v>0.52959999999999996</c:v>
                </c:pt>
                <c:pt idx="1">
                  <c:v>0.52293000000000001</c:v>
                </c:pt>
                <c:pt idx="2">
                  <c:v>0.177396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'00_g'!$AY$18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'00_g'!$AZ$16:$BK$16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'00_g'!$AZ$18:$BK$18</c:f>
              <c:numCache>
                <c:formatCode>#,##0.000_ ;\-#,##0.000\ </c:formatCode>
                <c:ptCount val="12"/>
                <c:pt idx="0">
                  <c:v>2.5384900300000002</c:v>
                </c:pt>
                <c:pt idx="1">
                  <c:v>2.6864176400000002</c:v>
                </c:pt>
                <c:pt idx="2">
                  <c:v>3.1146800100000003</c:v>
                </c:pt>
                <c:pt idx="3">
                  <c:v>2.8815286500000004</c:v>
                </c:pt>
                <c:pt idx="4">
                  <c:v>2.7582014000000004</c:v>
                </c:pt>
                <c:pt idx="5">
                  <c:v>3.3347606899999995</c:v>
                </c:pt>
                <c:pt idx="6">
                  <c:v>2.35960284</c:v>
                </c:pt>
                <c:pt idx="7">
                  <c:v>2.2448120099999995</c:v>
                </c:pt>
                <c:pt idx="8">
                  <c:v>1.8430651400000007</c:v>
                </c:pt>
                <c:pt idx="9">
                  <c:v>2.4753562299999987</c:v>
                </c:pt>
                <c:pt idx="10">
                  <c:v>3.1764354199999998</c:v>
                </c:pt>
                <c:pt idx="11">
                  <c:v>2.38212907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'00_g'!$AY$19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'00_g'!$AZ$16:$BK$16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'00_g'!$AZ$19:$BK$19</c:f>
              <c:numCache>
                <c:formatCode>#,##0.000_ ;\-#,##0.000\ </c:formatCode>
                <c:ptCount val="12"/>
                <c:pt idx="0">
                  <c:v>2.9085429999999999</c:v>
                </c:pt>
                <c:pt idx="1">
                  <c:v>2.7817490000000005</c:v>
                </c:pt>
                <c:pt idx="2">
                  <c:v>2.9731150000000004</c:v>
                </c:pt>
                <c:pt idx="3">
                  <c:v>2.6604210000000004</c:v>
                </c:pt>
                <c:pt idx="4">
                  <c:v>2.50393</c:v>
                </c:pt>
                <c:pt idx="5">
                  <c:v>3.259592</c:v>
                </c:pt>
                <c:pt idx="6">
                  <c:v>2.4915959999999995</c:v>
                </c:pt>
                <c:pt idx="7">
                  <c:v>2.4706530000000004</c:v>
                </c:pt>
                <c:pt idx="8">
                  <c:v>2.1621509999999997</c:v>
                </c:pt>
                <c:pt idx="9">
                  <c:v>2.5641410000000002</c:v>
                </c:pt>
                <c:pt idx="10">
                  <c:v>2.8568630000000006</c:v>
                </c:pt>
                <c:pt idx="11">
                  <c:v>2.4611509999999996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'00_g'!$AY$20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'00_g'!$AZ$16:$BK$16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'00_g'!$AZ$20:$BK$20</c:f>
              <c:numCache>
                <c:formatCode>#,##0.000_ ;\-#,##0.000\ </c:formatCode>
                <c:ptCount val="12"/>
                <c:pt idx="0">
                  <c:v>2.9626893300000003</c:v>
                </c:pt>
                <c:pt idx="1">
                  <c:v>2.7333662299999988</c:v>
                </c:pt>
                <c:pt idx="2">
                  <c:v>2.921050290000001</c:v>
                </c:pt>
                <c:pt idx="3">
                  <c:v>2.7150285199999988</c:v>
                </c:pt>
                <c:pt idx="4">
                  <c:v>2.3706107299999992</c:v>
                </c:pt>
                <c:pt idx="5">
                  <c:v>3.4793998099999999</c:v>
                </c:pt>
                <c:pt idx="6">
                  <c:v>2.1944513800000007</c:v>
                </c:pt>
                <c:pt idx="7">
                  <c:v>2.6315442900000003</c:v>
                </c:pt>
                <c:pt idx="8">
                  <c:v>2.5356069099999998</c:v>
                </c:pt>
                <c:pt idx="9">
                  <c:v>2.953277410000001</c:v>
                </c:pt>
                <c:pt idx="10">
                  <c:v>2.5242125500000001</c:v>
                </c:pt>
                <c:pt idx="11">
                  <c:v>2.1706548699999999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57952"/>
        <c:axId val="170600128"/>
      </c:lineChart>
      <c:catAx>
        <c:axId val="16735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0600128"/>
        <c:crosses val="autoZero"/>
        <c:auto val="1"/>
        <c:lblAlgn val="ctr"/>
        <c:lblOffset val="100"/>
        <c:noMultiLvlLbl val="0"/>
      </c:catAx>
      <c:valAx>
        <c:axId val="1706001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117875190974E-2"/>
              <c:y val="8.919460910082869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73579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4562228225"/>
          <c:y val="2.2161373086791118E-2"/>
          <c:w val="0.35300975437771775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('16'!$A$9,'16'!$A$13,'16'!$A$17)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('16'!$H$9,'16'!$H$13,'16'!$H$17)</c:f>
              <c:numCache>
                <c:formatCode>_(* #,##0.00_);_(* \(#,##0.00\);_(* "-"??_);_(@_)</c:formatCode>
                <c:ptCount val="3"/>
                <c:pt idx="0">
                  <c:v>0.49976100000000001</c:v>
                </c:pt>
                <c:pt idx="1">
                  <c:v>0.58091099999999996</c:v>
                </c:pt>
                <c:pt idx="2">
                  <c:v>0.152279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('16'!$A$9,'16'!$A$13,'16'!$A$17)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('16'!$E$9,'16'!$E$13,'16'!$E$17)</c:f>
              <c:numCache>
                <c:formatCode>_(* #,##0.00_);_(* \(#,##0.00\);_(* "-"??_);_(@_)</c:formatCode>
                <c:ptCount val="3"/>
                <c:pt idx="0">
                  <c:v>7.3247024099999996</c:v>
                </c:pt>
                <c:pt idx="1">
                  <c:v>11.11807175</c:v>
                </c:pt>
                <c:pt idx="2">
                  <c:v>4.7996017999999996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('16'!$A$9,'16'!$A$13,'16'!$A$17)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('16'!$J$9,'16'!$J$13,'16'!$J$17)</c:f>
              <c:numCache>
                <c:formatCode>_(* #,##0.00_);_(* \(#,##0.00\);_(* "-"??_);_(@_)</c:formatCode>
                <c:ptCount val="3"/>
                <c:pt idx="0">
                  <c:v>6.72306575</c:v>
                </c:pt>
                <c:pt idx="1">
                  <c:v>12.662266449999999</c:v>
                </c:pt>
                <c:pt idx="2">
                  <c:v>4.0751613499999992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('16'!$A$9,'16'!$A$13,'16'!$A$17,'16'!$A$20)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('16'!$D$9,'16'!$D$13,'16'!$D$17,'16'!$D$20)</c:f>
              <c:numCache>
                <c:formatCode>_-* #,##0.000_-;\-* #,##0.000_-;_-* "-"??_-;_-@_-</c:formatCode>
                <c:ptCount val="4"/>
                <c:pt idx="0">
                  <c:v>0.43286363487756235</c:v>
                </c:pt>
                <c:pt idx="1">
                  <c:v>1.105466768138001</c:v>
                </c:pt>
                <c:pt idx="2">
                  <c:v>1.6503104867781475</c:v>
                </c:pt>
                <c:pt idx="3">
                  <c:v>0.68177243782956043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('16'!$A$9,'16'!$A$13,'16'!$A$17,'16'!$A$20)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('16'!$I$9,'16'!$I$13,'16'!$I$17,'16'!$I$20)</c:f>
              <c:numCache>
                <c:formatCode>_-* #,##0.000_-;\-* #,##0.000_-;_-* "-"??_-;_-@_-</c:formatCode>
                <c:ptCount val="4"/>
                <c:pt idx="0">
                  <c:v>0.38820760396316484</c:v>
                </c:pt>
                <c:pt idx="1">
                  <c:v>1.1421148089712019</c:v>
                </c:pt>
                <c:pt idx="2">
                  <c:v>1.4190569378436306</c:v>
                </c:pt>
                <c:pt idx="3">
                  <c:v>0.64779901144989538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37498368"/>
        <c:axId val="236868672"/>
      </c:barChart>
      <c:catAx>
        <c:axId val="2374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6868672"/>
        <c:crosses val="autoZero"/>
        <c:auto val="1"/>
        <c:lblAlgn val="ctr"/>
        <c:lblOffset val="100"/>
        <c:noMultiLvlLbl val="0"/>
      </c:catAx>
      <c:valAx>
        <c:axId val="2368686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498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('16'!$A$9,'16'!$A$13,'16'!$A$17,'16'!$A$20)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('16'!$F$9,'16'!$F$13,'16'!$F$17,'16'!$F$20)</c:f>
              <c:numCache>
                <c:formatCode>_(* #,##0.00_);_(* \(#,##0.00\);_(* "-"??_);_(@_)</c:formatCode>
                <c:ptCount val="4"/>
                <c:pt idx="0">
                  <c:v>13.830631438821753</c:v>
                </c:pt>
                <c:pt idx="1">
                  <c:v>21.261109039450787</c:v>
                </c:pt>
                <c:pt idx="2">
                  <c:v>27.055862589911833</c:v>
                </c:pt>
                <c:pt idx="3">
                  <c:v>18.897377533282487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('16'!$A$9,'16'!$A$13,'16'!$A$17,'16'!$A$20)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('16'!$K$9,'16'!$K$13,'16'!$K$17,'16'!$K$20)</c:f>
              <c:numCache>
                <c:formatCode>_(* #,##0.00_);_(* \(#,##0.00\);_(* "-"??_);_(@_)</c:formatCode>
                <c:ptCount val="4"/>
                <c:pt idx="0">
                  <c:v>13.452561824552136</c:v>
                </c:pt>
                <c:pt idx="1">
                  <c:v>21.797257152989012</c:v>
                </c:pt>
                <c:pt idx="2">
                  <c:v>26.76115124212793</c:v>
                </c:pt>
                <c:pt idx="3">
                  <c:v>19.02792045263762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37499392"/>
        <c:axId val="236870400"/>
      </c:barChart>
      <c:catAx>
        <c:axId val="2374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6870400"/>
        <c:crosses val="autoZero"/>
        <c:auto val="1"/>
        <c:lblAlgn val="ctr"/>
        <c:lblOffset val="100"/>
        <c:noMultiLvlLbl val="0"/>
      </c:catAx>
      <c:valAx>
        <c:axId val="2368704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49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'16_g'!$A$18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'16_g'!$B$16:$M$16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'16_g'!$B$18:$M$18</c:f>
              <c:numCache>
                <c:formatCode>#,##0_ ;\-#,##0\ </c:formatCode>
                <c:ptCount val="12"/>
                <c:pt idx="0">
                  <c:v>36</c:v>
                </c:pt>
                <c:pt idx="1">
                  <c:v>20</c:v>
                </c:pt>
                <c:pt idx="2">
                  <c:v>13</c:v>
                </c:pt>
                <c:pt idx="3">
                  <c:v>36</c:v>
                </c:pt>
                <c:pt idx="4">
                  <c:v>18</c:v>
                </c:pt>
                <c:pt idx="5">
                  <c:v>53</c:v>
                </c:pt>
                <c:pt idx="6">
                  <c:v>39</c:v>
                </c:pt>
                <c:pt idx="7">
                  <c:v>39</c:v>
                </c:pt>
                <c:pt idx="8">
                  <c:v>65</c:v>
                </c:pt>
                <c:pt idx="9">
                  <c:v>32</c:v>
                </c:pt>
                <c:pt idx="10">
                  <c:v>34</c:v>
                </c:pt>
                <c:pt idx="11">
                  <c:v>35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'16_g'!$A$19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'16_g'!$B$16:$M$16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'16_g'!$B$19:$M$19</c:f>
              <c:numCache>
                <c:formatCode>#,##0_ ;\-#,##0\ </c:formatCode>
                <c:ptCount val="12"/>
                <c:pt idx="0">
                  <c:v>52.071283095723018</c:v>
                </c:pt>
                <c:pt idx="1">
                  <c:v>40.812627291242364</c:v>
                </c:pt>
                <c:pt idx="2">
                  <c:v>45.738289205702657</c:v>
                </c:pt>
                <c:pt idx="3">
                  <c:v>50.663951120162935</c:v>
                </c:pt>
                <c:pt idx="4">
                  <c:v>68.959266802443992</c:v>
                </c:pt>
                <c:pt idx="5">
                  <c:v>75.292260692464353</c:v>
                </c:pt>
                <c:pt idx="6">
                  <c:v>62.62627291242363</c:v>
                </c:pt>
                <c:pt idx="7">
                  <c:v>52.77494908350306</c:v>
                </c:pt>
                <c:pt idx="8">
                  <c:v>95.69857433808555</c:v>
                </c:pt>
                <c:pt idx="9">
                  <c:v>52.77494908350306</c:v>
                </c:pt>
                <c:pt idx="10">
                  <c:v>47.145621181262733</c:v>
                </c:pt>
                <c:pt idx="11">
                  <c:v>46.441955193482684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'16_g'!$A$20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'16_g'!$B$16:$M$16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'16_g'!$B$20:$M$20</c:f>
              <c:numCache>
                <c:formatCode>#,##0_ ;\-#,##0\ </c:formatCode>
                <c:ptCount val="12"/>
                <c:pt idx="0">
                  <c:v>25</c:v>
                </c:pt>
                <c:pt idx="1">
                  <c:v>48</c:v>
                </c:pt>
                <c:pt idx="2">
                  <c:v>19</c:v>
                </c:pt>
                <c:pt idx="3">
                  <c:v>17</c:v>
                </c:pt>
                <c:pt idx="4">
                  <c:v>10</c:v>
                </c:pt>
                <c:pt idx="5">
                  <c:v>20</c:v>
                </c:pt>
                <c:pt idx="6">
                  <c:v>31</c:v>
                </c:pt>
                <c:pt idx="7">
                  <c:v>20</c:v>
                </c:pt>
                <c:pt idx="8">
                  <c:v>12</c:v>
                </c:pt>
                <c:pt idx="9">
                  <c:v>15</c:v>
                </c:pt>
                <c:pt idx="10">
                  <c:v>15</c:v>
                </c:pt>
                <c:pt idx="11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0736"/>
        <c:axId val="239878720"/>
      </c:lineChart>
      <c:catAx>
        <c:axId val="23922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9878720"/>
        <c:crosses val="autoZero"/>
        <c:auto val="1"/>
        <c:lblAlgn val="ctr"/>
        <c:lblOffset val="100"/>
        <c:noMultiLvlLbl val="0"/>
      </c:catAx>
      <c:valAx>
        <c:axId val="2398787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92207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'16_g'!$B$39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'16_g'!$C$39:$N$39</c:f>
              <c:numCache>
                <c:formatCode>#,##0_ ;\-#,##0\ </c:formatCode>
                <c:ptCount val="12"/>
                <c:pt idx="0">
                  <c:v>36</c:v>
                </c:pt>
                <c:pt idx="1">
                  <c:v>56</c:v>
                </c:pt>
                <c:pt idx="2">
                  <c:v>69</c:v>
                </c:pt>
                <c:pt idx="3">
                  <c:v>105</c:v>
                </c:pt>
                <c:pt idx="4">
                  <c:v>123</c:v>
                </c:pt>
                <c:pt idx="5">
                  <c:v>176</c:v>
                </c:pt>
                <c:pt idx="6">
                  <c:v>215</c:v>
                </c:pt>
                <c:pt idx="7">
                  <c:v>254</c:v>
                </c:pt>
                <c:pt idx="8">
                  <c:v>319</c:v>
                </c:pt>
                <c:pt idx="9">
                  <c:v>351</c:v>
                </c:pt>
                <c:pt idx="10">
                  <c:v>385</c:v>
                </c:pt>
                <c:pt idx="11">
                  <c:v>420</c:v>
                </c:pt>
              </c:numCache>
            </c:numRef>
          </c:val>
        </c:ser>
        <c:ser>
          <c:idx val="0"/>
          <c:order val="2"/>
          <c:tx>
            <c:strRef>
              <c:f>'16_g'!$B$41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'16_g'!$C$41:$N$41</c:f>
              <c:numCache>
                <c:formatCode>#,##0_ ;\-#,##0\ </c:formatCode>
                <c:ptCount val="12"/>
                <c:pt idx="0">
                  <c:v>25</c:v>
                </c:pt>
                <c:pt idx="1">
                  <c:v>73</c:v>
                </c:pt>
                <c:pt idx="2">
                  <c:v>92</c:v>
                </c:pt>
                <c:pt idx="3">
                  <c:v>109</c:v>
                </c:pt>
                <c:pt idx="4">
                  <c:v>119</c:v>
                </c:pt>
                <c:pt idx="5">
                  <c:v>139</c:v>
                </c:pt>
                <c:pt idx="6">
                  <c:v>170</c:v>
                </c:pt>
                <c:pt idx="7">
                  <c:v>190</c:v>
                </c:pt>
                <c:pt idx="8">
                  <c:v>202</c:v>
                </c:pt>
                <c:pt idx="9">
                  <c:v>217</c:v>
                </c:pt>
                <c:pt idx="10">
                  <c:v>232</c:v>
                </c:pt>
                <c:pt idx="11">
                  <c:v>242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9221248"/>
        <c:axId val="239881024"/>
      </c:barChart>
      <c:lineChart>
        <c:grouping val="standard"/>
        <c:varyColors val="0"/>
        <c:ser>
          <c:idx val="3"/>
          <c:order val="1"/>
          <c:tx>
            <c:strRef>
              <c:f>'16_g'!$B$40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'16_g'!$C$37:$N$37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'16_g'!$C$40:$N$40</c:f>
              <c:numCache>
                <c:formatCode>#,##0_ ;\-#,##0\ </c:formatCode>
                <c:ptCount val="12"/>
                <c:pt idx="0">
                  <c:v>52.071283095723018</c:v>
                </c:pt>
                <c:pt idx="1">
                  <c:v>92.883910386965383</c:v>
                </c:pt>
                <c:pt idx="2">
                  <c:v>138.62219959266804</c:v>
                </c:pt>
                <c:pt idx="3">
                  <c:v>189.28615071283099</c:v>
                </c:pt>
                <c:pt idx="4">
                  <c:v>258.24541751527499</c:v>
                </c:pt>
                <c:pt idx="5">
                  <c:v>333.53767820773936</c:v>
                </c:pt>
                <c:pt idx="6">
                  <c:v>396.16395112016301</c:v>
                </c:pt>
                <c:pt idx="7">
                  <c:v>448.93890020366609</c:v>
                </c:pt>
                <c:pt idx="8">
                  <c:v>544.63747454175166</c:v>
                </c:pt>
                <c:pt idx="9">
                  <c:v>597.41242362525475</c:v>
                </c:pt>
                <c:pt idx="10">
                  <c:v>644.5580448065175</c:v>
                </c:pt>
                <c:pt idx="11">
                  <c:v>691.00000000000023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1248"/>
        <c:axId val="239881024"/>
      </c:lineChart>
      <c:catAx>
        <c:axId val="23922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9881024"/>
        <c:crosses val="autoZero"/>
        <c:auto val="1"/>
        <c:lblAlgn val="ctr"/>
        <c:lblOffset val="100"/>
        <c:noMultiLvlLbl val="0"/>
      </c:catAx>
      <c:valAx>
        <c:axId val="2398810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92212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'16_g'!$AI$18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'16_g'!$AJ$16:$AU$16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'16_g'!$AJ$18:$AU$18</c:f>
              <c:numCache>
                <c:formatCode>#,##0.000_ ;\-#,##0.000\ </c:formatCode>
                <c:ptCount val="12"/>
                <c:pt idx="0">
                  <c:v>9.8058999999999993E-2</c:v>
                </c:pt>
                <c:pt idx="1">
                  <c:v>0.101256</c:v>
                </c:pt>
                <c:pt idx="2">
                  <c:v>9.5196000000000003E-2</c:v>
                </c:pt>
                <c:pt idx="3">
                  <c:v>9.6860500000000002E-2</c:v>
                </c:pt>
                <c:pt idx="4">
                  <c:v>9.6929500000000002E-2</c:v>
                </c:pt>
                <c:pt idx="5">
                  <c:v>9.4788999999999998E-2</c:v>
                </c:pt>
                <c:pt idx="6">
                  <c:v>0.10814699999999999</c:v>
                </c:pt>
                <c:pt idx="7">
                  <c:v>0.120937</c:v>
                </c:pt>
                <c:pt idx="8">
                  <c:v>0.110537</c:v>
                </c:pt>
                <c:pt idx="9">
                  <c:v>0.104839</c:v>
                </c:pt>
                <c:pt idx="10">
                  <c:v>0.10111199999999999</c:v>
                </c:pt>
                <c:pt idx="11">
                  <c:v>0.104361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'16_g'!$AJ$16:$AU$16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'16_g'!$AJ$19:$AU$19</c:f>
              <c:numCache>
                <c:formatCode>#,##0.000_ ;\-#,##0.000\ </c:formatCode>
                <c:ptCount val="12"/>
                <c:pt idx="0">
                  <c:v>0.101034</c:v>
                </c:pt>
                <c:pt idx="1">
                  <c:v>0.105618</c:v>
                </c:pt>
                <c:pt idx="2">
                  <c:v>9.9734000000000003E-2</c:v>
                </c:pt>
                <c:pt idx="3">
                  <c:v>0.108333</c:v>
                </c:pt>
                <c:pt idx="4">
                  <c:v>0.103695</c:v>
                </c:pt>
                <c:pt idx="5">
                  <c:v>0.10038</c:v>
                </c:pt>
                <c:pt idx="6">
                  <c:v>0.11253100000000001</c:v>
                </c:pt>
                <c:pt idx="7">
                  <c:v>0.121465</c:v>
                </c:pt>
                <c:pt idx="8">
                  <c:v>0.11851</c:v>
                </c:pt>
                <c:pt idx="9">
                  <c:v>0.114666</c:v>
                </c:pt>
                <c:pt idx="10">
                  <c:v>0.112855</c:v>
                </c:pt>
                <c:pt idx="11">
                  <c:v>0.110099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'16_g'!$AI$20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'16_g'!$AJ$16:$AU$16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'16_g'!$AJ$20:$AU$20</c:f>
              <c:numCache>
                <c:formatCode>#,##0.000_ ;\-#,##0.000\ </c:formatCode>
                <c:ptCount val="12"/>
                <c:pt idx="0">
                  <c:v>0.100191</c:v>
                </c:pt>
                <c:pt idx="1">
                  <c:v>0.10304000000000001</c:v>
                </c:pt>
                <c:pt idx="2">
                  <c:v>9.7383139999999993E-2</c:v>
                </c:pt>
                <c:pt idx="3">
                  <c:v>9.9271999999999999E-2</c:v>
                </c:pt>
                <c:pt idx="4">
                  <c:v>0.100578</c:v>
                </c:pt>
                <c:pt idx="5">
                  <c:v>9.5977000000000007E-2</c:v>
                </c:pt>
                <c:pt idx="6">
                  <c:v>0.104722</c:v>
                </c:pt>
                <c:pt idx="7">
                  <c:v>0.111168</c:v>
                </c:pt>
                <c:pt idx="8">
                  <c:v>0.10986799999999999</c:v>
                </c:pt>
                <c:pt idx="9">
                  <c:v>0.105144</c:v>
                </c:pt>
                <c:pt idx="10">
                  <c:v>0.104231</c:v>
                </c:pt>
                <c:pt idx="11">
                  <c:v>0.103869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2272"/>
        <c:axId val="239883328"/>
      </c:lineChart>
      <c:catAx>
        <c:axId val="23922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9883328"/>
        <c:crosses val="autoZero"/>
        <c:auto val="1"/>
        <c:lblAlgn val="ctr"/>
        <c:lblOffset val="100"/>
        <c:noMultiLvlLbl val="0"/>
      </c:catAx>
      <c:valAx>
        <c:axId val="2398833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31452674106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92222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050736544"/>
          <c:y val="2.2161373086791118E-2"/>
          <c:w val="0.3512889344116537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'16_g'!$AJ$39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'16_g'!$AK$39:$AV$39</c:f>
              <c:numCache>
                <c:formatCode>#,##0.000_ ;\-#,##0.000\ </c:formatCode>
                <c:ptCount val="12"/>
                <c:pt idx="0">
                  <c:v>9.8058999999999993E-2</c:v>
                </c:pt>
                <c:pt idx="1">
                  <c:v>0.19931499999999999</c:v>
                </c:pt>
                <c:pt idx="2">
                  <c:v>0.29451099999999997</c:v>
                </c:pt>
                <c:pt idx="3">
                  <c:v>0.39137149999999998</c:v>
                </c:pt>
                <c:pt idx="4">
                  <c:v>0.48830099999999999</c:v>
                </c:pt>
                <c:pt idx="5">
                  <c:v>0.58309</c:v>
                </c:pt>
                <c:pt idx="6">
                  <c:v>0.69123699999999999</c:v>
                </c:pt>
                <c:pt idx="7">
                  <c:v>0.81217399999999995</c:v>
                </c:pt>
                <c:pt idx="8">
                  <c:v>0.92271099999999995</c:v>
                </c:pt>
                <c:pt idx="9">
                  <c:v>1.02755</c:v>
                </c:pt>
                <c:pt idx="10">
                  <c:v>1.1286620000000001</c:v>
                </c:pt>
                <c:pt idx="11">
                  <c:v>1.233023</c:v>
                </c:pt>
              </c:numCache>
            </c:numRef>
          </c:val>
        </c:ser>
        <c:ser>
          <c:idx val="0"/>
          <c:order val="2"/>
          <c:tx>
            <c:strRef>
              <c:f>'16_g'!$AJ$41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'16_g'!$AK$41:$AV$41</c:f>
              <c:numCache>
                <c:formatCode>#,##0.000_ ;\-#,##0.000\ </c:formatCode>
                <c:ptCount val="12"/>
                <c:pt idx="0">
                  <c:v>0.100191</c:v>
                </c:pt>
                <c:pt idx="1">
                  <c:v>0.20323099999999999</c:v>
                </c:pt>
                <c:pt idx="2">
                  <c:v>0.30061413999999997</c:v>
                </c:pt>
                <c:pt idx="3">
                  <c:v>0.39988614</c:v>
                </c:pt>
                <c:pt idx="4">
                  <c:v>0.50046414000000006</c:v>
                </c:pt>
                <c:pt idx="5">
                  <c:v>0.59644114000000004</c:v>
                </c:pt>
                <c:pt idx="6">
                  <c:v>0.70116314000000002</c:v>
                </c:pt>
                <c:pt idx="7">
                  <c:v>0.81233114000000006</c:v>
                </c:pt>
                <c:pt idx="8">
                  <c:v>0.92219914000000003</c:v>
                </c:pt>
                <c:pt idx="9">
                  <c:v>1.0273431399999999</c:v>
                </c:pt>
                <c:pt idx="10">
                  <c:v>1.1315741399999999</c:v>
                </c:pt>
                <c:pt idx="11">
                  <c:v>1.2354431399999999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2651136"/>
        <c:axId val="239885632"/>
      </c:barChart>
      <c:lineChart>
        <c:grouping val="standard"/>
        <c:varyColors val="0"/>
        <c:ser>
          <c:idx val="3"/>
          <c:order val="1"/>
          <c:tx>
            <c:strRef>
              <c:f>'16_g'!$AJ$40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'16_g'!$AK$37:$AV$37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'16_g'!$AK$40:$AV$40</c:f>
              <c:numCache>
                <c:formatCode>#,##0.000_ ;\-#,##0.000\ </c:formatCode>
                <c:ptCount val="12"/>
                <c:pt idx="0">
                  <c:v>0.101034</c:v>
                </c:pt>
                <c:pt idx="1">
                  <c:v>0.206652</c:v>
                </c:pt>
                <c:pt idx="2">
                  <c:v>0.30638599999999999</c:v>
                </c:pt>
                <c:pt idx="3">
                  <c:v>0.414719</c:v>
                </c:pt>
                <c:pt idx="4">
                  <c:v>0.51841400000000004</c:v>
                </c:pt>
                <c:pt idx="5">
                  <c:v>0.61879400000000007</c:v>
                </c:pt>
                <c:pt idx="6">
                  <c:v>0.73132500000000011</c:v>
                </c:pt>
                <c:pt idx="7">
                  <c:v>0.85279000000000016</c:v>
                </c:pt>
                <c:pt idx="8">
                  <c:v>0.97130000000000016</c:v>
                </c:pt>
                <c:pt idx="9">
                  <c:v>1.0859660000000002</c:v>
                </c:pt>
                <c:pt idx="10">
                  <c:v>1.1988210000000001</c:v>
                </c:pt>
                <c:pt idx="11">
                  <c:v>1.3089200000000001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1136"/>
        <c:axId val="239885632"/>
      </c:lineChart>
      <c:catAx>
        <c:axId val="2426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9885632"/>
        <c:crosses val="autoZero"/>
        <c:auto val="1"/>
        <c:lblAlgn val="ctr"/>
        <c:lblOffset val="100"/>
        <c:noMultiLvlLbl val="0"/>
      </c:catAx>
      <c:valAx>
        <c:axId val="2398856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1025040789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511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3699368658"/>
          <c:y val="2.2161373086791118E-2"/>
          <c:w val="0.331809463006313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'16_g'!$AY$18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'16_g'!$AZ$16:$BK$16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'16_g'!$AZ$18:$BK$18</c:f>
              <c:numCache>
                <c:formatCode>#,##0.000_ ;\-#,##0.000\ </c:formatCode>
                <c:ptCount val="12"/>
                <c:pt idx="0">
                  <c:v>3.6090880000000006E-2</c:v>
                </c:pt>
                <c:pt idx="1">
                  <c:v>3.0017089999999996E-2</c:v>
                </c:pt>
                <c:pt idx="2">
                  <c:v>3.603470000000001E-2</c:v>
                </c:pt>
                <c:pt idx="3">
                  <c:v>3.4616350000000004E-2</c:v>
                </c:pt>
                <c:pt idx="4">
                  <c:v>3.4864950000000013E-2</c:v>
                </c:pt>
                <c:pt idx="5">
                  <c:v>2.9971279999999999E-2</c:v>
                </c:pt>
                <c:pt idx="6">
                  <c:v>3.053875E-2</c:v>
                </c:pt>
                <c:pt idx="7">
                  <c:v>2.5901139999999986E-2</c:v>
                </c:pt>
                <c:pt idx="8">
                  <c:v>2.8644170000000014E-2</c:v>
                </c:pt>
                <c:pt idx="9">
                  <c:v>3.2963719999999974E-2</c:v>
                </c:pt>
                <c:pt idx="10">
                  <c:v>3.2230119999999994E-2</c:v>
                </c:pt>
                <c:pt idx="11">
                  <c:v>3.4749750000000003E-2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'16_g'!$AZ$16:$BK$16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'16_g'!$AZ$19:$BK$19</c:f>
              <c:numCache>
                <c:formatCode>#,##0.000_ ;\-#,##0.000\ </c:formatCode>
                <c:ptCount val="12"/>
                <c:pt idx="0">
                  <c:v>3.2837999999999999E-2</c:v>
                </c:pt>
                <c:pt idx="1">
                  <c:v>2.8597999999999998E-2</c:v>
                </c:pt>
                <c:pt idx="2">
                  <c:v>3.5647999999999999E-2</c:v>
                </c:pt>
                <c:pt idx="3">
                  <c:v>3.1151000000000002E-2</c:v>
                </c:pt>
                <c:pt idx="4">
                  <c:v>2.7999E-2</c:v>
                </c:pt>
                <c:pt idx="5">
                  <c:v>3.3009999999999998E-2</c:v>
                </c:pt>
                <c:pt idx="6">
                  <c:v>3.2350999999999998E-2</c:v>
                </c:pt>
                <c:pt idx="7">
                  <c:v>2.8794E-2</c:v>
                </c:pt>
                <c:pt idx="8">
                  <c:v>2.8162E-2</c:v>
                </c:pt>
                <c:pt idx="9">
                  <c:v>2.8768999999999999E-2</c:v>
                </c:pt>
                <c:pt idx="10">
                  <c:v>3.2736000000000001E-2</c:v>
                </c:pt>
                <c:pt idx="11">
                  <c:v>2.9124000000000001E-2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'16_g'!$AY$20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'16_g'!$AZ$16:$BK$16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'16_g'!$AZ$20:$BK$20</c:f>
              <c:numCache>
                <c:formatCode>#,##0.000_ ;\-#,##0.000\ </c:formatCode>
                <c:ptCount val="12"/>
                <c:pt idx="0">
                  <c:v>2.9325359999999984E-2</c:v>
                </c:pt>
                <c:pt idx="1">
                  <c:v>3.046975E-2</c:v>
                </c:pt>
                <c:pt idx="2">
                  <c:v>3.9155840000000011E-2</c:v>
                </c:pt>
                <c:pt idx="3">
                  <c:v>3.5163160000000006E-2</c:v>
                </c:pt>
                <c:pt idx="4">
                  <c:v>2.896075E-2</c:v>
                </c:pt>
                <c:pt idx="5">
                  <c:v>3.2466449999999994E-2</c:v>
                </c:pt>
                <c:pt idx="6">
                  <c:v>3.219898999999999E-2</c:v>
                </c:pt>
                <c:pt idx="7">
                  <c:v>2.6200500000000002E-2</c:v>
                </c:pt>
                <c:pt idx="8">
                  <c:v>2.1433910000000004E-2</c:v>
                </c:pt>
                <c:pt idx="9">
                  <c:v>2.4455579999999987E-2</c:v>
                </c:pt>
                <c:pt idx="10">
                  <c:v>2.5707090000000012E-2</c:v>
                </c:pt>
                <c:pt idx="11">
                  <c:v>2.7046630000000006E-2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2160"/>
        <c:axId val="242378432"/>
      </c:lineChart>
      <c:catAx>
        <c:axId val="2426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378432"/>
        <c:crosses val="autoZero"/>
        <c:auto val="1"/>
        <c:lblAlgn val="ctr"/>
        <c:lblOffset val="100"/>
        <c:noMultiLvlLbl val="0"/>
      </c:catAx>
      <c:valAx>
        <c:axId val="2423784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66964801482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521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3404939959"/>
          <c:y val="2.2161373086791118E-2"/>
          <c:w val="0.3530097659506004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'00_g'!$AY$39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'00_g'!$AZ$37:$BO$37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'00_g'!$AZ$39:$BO$39</c:f>
              <c:numCache>
                <c:formatCode>_(* #,##0.00_);_(* \(#,##0.00\);_(* "-"??_);_(@_)</c:formatCode>
                <c:ptCount val="16"/>
                <c:pt idx="0">
                  <c:v>26.368307953596155</c:v>
                </c:pt>
                <c:pt idx="1">
                  <c:v>26.721559402513311</c:v>
                </c:pt>
                <c:pt idx="2">
                  <c:v>30.216211521295278</c:v>
                </c:pt>
                <c:pt idx="3">
                  <c:v>27.809380887327972</c:v>
                </c:pt>
                <c:pt idx="4">
                  <c:v>27.682386307530766</c:v>
                </c:pt>
                <c:pt idx="5">
                  <c:v>27.597419459087881</c:v>
                </c:pt>
                <c:pt idx="6">
                  <c:v>31.912772186209427</c:v>
                </c:pt>
                <c:pt idx="7">
                  <c:v>28.457596021477656</c:v>
                </c:pt>
                <c:pt idx="8">
                  <c:v>22.228984906788007</c:v>
                </c:pt>
                <c:pt idx="9">
                  <c:v>20.684771254325184</c:v>
                </c:pt>
                <c:pt idx="10">
                  <c:v>18.561300159848727</c:v>
                </c:pt>
                <c:pt idx="11">
                  <c:v>25.760926407033434</c:v>
                </c:pt>
                <c:pt idx="12">
                  <c:v>24.494315857143985</c:v>
                </c:pt>
                <c:pt idx="13">
                  <c:v>30.990850010636763</c:v>
                </c:pt>
                <c:pt idx="14">
                  <c:v>23.915510325126277</c:v>
                </c:pt>
                <c:pt idx="15">
                  <c:v>25.943889132866381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'00_g'!$AY$40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'00_g'!$AZ$37:$BO$37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'00_g'!$AZ$40:$BO$40</c:f>
              <c:numCache>
                <c:formatCode>_(* #,##0.00_);_(* \(#,##0.00\);_(* "-"??_);_(@_)</c:formatCode>
                <c:ptCount val="16"/>
                <c:pt idx="0">
                  <c:v>25.000336906515802</c:v>
                </c:pt>
                <c:pt idx="1">
                  <c:v>25.000336906515802</c:v>
                </c:pt>
                <c:pt idx="2">
                  <c:v>25.000336906515802</c:v>
                </c:pt>
                <c:pt idx="3">
                  <c:v>25.000336906515802</c:v>
                </c:pt>
                <c:pt idx="4">
                  <c:v>25.000336906515802</c:v>
                </c:pt>
                <c:pt idx="5">
                  <c:v>25.000336906515802</c:v>
                </c:pt>
                <c:pt idx="6">
                  <c:v>25.000336906515802</c:v>
                </c:pt>
                <c:pt idx="7">
                  <c:v>25.000336906515802</c:v>
                </c:pt>
                <c:pt idx="8">
                  <c:v>25.000336906515802</c:v>
                </c:pt>
                <c:pt idx="9">
                  <c:v>25.000336906515802</c:v>
                </c:pt>
                <c:pt idx="10">
                  <c:v>25.000336906515802</c:v>
                </c:pt>
                <c:pt idx="11">
                  <c:v>25.000336906515802</c:v>
                </c:pt>
                <c:pt idx="12">
                  <c:v>25.000336906515802</c:v>
                </c:pt>
                <c:pt idx="13">
                  <c:v>25.000336906515802</c:v>
                </c:pt>
                <c:pt idx="14">
                  <c:v>25.000336906515802</c:v>
                </c:pt>
                <c:pt idx="15">
                  <c:v>25.000336906515802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'00_g'!$AY$41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'00_g'!$AZ$37:$BO$37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'00_g'!$AZ$41:$BO$41</c:f>
              <c:numCache>
                <c:formatCode>_(* #,##0.00_);_(* \(#,##0.00\);_(* "-"??_);_(@_)</c:formatCode>
                <c:ptCount val="16"/>
                <c:pt idx="0">
                  <c:v>29.351898823447168</c:v>
                </c:pt>
                <c:pt idx="1">
                  <c:v>27.182677341924759</c:v>
                </c:pt>
                <c:pt idx="2">
                  <c:v>28.37052719714746</c:v>
                </c:pt>
                <c:pt idx="3">
                  <c:v>28.303560641546394</c:v>
                </c:pt>
                <c:pt idx="4">
                  <c:v>25.948195324887546</c:v>
                </c:pt>
                <c:pt idx="5">
                  <c:v>23.910499944222181</c:v>
                </c:pt>
                <c:pt idx="6">
                  <c:v>31.893428874320961</c:v>
                </c:pt>
                <c:pt idx="7">
                  <c:v>27.833202951595609</c:v>
                </c:pt>
                <c:pt idx="8">
                  <c:v>20.226662093861933</c:v>
                </c:pt>
                <c:pt idx="9">
                  <c:v>24.090266668117575</c:v>
                </c:pt>
                <c:pt idx="10">
                  <c:v>24.229509016444066</c:v>
                </c:pt>
                <c:pt idx="11">
                  <c:v>26.11857106546303</c:v>
                </c:pt>
                <c:pt idx="12">
                  <c:v>28.093279327401305</c:v>
                </c:pt>
                <c:pt idx="13">
                  <c:v>24.76048817336445</c:v>
                </c:pt>
                <c:pt idx="14">
                  <c:v>21.885952249666925</c:v>
                </c:pt>
                <c:pt idx="15">
                  <c:v>25.837137678513482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30496"/>
        <c:axId val="170602432"/>
      </c:lineChart>
      <c:catAx>
        <c:axId val="17073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0602432"/>
        <c:crosses val="autoZero"/>
        <c:auto val="1"/>
        <c:lblAlgn val="ctr"/>
        <c:lblOffset val="100"/>
        <c:noMultiLvlLbl val="0"/>
      </c:catAx>
      <c:valAx>
        <c:axId val="1706024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600804858552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07304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0769178945"/>
          <c:y val="2.2161373086791118E-2"/>
          <c:w val="0.283030776345488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'16_g'!$AY$39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'16_g'!$AZ$37:$BO$37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'16_g'!$AZ$39:$BO$39</c:f>
              <c:numCache>
                <c:formatCode>_(* #,##0.00_);_(* \(#,##0.00\);_(* "-"??_);_(@_)</c:formatCode>
                <c:ptCount val="16"/>
                <c:pt idx="0">
                  <c:v>26.903400882654537</c:v>
                </c:pt>
                <c:pt idx="1">
                  <c:v>22.866141110870476</c:v>
                </c:pt>
                <c:pt idx="2">
                  <c:v>27.459047311337979</c:v>
                </c:pt>
                <c:pt idx="3">
                  <c:v>25.751096668284951</c:v>
                </c:pt>
                <c:pt idx="4">
                  <c:v>26.328855612223752</c:v>
                </c:pt>
                <c:pt idx="5">
                  <c:v>26.427566268932427</c:v>
                </c:pt>
                <c:pt idx="6">
                  <c:v>23.797253833203065</c:v>
                </c:pt>
                <c:pt idx="7">
                  <c:v>25.648209846994519</c:v>
                </c:pt>
                <c:pt idx="8">
                  <c:v>21.69596345494298</c:v>
                </c:pt>
                <c:pt idx="9">
                  <c:v>17.435371135593144</c:v>
                </c:pt>
                <c:pt idx="10">
                  <c:v>20.543296835322622</c:v>
                </c:pt>
                <c:pt idx="11">
                  <c:v>23.599913137490287</c:v>
                </c:pt>
                <c:pt idx="12">
                  <c:v>23.914529135723708</c:v>
                </c:pt>
                <c:pt idx="13">
                  <c:v>24.167734702098347</c:v>
                </c:pt>
                <c:pt idx="14">
                  <c:v>24.979917080455678</c:v>
                </c:pt>
                <c:pt idx="15">
                  <c:v>23.791330758122523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'16_g'!$AY$40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'16_g'!$AZ$37:$BO$37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'16_g'!$AZ$40:$BO$40</c:f>
              <c:numCache>
                <c:formatCode>_(* #,##0.00_);_(* \(#,##0.00\);_(* "-"??_);_(@_)</c:formatCode>
                <c:ptCount val="16"/>
                <c:pt idx="0">
                  <c:v>21.999880817591325</c:v>
                </c:pt>
                <c:pt idx="1">
                  <c:v>21.999880817591325</c:v>
                </c:pt>
                <c:pt idx="2">
                  <c:v>21.999880817591325</c:v>
                </c:pt>
                <c:pt idx="3">
                  <c:v>21.999880817591325</c:v>
                </c:pt>
                <c:pt idx="4">
                  <c:v>21.999880817591325</c:v>
                </c:pt>
                <c:pt idx="5">
                  <c:v>21.999880817591325</c:v>
                </c:pt>
                <c:pt idx="6">
                  <c:v>21.999880817591325</c:v>
                </c:pt>
                <c:pt idx="7">
                  <c:v>21.999880817591325</c:v>
                </c:pt>
                <c:pt idx="8">
                  <c:v>21.999880817591325</c:v>
                </c:pt>
                <c:pt idx="9">
                  <c:v>21.999880817591325</c:v>
                </c:pt>
                <c:pt idx="10">
                  <c:v>21.999880817591325</c:v>
                </c:pt>
                <c:pt idx="11">
                  <c:v>21.999880817591325</c:v>
                </c:pt>
                <c:pt idx="12">
                  <c:v>21.999880817591325</c:v>
                </c:pt>
                <c:pt idx="13">
                  <c:v>21.999880817591325</c:v>
                </c:pt>
                <c:pt idx="14">
                  <c:v>21.999880817591325</c:v>
                </c:pt>
                <c:pt idx="15">
                  <c:v>21.999880817591325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'16_g'!$AY$41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'16_g'!$AZ$37:$BO$37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'16_g'!$AZ$41:$BO$41</c:f>
              <c:numCache>
                <c:formatCode>_(* #,##0.00_);_(* \(#,##0.00\);_(* "-"??_);_(@_)</c:formatCode>
                <c:ptCount val="16"/>
                <c:pt idx="0">
                  <c:v>22.642205200949121</c:v>
                </c:pt>
                <c:pt idx="1">
                  <c:v>22.822115987783665</c:v>
                </c:pt>
                <c:pt idx="2">
                  <c:v>28.677407726350385</c:v>
                </c:pt>
                <c:pt idx="3">
                  <c:v>24.764663499506419</c:v>
                </c:pt>
                <c:pt idx="4">
                  <c:v>26.156222821470219</c:v>
                </c:pt>
                <c:pt idx="5">
                  <c:v>22.356823730350957</c:v>
                </c:pt>
                <c:pt idx="6">
                  <c:v>25.27684362262147</c:v>
                </c:pt>
                <c:pt idx="7">
                  <c:v>24.690106453747802</c:v>
                </c:pt>
                <c:pt idx="8">
                  <c:v>23.503085679682741</c:v>
                </c:pt>
                <c:pt idx="9">
                  <c:v>19.073149957959796</c:v>
                </c:pt>
                <c:pt idx="10">
                  <c:v>16.32414181941451</c:v>
                </c:pt>
                <c:pt idx="11">
                  <c:v>22.992884785340571</c:v>
                </c:pt>
                <c:pt idx="12">
                  <c:v>18.870107449422282</c:v>
                </c:pt>
                <c:pt idx="13">
                  <c:v>19.784106415601467</c:v>
                </c:pt>
                <c:pt idx="14">
                  <c:v>20.659588163766241</c:v>
                </c:pt>
                <c:pt idx="15">
                  <c:v>22.201553215793034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2672"/>
        <c:axId val="242380736"/>
      </c:lineChart>
      <c:catAx>
        <c:axId val="24265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380736"/>
        <c:crosses val="autoZero"/>
        <c:auto val="1"/>
        <c:lblAlgn val="ctr"/>
        <c:lblOffset val="100"/>
        <c:noMultiLvlLbl val="0"/>
      </c:catAx>
      <c:valAx>
        <c:axId val="2423807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24880543779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526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670882049"/>
          <c:y val="2.2161373086791118E-2"/>
          <c:w val="0.2830307924796113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'16_g'!$A$64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'16_g'!$B$62:$M$62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'16_g'!$B$64:$M$64</c:f>
              <c:numCache>
                <c:formatCode>#,##0.00_ ;\-#,##0.00\ </c:formatCode>
                <c:ptCount val="12"/>
                <c:pt idx="0">
                  <c:v>2.0390309099999997</c:v>
                </c:pt>
                <c:pt idx="1">
                  <c:v>2.09218057</c:v>
                </c:pt>
                <c:pt idx="2">
                  <c:v>1.9879583799999998</c:v>
                </c:pt>
                <c:pt idx="3">
                  <c:v>2.0181679899999998</c:v>
                </c:pt>
                <c:pt idx="4">
                  <c:v>2.0153325300000002</c:v>
                </c:pt>
                <c:pt idx="5">
                  <c:v>1.96988875</c:v>
                </c:pt>
                <c:pt idx="6">
                  <c:v>2.2240766399999998</c:v>
                </c:pt>
                <c:pt idx="7">
                  <c:v>2.4746829300000002</c:v>
                </c:pt>
                <c:pt idx="8">
                  <c:v>2.2772406899999997</c:v>
                </c:pt>
                <c:pt idx="9">
                  <c:v>2.1449899699999997</c:v>
                </c:pt>
                <c:pt idx="10">
                  <c:v>2.1293243300000002</c:v>
                </c:pt>
                <c:pt idx="11">
                  <c:v>2.1785002400000004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'16_g'!$A$65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'16_g'!$B$62:$M$62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'16_g'!$B$65:$M$65</c:f>
              <c:numCache>
                <c:formatCode>#,##0.00_ ;\-#,##0.00\ </c:formatCode>
                <c:ptCount val="12"/>
                <c:pt idx="0">
                  <c:v>2.0980439999999998</c:v>
                </c:pt>
                <c:pt idx="1">
                  <c:v>2.4471289999999999</c:v>
                </c:pt>
                <c:pt idx="2">
                  <c:v>2.0913930000000001</c:v>
                </c:pt>
                <c:pt idx="3">
                  <c:v>2.2539470000000001</c:v>
                </c:pt>
                <c:pt idx="4">
                  <c:v>2.182299</c:v>
                </c:pt>
                <c:pt idx="5">
                  <c:v>2.1307939999999999</c:v>
                </c:pt>
                <c:pt idx="6">
                  <c:v>2.410536</c:v>
                </c:pt>
                <c:pt idx="7">
                  <c:v>2.4838149999999999</c:v>
                </c:pt>
                <c:pt idx="8">
                  <c:v>2.4469449999999999</c:v>
                </c:pt>
                <c:pt idx="9">
                  <c:v>2.3483909999999999</c:v>
                </c:pt>
                <c:pt idx="10">
                  <c:v>2.335067</c:v>
                </c:pt>
                <c:pt idx="11">
                  <c:v>2.3176190000000001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'16_g'!$A$66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'16_g'!$B$62:$M$62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'16_g'!$B$66:$M$66</c:f>
              <c:numCache>
                <c:formatCode>#,##0.00_ ;\-#,##0.00\ </c:formatCode>
                <c:ptCount val="12"/>
                <c:pt idx="0">
                  <c:v>2.7116601</c:v>
                </c:pt>
                <c:pt idx="1">
                  <c:v>2.2000717599999997</c:v>
                </c:pt>
                <c:pt idx="2">
                  <c:v>2.0453417800000002</c:v>
                </c:pt>
                <c:pt idx="3">
                  <c:v>2.07292589</c:v>
                </c:pt>
                <c:pt idx="4">
                  <c:v>2.0984528900000003</c:v>
                </c:pt>
                <c:pt idx="5">
                  <c:v>2.0092042299999999</c:v>
                </c:pt>
                <c:pt idx="6">
                  <c:v>2.19898836</c:v>
                </c:pt>
                <c:pt idx="7">
                  <c:v>2.29874321</c:v>
                </c:pt>
                <c:pt idx="8">
                  <c:v>2.2966512400000001</c:v>
                </c:pt>
                <c:pt idx="9">
                  <c:v>2.19767351</c:v>
                </c:pt>
                <c:pt idx="10">
                  <c:v>2.2707057199999996</c:v>
                </c:pt>
                <c:pt idx="11">
                  <c:v>2.2741024400000001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3184"/>
        <c:axId val="242383040"/>
      </c:lineChart>
      <c:catAx>
        <c:axId val="2426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383040"/>
        <c:crosses val="autoZero"/>
        <c:auto val="1"/>
        <c:lblAlgn val="ctr"/>
        <c:lblOffset val="100"/>
        <c:noMultiLvlLbl val="0"/>
      </c:catAx>
      <c:valAx>
        <c:axId val="2423830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531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'16_g'!$B$85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'16_g'!$C$85:$N$85</c:f>
              <c:numCache>
                <c:formatCode>#,##0.00_ ;\-#,##0.00\ </c:formatCode>
                <c:ptCount val="12"/>
                <c:pt idx="0">
                  <c:v>2.0390309099999997</c:v>
                </c:pt>
                <c:pt idx="1">
                  <c:v>4.1312114799999993</c:v>
                </c:pt>
                <c:pt idx="2">
                  <c:v>6.1191698599999995</c:v>
                </c:pt>
                <c:pt idx="3">
                  <c:v>8.1373378499999998</c:v>
                </c:pt>
                <c:pt idx="4">
                  <c:v>10.15267038</c:v>
                </c:pt>
                <c:pt idx="5">
                  <c:v>12.122559129999999</c:v>
                </c:pt>
                <c:pt idx="6">
                  <c:v>14.346635769999999</c:v>
                </c:pt>
                <c:pt idx="7">
                  <c:v>16.821318699999999</c:v>
                </c:pt>
                <c:pt idx="8">
                  <c:v>19.098559389999998</c:v>
                </c:pt>
                <c:pt idx="9">
                  <c:v>21.243549359999999</c:v>
                </c:pt>
                <c:pt idx="10">
                  <c:v>23.372873689999999</c:v>
                </c:pt>
                <c:pt idx="11">
                  <c:v>25.55137393</c:v>
                </c:pt>
              </c:numCache>
            </c:numRef>
          </c:val>
        </c:ser>
        <c:ser>
          <c:idx val="0"/>
          <c:order val="2"/>
          <c:tx>
            <c:strRef>
              <c:f>'16_g'!$B$87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'16_g'!$C$87:$N$87</c:f>
              <c:numCache>
                <c:formatCode>#,##0.00_ ;\-#,##0.00\ </c:formatCode>
                <c:ptCount val="12"/>
                <c:pt idx="0">
                  <c:v>2.7116601</c:v>
                </c:pt>
                <c:pt idx="1">
                  <c:v>4.9117318599999997</c:v>
                </c:pt>
                <c:pt idx="2">
                  <c:v>6.9570736399999999</c:v>
                </c:pt>
                <c:pt idx="3">
                  <c:v>9.0299995299999996</c:v>
                </c:pt>
                <c:pt idx="4">
                  <c:v>11.12845242</c:v>
                </c:pt>
                <c:pt idx="5">
                  <c:v>13.13765665</c:v>
                </c:pt>
                <c:pt idx="6">
                  <c:v>15.33664501</c:v>
                </c:pt>
                <c:pt idx="7">
                  <c:v>17.635388219999999</c:v>
                </c:pt>
                <c:pt idx="8">
                  <c:v>19.932039459999999</c:v>
                </c:pt>
                <c:pt idx="9">
                  <c:v>22.12971297</c:v>
                </c:pt>
                <c:pt idx="10">
                  <c:v>24.400418689999999</c:v>
                </c:pt>
                <c:pt idx="11">
                  <c:v>26.674521129999999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2653696"/>
        <c:axId val="242606656"/>
      </c:barChart>
      <c:lineChart>
        <c:grouping val="standard"/>
        <c:varyColors val="0"/>
        <c:ser>
          <c:idx val="3"/>
          <c:order val="1"/>
          <c:tx>
            <c:strRef>
              <c:f>'16_g'!$B$86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'16_g'!$C$83:$N$83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'16_g'!$C$86:$N$86</c:f>
              <c:numCache>
                <c:formatCode>#,##0.00_ ;\-#,##0.00\ </c:formatCode>
                <c:ptCount val="12"/>
                <c:pt idx="0">
                  <c:v>2.0980439999999998</c:v>
                </c:pt>
                <c:pt idx="1">
                  <c:v>4.5451730000000001</c:v>
                </c:pt>
                <c:pt idx="2">
                  <c:v>6.6365660000000002</c:v>
                </c:pt>
                <c:pt idx="3">
                  <c:v>8.8905130000000003</c:v>
                </c:pt>
                <c:pt idx="4">
                  <c:v>11.072812000000001</c:v>
                </c:pt>
                <c:pt idx="5">
                  <c:v>13.203606000000001</c:v>
                </c:pt>
                <c:pt idx="6">
                  <c:v>15.614142000000001</c:v>
                </c:pt>
                <c:pt idx="7">
                  <c:v>18.097957000000001</c:v>
                </c:pt>
                <c:pt idx="8">
                  <c:v>20.544902</c:v>
                </c:pt>
                <c:pt idx="9">
                  <c:v>22.893293</c:v>
                </c:pt>
                <c:pt idx="10">
                  <c:v>25.228359999999999</c:v>
                </c:pt>
                <c:pt idx="11">
                  <c:v>27.545978999999999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3696"/>
        <c:axId val="242606656"/>
      </c:lineChart>
      <c:catAx>
        <c:axId val="24265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06656"/>
        <c:crosses val="autoZero"/>
        <c:auto val="1"/>
        <c:lblAlgn val="ctr"/>
        <c:lblOffset val="100"/>
        <c:noMultiLvlLbl val="0"/>
      </c:catAx>
      <c:valAx>
        <c:axId val="2426066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536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'16_g'!$S$64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'16_g'!$T$62:$AE$62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'16_g'!$T$64:$AE$64</c:f>
              <c:numCache>
                <c:formatCode>#,##0.00_ ;\-#,##0.00\ </c:formatCode>
                <c:ptCount val="12"/>
                <c:pt idx="0">
                  <c:v>0.98139747999999993</c:v>
                </c:pt>
                <c:pt idx="1">
                  <c:v>0.87234332000000003</c:v>
                </c:pt>
                <c:pt idx="2">
                  <c:v>0.88881756000000012</c:v>
                </c:pt>
                <c:pt idx="3">
                  <c:v>0.87784121999999998</c:v>
                </c:pt>
                <c:pt idx="4">
                  <c:v>0.95450908000000023</c:v>
                </c:pt>
                <c:pt idx="5">
                  <c:v>0.93470149999999985</c:v>
                </c:pt>
                <c:pt idx="6">
                  <c:v>0.96238478999999977</c:v>
                </c:pt>
                <c:pt idx="7">
                  <c:v>0.99714610000000015</c:v>
                </c:pt>
                <c:pt idx="8">
                  <c:v>0.99444360999999992</c:v>
                </c:pt>
                <c:pt idx="9">
                  <c:v>0.91052173999999997</c:v>
                </c:pt>
                <c:pt idx="10">
                  <c:v>0.97572253999999992</c:v>
                </c:pt>
                <c:pt idx="11">
                  <c:v>0.87543979999999988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'16_g'!$S$65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'16_g'!$T$62:$AE$62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'16_g'!$T$65:$AE$65</c:f>
              <c:numCache>
                <c:formatCode>#,##0.00_ ;\-#,##0.00\ </c:formatCode>
                <c:ptCount val="12"/>
                <c:pt idx="0">
                  <c:v>1.004464</c:v>
                </c:pt>
                <c:pt idx="1">
                  <c:v>0.918435</c:v>
                </c:pt>
                <c:pt idx="2">
                  <c:v>0.96592</c:v>
                </c:pt>
                <c:pt idx="3">
                  <c:v>1.046217</c:v>
                </c:pt>
                <c:pt idx="4">
                  <c:v>0.99701799999999996</c:v>
                </c:pt>
                <c:pt idx="5">
                  <c:v>0.98669899999999999</c:v>
                </c:pt>
                <c:pt idx="6">
                  <c:v>0.949156</c:v>
                </c:pt>
                <c:pt idx="7">
                  <c:v>1.0570870000000001</c:v>
                </c:pt>
                <c:pt idx="8">
                  <c:v>1.0522959999999999</c:v>
                </c:pt>
                <c:pt idx="9">
                  <c:v>0.99802199999999996</c:v>
                </c:pt>
                <c:pt idx="10">
                  <c:v>1.1063130000000001</c:v>
                </c:pt>
                <c:pt idx="11">
                  <c:v>1.0111650000000001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'16_g'!$S$66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'16_g'!$T$62:$AE$62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'16_g'!$T$66:$AE$66</c:f>
              <c:numCache>
                <c:formatCode>#,##0.00_ ;\-#,##0.00\ </c:formatCode>
                <c:ptCount val="12"/>
                <c:pt idx="0">
                  <c:v>0.87427484000000011</c:v>
                </c:pt>
                <c:pt idx="1">
                  <c:v>0.89729745000000005</c:v>
                </c:pt>
                <c:pt idx="2">
                  <c:v>1.0894944700000002</c:v>
                </c:pt>
                <c:pt idx="3">
                  <c:v>0.91024853000000006</c:v>
                </c:pt>
                <c:pt idx="4">
                  <c:v>0.89768084999999997</c:v>
                </c:pt>
                <c:pt idx="5">
                  <c:v>1.0020404499999997</c:v>
                </c:pt>
                <c:pt idx="6">
                  <c:v>0.91356322999999995</c:v>
                </c:pt>
                <c:pt idx="7">
                  <c:v>0.95168834999999985</c:v>
                </c:pt>
                <c:pt idx="8">
                  <c:v>0.93579648999999998</c:v>
                </c:pt>
                <c:pt idx="9">
                  <c:v>0.91546402000000004</c:v>
                </c:pt>
                <c:pt idx="10">
                  <c:v>0.90855110999999988</c:v>
                </c:pt>
                <c:pt idx="11">
                  <c:v>1.0710437499999999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44352"/>
        <c:axId val="242608960"/>
      </c:lineChart>
      <c:catAx>
        <c:axId val="23984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08960"/>
        <c:crosses val="autoZero"/>
        <c:auto val="1"/>
        <c:lblAlgn val="ctr"/>
        <c:lblOffset val="100"/>
        <c:noMultiLvlLbl val="0"/>
      </c:catAx>
      <c:valAx>
        <c:axId val="2426089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98443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'16_g'!$T$85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'16_g'!$U$85:$AF$85</c:f>
              <c:numCache>
                <c:formatCode>#,##0.00_ ;\-#,##0.00\ </c:formatCode>
                <c:ptCount val="12"/>
                <c:pt idx="0">
                  <c:v>0.98139747999999993</c:v>
                </c:pt>
                <c:pt idx="1">
                  <c:v>1.8537408</c:v>
                </c:pt>
                <c:pt idx="2">
                  <c:v>2.7425583600000003</c:v>
                </c:pt>
                <c:pt idx="3">
                  <c:v>3.6203995800000004</c:v>
                </c:pt>
                <c:pt idx="4">
                  <c:v>4.5749086600000002</c:v>
                </c:pt>
                <c:pt idx="5">
                  <c:v>5.5096101600000003</c:v>
                </c:pt>
                <c:pt idx="6">
                  <c:v>6.47199495</c:v>
                </c:pt>
                <c:pt idx="7">
                  <c:v>7.4691410500000002</c:v>
                </c:pt>
                <c:pt idx="8">
                  <c:v>8.4635846600000004</c:v>
                </c:pt>
                <c:pt idx="9">
                  <c:v>9.3741064000000005</c:v>
                </c:pt>
                <c:pt idx="10">
                  <c:v>10.34982894</c:v>
                </c:pt>
                <c:pt idx="11">
                  <c:v>11.225268740000001</c:v>
                </c:pt>
              </c:numCache>
            </c:numRef>
          </c:val>
        </c:ser>
        <c:ser>
          <c:idx val="0"/>
          <c:order val="2"/>
          <c:tx>
            <c:strRef>
              <c:f>'16_g'!$T$87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'16_g'!$U$87:$AF$87</c:f>
              <c:numCache>
                <c:formatCode>#,##0.00_ ;\-#,##0.00\ </c:formatCode>
                <c:ptCount val="12"/>
                <c:pt idx="0">
                  <c:v>0.87427484000000011</c:v>
                </c:pt>
                <c:pt idx="1">
                  <c:v>1.7715722900000002</c:v>
                </c:pt>
                <c:pt idx="2">
                  <c:v>2.8610667600000004</c:v>
                </c:pt>
                <c:pt idx="3">
                  <c:v>3.7713152900000004</c:v>
                </c:pt>
                <c:pt idx="4">
                  <c:v>4.6689961400000008</c:v>
                </c:pt>
                <c:pt idx="5">
                  <c:v>5.6710365900000008</c:v>
                </c:pt>
                <c:pt idx="6">
                  <c:v>6.5845998200000011</c:v>
                </c:pt>
                <c:pt idx="7">
                  <c:v>7.5362881700000006</c:v>
                </c:pt>
                <c:pt idx="8">
                  <c:v>8.4720846600000002</c:v>
                </c:pt>
                <c:pt idx="9">
                  <c:v>9.3875486800000001</c:v>
                </c:pt>
                <c:pt idx="10">
                  <c:v>10.29609979</c:v>
                </c:pt>
                <c:pt idx="11">
                  <c:v>11.367143539999999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2654720"/>
        <c:axId val="242611264"/>
      </c:barChart>
      <c:lineChart>
        <c:grouping val="standard"/>
        <c:varyColors val="0"/>
        <c:ser>
          <c:idx val="3"/>
          <c:order val="1"/>
          <c:tx>
            <c:strRef>
              <c:f>'16_g'!$T$86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'16_g'!$U$83:$AF$83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'16_g'!$U$86:$AF$86</c:f>
              <c:numCache>
                <c:formatCode>#,##0.00_ ;\-#,##0.00\ </c:formatCode>
                <c:ptCount val="12"/>
                <c:pt idx="0">
                  <c:v>1.004464</c:v>
                </c:pt>
                <c:pt idx="1">
                  <c:v>1.9228990000000001</c:v>
                </c:pt>
                <c:pt idx="2">
                  <c:v>2.8888190000000002</c:v>
                </c:pt>
                <c:pt idx="3">
                  <c:v>3.9350360000000002</c:v>
                </c:pt>
                <c:pt idx="4">
                  <c:v>4.9320539999999999</c:v>
                </c:pt>
                <c:pt idx="5">
                  <c:v>5.9187529999999997</c:v>
                </c:pt>
                <c:pt idx="6">
                  <c:v>6.867909</c:v>
                </c:pt>
                <c:pt idx="7">
                  <c:v>7.9249960000000002</c:v>
                </c:pt>
                <c:pt idx="8">
                  <c:v>8.9772920000000003</c:v>
                </c:pt>
                <c:pt idx="9">
                  <c:v>9.9753140000000009</c:v>
                </c:pt>
                <c:pt idx="10">
                  <c:v>11.081627000000001</c:v>
                </c:pt>
                <c:pt idx="11">
                  <c:v>12.092792000000001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654720"/>
        <c:axId val="242611264"/>
      </c:lineChart>
      <c:catAx>
        <c:axId val="24265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11264"/>
        <c:crosses val="autoZero"/>
        <c:auto val="1"/>
        <c:lblAlgn val="ctr"/>
        <c:lblOffset val="100"/>
        <c:noMultiLvlLbl val="0"/>
      </c:catAx>
      <c:valAx>
        <c:axId val="2426112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547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'16_g'!$AI$64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'16_g'!$AJ$62:$AU$62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'16_g'!$AJ$64:$AU$64</c:f>
              <c:numCache>
                <c:formatCode>#,##0.00_ ;\-#,##0.00\ </c:formatCode>
                <c:ptCount val="12"/>
                <c:pt idx="0">
                  <c:v>1.0576334299999997</c:v>
                </c:pt>
                <c:pt idx="1">
                  <c:v>1.2198372499999999</c:v>
                </c:pt>
                <c:pt idx="2">
                  <c:v>1.0991408199999997</c:v>
                </c:pt>
                <c:pt idx="3">
                  <c:v>1.1403267699999997</c:v>
                </c:pt>
                <c:pt idx="4">
                  <c:v>1.06082345</c:v>
                </c:pt>
                <c:pt idx="5">
                  <c:v>1.0351872500000001</c:v>
                </c:pt>
                <c:pt idx="6">
                  <c:v>1.2616918500000001</c:v>
                </c:pt>
                <c:pt idx="7">
                  <c:v>1.47753683</c:v>
                </c:pt>
                <c:pt idx="8">
                  <c:v>1.2827970799999999</c:v>
                </c:pt>
                <c:pt idx="9">
                  <c:v>1.2344682299999996</c:v>
                </c:pt>
                <c:pt idx="10">
                  <c:v>1.1536017900000002</c:v>
                </c:pt>
                <c:pt idx="11">
                  <c:v>1.3030604400000005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'16_g'!$AI$65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'16_g'!$AJ$62:$AU$62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'16_g'!$AJ$65:$AU$65</c:f>
              <c:numCache>
                <c:formatCode>#,##0.00_ ;\-#,##0.00\ </c:formatCode>
                <c:ptCount val="12"/>
                <c:pt idx="0">
                  <c:v>1.0935799999999998</c:v>
                </c:pt>
                <c:pt idx="1">
                  <c:v>1.5286939999999998</c:v>
                </c:pt>
                <c:pt idx="2">
                  <c:v>1.1254729999999999</c:v>
                </c:pt>
                <c:pt idx="3">
                  <c:v>1.2077300000000002</c:v>
                </c:pt>
                <c:pt idx="4">
                  <c:v>1.185281</c:v>
                </c:pt>
                <c:pt idx="5">
                  <c:v>1.1440949999999999</c:v>
                </c:pt>
                <c:pt idx="6">
                  <c:v>1.4613800000000001</c:v>
                </c:pt>
                <c:pt idx="7">
                  <c:v>1.4267279999999998</c:v>
                </c:pt>
                <c:pt idx="8">
                  <c:v>1.394649</c:v>
                </c:pt>
                <c:pt idx="9">
                  <c:v>1.3503689999999999</c:v>
                </c:pt>
                <c:pt idx="10">
                  <c:v>1.2287539999999999</c:v>
                </c:pt>
                <c:pt idx="11">
                  <c:v>1.306454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'16_g'!$AI$66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'16_g'!$AJ$62:$AU$62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'16_g'!$AJ$66:$AU$66</c:f>
              <c:numCache>
                <c:formatCode>#,##0.00_ ;\-#,##0.00\ </c:formatCode>
                <c:ptCount val="12"/>
                <c:pt idx="0">
                  <c:v>1.83738526</c:v>
                </c:pt>
                <c:pt idx="1">
                  <c:v>1.3027743099999998</c:v>
                </c:pt>
                <c:pt idx="2">
                  <c:v>0.95584731000000001</c:v>
                </c:pt>
                <c:pt idx="3">
                  <c:v>1.16267736</c:v>
                </c:pt>
                <c:pt idx="4">
                  <c:v>1.2007720400000004</c:v>
                </c:pt>
                <c:pt idx="5">
                  <c:v>1.0071637800000002</c:v>
                </c:pt>
                <c:pt idx="6">
                  <c:v>1.2854251300000001</c:v>
                </c:pt>
                <c:pt idx="7">
                  <c:v>1.3470548600000001</c:v>
                </c:pt>
                <c:pt idx="8">
                  <c:v>1.3608547500000001</c:v>
                </c:pt>
                <c:pt idx="9">
                  <c:v>1.2822094900000001</c:v>
                </c:pt>
                <c:pt idx="10">
                  <c:v>1.3621546099999997</c:v>
                </c:pt>
                <c:pt idx="11">
                  <c:v>1.2030586900000002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93312"/>
        <c:axId val="242613568"/>
      </c:lineChart>
      <c:catAx>
        <c:axId val="24289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613568"/>
        <c:crosses val="autoZero"/>
        <c:auto val="1"/>
        <c:lblAlgn val="ctr"/>
        <c:lblOffset val="100"/>
        <c:noMultiLvlLbl val="0"/>
      </c:catAx>
      <c:valAx>
        <c:axId val="2426135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4675130615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8933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79594677177"/>
          <c:y val="2.2161373086791118E-2"/>
          <c:w val="0.4542922040532282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'16_g'!$AJ$85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'16_g'!$AK$85:$AV$85</c:f>
              <c:numCache>
                <c:formatCode>#,##0.00_ ;\-#,##0.00\ </c:formatCode>
                <c:ptCount val="12"/>
                <c:pt idx="0">
                  <c:v>1.0576334299999997</c:v>
                </c:pt>
                <c:pt idx="1">
                  <c:v>2.2774706799999995</c:v>
                </c:pt>
                <c:pt idx="2">
                  <c:v>3.3766114999999992</c:v>
                </c:pt>
                <c:pt idx="3">
                  <c:v>4.5169382699999989</c:v>
                </c:pt>
                <c:pt idx="4">
                  <c:v>5.5777617199999989</c:v>
                </c:pt>
                <c:pt idx="5">
                  <c:v>6.6129489699999988</c:v>
                </c:pt>
                <c:pt idx="6">
                  <c:v>7.8746408199999989</c:v>
                </c:pt>
                <c:pt idx="7">
                  <c:v>9.352177649999998</c:v>
                </c:pt>
                <c:pt idx="8">
                  <c:v>10.634974729999998</c:v>
                </c:pt>
                <c:pt idx="9">
                  <c:v>11.869442959999997</c:v>
                </c:pt>
                <c:pt idx="10">
                  <c:v>13.023044749999997</c:v>
                </c:pt>
                <c:pt idx="11">
                  <c:v>14.326105189999998</c:v>
                </c:pt>
              </c:numCache>
            </c:numRef>
          </c:val>
        </c:ser>
        <c:ser>
          <c:idx val="0"/>
          <c:order val="2"/>
          <c:tx>
            <c:strRef>
              <c:f>'16_g'!$AJ$87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'16_g'!$AK$83:$AV$83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'16_g'!$AK$87:$AV$87</c:f>
              <c:numCache>
                <c:formatCode>#,##0.00_ ;\-#,##0.00\ </c:formatCode>
                <c:ptCount val="12"/>
                <c:pt idx="0">
                  <c:v>1.83738526</c:v>
                </c:pt>
                <c:pt idx="1">
                  <c:v>3.1401595699999998</c:v>
                </c:pt>
                <c:pt idx="2">
                  <c:v>4.09600688</c:v>
                </c:pt>
                <c:pt idx="3">
                  <c:v>5.25868424</c:v>
                </c:pt>
                <c:pt idx="4">
                  <c:v>6.4594562800000004</c:v>
                </c:pt>
                <c:pt idx="5">
                  <c:v>7.4666200600000003</c:v>
                </c:pt>
                <c:pt idx="6">
                  <c:v>8.7520451900000005</c:v>
                </c:pt>
                <c:pt idx="7">
                  <c:v>10.099100050000001</c:v>
                </c:pt>
                <c:pt idx="8">
                  <c:v>11.4599548</c:v>
                </c:pt>
                <c:pt idx="9">
                  <c:v>12.74216429</c:v>
                </c:pt>
                <c:pt idx="10">
                  <c:v>14.104318899999999</c:v>
                </c:pt>
                <c:pt idx="11">
                  <c:v>15.30737759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2893824"/>
        <c:axId val="243336896"/>
      </c:barChart>
      <c:lineChart>
        <c:grouping val="standard"/>
        <c:varyColors val="0"/>
        <c:ser>
          <c:idx val="3"/>
          <c:order val="1"/>
          <c:tx>
            <c:strRef>
              <c:f>'16_g'!$AJ$86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'16_g'!$AK$83:$AV$83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'16_g'!$AK$86:$AV$86</c:f>
              <c:numCache>
                <c:formatCode>#,##0.00_ ;\-#,##0.00\ </c:formatCode>
                <c:ptCount val="12"/>
                <c:pt idx="0">
                  <c:v>1.0935799999999998</c:v>
                </c:pt>
                <c:pt idx="1">
                  <c:v>2.6222739999999995</c:v>
                </c:pt>
                <c:pt idx="2">
                  <c:v>3.7477469999999995</c:v>
                </c:pt>
                <c:pt idx="3">
                  <c:v>4.9554770000000001</c:v>
                </c:pt>
                <c:pt idx="4">
                  <c:v>6.1407579999999999</c:v>
                </c:pt>
                <c:pt idx="5">
                  <c:v>7.284853</c:v>
                </c:pt>
                <c:pt idx="6">
                  <c:v>8.7462330000000001</c:v>
                </c:pt>
                <c:pt idx="7">
                  <c:v>10.172961000000001</c:v>
                </c:pt>
                <c:pt idx="8">
                  <c:v>11.56761</c:v>
                </c:pt>
                <c:pt idx="9">
                  <c:v>12.917979000000001</c:v>
                </c:pt>
                <c:pt idx="10">
                  <c:v>14.146733000000001</c:v>
                </c:pt>
                <c:pt idx="11">
                  <c:v>15.453187000000002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93824"/>
        <c:axId val="243336896"/>
      </c:lineChart>
      <c:catAx>
        <c:axId val="24289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3336896"/>
        <c:crosses val="autoZero"/>
        <c:auto val="1"/>
        <c:lblAlgn val="ctr"/>
        <c:lblOffset val="100"/>
        <c:noMultiLvlLbl val="0"/>
      </c:catAx>
      <c:valAx>
        <c:axId val="2433368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44414013467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28938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'16_g'!$V$21:$AC$21</c:f>
              <c:numCache>
                <c:formatCode>#,##0</c:formatCode>
                <c:ptCount val="8"/>
                <c:pt idx="0">
                  <c:v>123.62219959266804</c:v>
                </c:pt>
                <c:pt idx="1">
                  <c:v>87</c:v>
                </c:pt>
                <c:pt idx="2">
                  <c:v>302.53767820773936</c:v>
                </c:pt>
                <c:pt idx="3">
                  <c:v>130</c:v>
                </c:pt>
                <c:pt idx="4">
                  <c:v>487.63747454175166</c:v>
                </c:pt>
                <c:pt idx="5">
                  <c:v>184</c:v>
                </c:pt>
                <c:pt idx="6">
                  <c:v>588.00000000000023</c:v>
                </c:pt>
                <c:pt idx="7">
                  <c:v>223</c:v>
                </c:pt>
              </c:numCache>
            </c:numRef>
          </c:val>
        </c:ser>
        <c:ser>
          <c:idx val="0"/>
          <c:order val="1"/>
          <c:tx>
            <c:strRef>
              <c:f>'16_g'!$T$22:$U$22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'16_g'!$V$20:$AC$20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'16_g'!$V$22:$AC$22</c:f>
              <c:numCache>
                <c:formatCode>#,##0</c:formatCode>
                <c:ptCount val="8"/>
                <c:pt idx="0">
                  <c:v>15</c:v>
                </c:pt>
                <c:pt idx="1">
                  <c:v>5</c:v>
                </c:pt>
                <c:pt idx="2">
                  <c:v>31</c:v>
                </c:pt>
                <c:pt idx="3">
                  <c:v>9</c:v>
                </c:pt>
                <c:pt idx="4">
                  <c:v>57</c:v>
                </c:pt>
                <c:pt idx="5">
                  <c:v>18</c:v>
                </c:pt>
                <c:pt idx="6">
                  <c:v>103</c:v>
                </c:pt>
                <c:pt idx="7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42894336"/>
        <c:axId val="243339200"/>
      </c:barChart>
      <c:catAx>
        <c:axId val="242894336"/>
        <c:scaling>
          <c:orientation val="minMax"/>
        </c:scaling>
        <c:delete val="1"/>
        <c:axPos val="b"/>
        <c:majorTickMark val="out"/>
        <c:minorTickMark val="none"/>
        <c:tickLblPos val="nextTo"/>
        <c:crossAx val="243339200"/>
        <c:crosses val="autoZero"/>
        <c:auto val="1"/>
        <c:lblAlgn val="ctr"/>
        <c:lblOffset val="100"/>
        <c:noMultiLvlLbl val="0"/>
      </c:catAx>
      <c:valAx>
        <c:axId val="24333920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42894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('17'!$A$9,'17'!$A$13,'17'!$A$17)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('17'!$B$9,'17'!$B$13,'17'!$B$17)</c:f>
              <c:numCache>
                <c:formatCode>_-* #,##0_-;\-* #,##0_-;_-* "-"??_-;_-@_-</c:formatCode>
                <c:ptCount val="3"/>
                <c:pt idx="0">
                  <c:v>2986</c:v>
                </c:pt>
                <c:pt idx="1">
                  <c:v>707</c:v>
                </c:pt>
                <c:pt idx="2">
                  <c:v>186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('17'!$A$9,'17'!$A$13,'17'!$A$17)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('17'!$G$9,'17'!$G$13,'17'!$G$17)</c:f>
              <c:numCache>
                <c:formatCode>_-* #,##0_-;\-* #,##0_-;_-* "-"??_-;_-@_-</c:formatCode>
                <c:ptCount val="3"/>
                <c:pt idx="0">
                  <c:v>3099</c:v>
                </c:pt>
                <c:pt idx="1">
                  <c:v>758</c:v>
                </c:pt>
                <c:pt idx="2">
                  <c:v>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'00_g'!$A$64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'00_g'!$B$62:$M$62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'00_g'!$B$64:$M$64</c:f>
              <c:numCache>
                <c:formatCode>#,##0_ ;\-#,##0\ </c:formatCode>
                <c:ptCount val="12"/>
                <c:pt idx="0">
                  <c:v>147.98201653999996</c:v>
                </c:pt>
                <c:pt idx="1">
                  <c:v>154.00803915</c:v>
                </c:pt>
                <c:pt idx="2">
                  <c:v>149.70329415</c:v>
                </c:pt>
                <c:pt idx="3">
                  <c:v>155.56282660000002</c:v>
                </c:pt>
                <c:pt idx="4">
                  <c:v>149.74693840000003</c:v>
                </c:pt>
                <c:pt idx="5">
                  <c:v>146.66292210000003</c:v>
                </c:pt>
                <c:pt idx="6">
                  <c:v>169.04101690000002</c:v>
                </c:pt>
                <c:pt idx="7">
                  <c:v>175.67278311000001</c:v>
                </c:pt>
                <c:pt idx="8">
                  <c:v>167.52632905000004</c:v>
                </c:pt>
                <c:pt idx="9">
                  <c:v>156.39004424000004</c:v>
                </c:pt>
                <c:pt idx="10">
                  <c:v>145.13883624000005</c:v>
                </c:pt>
                <c:pt idx="11">
                  <c:v>158.40492899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'00_g'!$A$65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'00_g'!$B$62:$M$62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'00_g'!$B$65:$M$65</c:f>
              <c:numCache>
                <c:formatCode>#,##0_ ;\-#,##0\ </c:formatCode>
                <c:ptCount val="12"/>
                <c:pt idx="0">
                  <c:v>156.77104</c:v>
                </c:pt>
                <c:pt idx="1">
                  <c:v>162.120575</c:v>
                </c:pt>
                <c:pt idx="2">
                  <c:v>158.52824200000001</c:v>
                </c:pt>
                <c:pt idx="3">
                  <c:v>165.38184000000001</c:v>
                </c:pt>
                <c:pt idx="4">
                  <c:v>159.89739399999999</c:v>
                </c:pt>
                <c:pt idx="5">
                  <c:v>157.28598600000001</c:v>
                </c:pt>
                <c:pt idx="6">
                  <c:v>176.588413</c:v>
                </c:pt>
                <c:pt idx="7">
                  <c:v>181.885706</c:v>
                </c:pt>
                <c:pt idx="8">
                  <c:v>178.022493</c:v>
                </c:pt>
                <c:pt idx="9">
                  <c:v>168.47157799999999</c:v>
                </c:pt>
                <c:pt idx="10">
                  <c:v>163.78603000000001</c:v>
                </c:pt>
                <c:pt idx="11">
                  <c:v>171.537925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'00_g'!$A$66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'00_g'!$B$62:$M$62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'00_g'!$B$66:$M$66</c:f>
              <c:numCache>
                <c:formatCode>#,##0_ ;\-#,##0\ </c:formatCode>
                <c:ptCount val="12"/>
                <c:pt idx="0">
                  <c:v>148.37512774999999</c:v>
                </c:pt>
                <c:pt idx="1">
                  <c:v>153.60377586000001</c:v>
                </c:pt>
                <c:pt idx="2">
                  <c:v>153.09260657999999</c:v>
                </c:pt>
                <c:pt idx="3">
                  <c:v>162.19327786999997</c:v>
                </c:pt>
                <c:pt idx="4">
                  <c:v>157.04749323999997</c:v>
                </c:pt>
                <c:pt idx="5">
                  <c:v>155.04481799000001</c:v>
                </c:pt>
                <c:pt idx="6">
                  <c:v>177.55092483000001</c:v>
                </c:pt>
                <c:pt idx="7">
                  <c:v>170.46774109999998</c:v>
                </c:pt>
                <c:pt idx="8">
                  <c:v>163.10173940999999</c:v>
                </c:pt>
                <c:pt idx="9">
                  <c:v>155.34410678</c:v>
                </c:pt>
                <c:pt idx="10">
                  <c:v>159.03156028000001</c:v>
                </c:pt>
                <c:pt idx="11">
                  <c:v>161.13615428999998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31520"/>
        <c:axId val="170604736"/>
      </c:lineChart>
      <c:catAx>
        <c:axId val="1707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0604736"/>
        <c:crosses val="autoZero"/>
        <c:auto val="1"/>
        <c:lblAlgn val="ctr"/>
        <c:lblOffset val="100"/>
        <c:noMultiLvlLbl val="0"/>
      </c:catAx>
      <c:valAx>
        <c:axId val="1706047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07315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('17'!$A$9,'17'!$A$13,'17'!$A$17)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('17'!$C$9,'17'!$C$13,'17'!$C$17)</c:f>
              <c:numCache>
                <c:formatCode>_(* #,##0.00_);_(* \(#,##0.00\);_(* "-"??_);_(@_)</c:formatCode>
                <c:ptCount val="3"/>
                <c:pt idx="0">
                  <c:v>0.54915899999999995</c:v>
                </c:pt>
                <c:pt idx="1">
                  <c:v>0.21740100000000001</c:v>
                </c:pt>
                <c:pt idx="2">
                  <c:v>6.9099999999999995E-2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('17'!$A$9,'17'!$A$13,'17'!$A$17)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('17'!$H$9,'17'!$H$13,'17'!$H$17)</c:f>
              <c:numCache>
                <c:formatCode>_(* #,##0.00_);_(* \(#,##0.00\);_(* "-"??_);_(@_)</c:formatCode>
                <c:ptCount val="3"/>
                <c:pt idx="0">
                  <c:v>0.53949199999999997</c:v>
                </c:pt>
                <c:pt idx="1">
                  <c:v>0.22594400000000001</c:v>
                </c:pt>
                <c:pt idx="2">
                  <c:v>8.3317000000000002E-2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('17'!$A$9,'17'!$A$13,'17'!$A$17)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('17'!$E$9,'17'!$E$13,'17'!$E$17)</c:f>
              <c:numCache>
                <c:formatCode>_(* #,##0.00_);_(* \(#,##0.00\);_(* "-"??_);_(@_)</c:formatCode>
                <c:ptCount val="3"/>
                <c:pt idx="0">
                  <c:v>7.808400970000001</c:v>
                </c:pt>
                <c:pt idx="1">
                  <c:v>4.6245196500000008</c:v>
                </c:pt>
                <c:pt idx="2">
                  <c:v>1.78524175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('17'!$A$9,'17'!$A$13,'17'!$A$17)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('17'!$J$9,'17'!$J$13,'17'!$J$17)</c:f>
              <c:numCache>
                <c:formatCode>_(* #,##0.00_);_(* \(#,##0.00\);_(* "-"??_);_(@_)</c:formatCode>
                <c:ptCount val="3"/>
                <c:pt idx="0">
                  <c:v>7.5358030599999992</c:v>
                </c:pt>
                <c:pt idx="1">
                  <c:v>4.7703742600000005</c:v>
                </c:pt>
                <c:pt idx="2">
                  <c:v>2.1661429999999999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('17'!$A$9,'17'!$A$13,'17'!$A$17,'17'!$A$20)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('17'!$D$9,'17'!$D$13,'17'!$D$17,'17'!$D$20)</c:f>
              <c:numCache>
                <c:formatCode>_-* #,##0.000_-;\-* #,##0.000_-;_-* "-"??_-;_-@_-</c:formatCode>
                <c:ptCount val="4"/>
                <c:pt idx="0">
                  <c:v>0.50992889526502361</c:v>
                </c:pt>
                <c:pt idx="1">
                  <c:v>0.90519631927384769</c:v>
                </c:pt>
                <c:pt idx="2">
                  <c:v>1.0488369445603916</c:v>
                </c:pt>
                <c:pt idx="3">
                  <c:v>0.60424371920158215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('17'!$A$9,'17'!$A$13,'17'!$A$17,'17'!$A$20)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('17'!$I$9,'17'!$I$13,'17'!$I$17,'17'!$I$20)</c:f>
              <c:numCache>
                <c:formatCode>_-* #,##0.000_-;\-* #,##0.000_-;_-* "-"??_-;_-@_-</c:formatCode>
                <c:ptCount val="4"/>
                <c:pt idx="0">
                  <c:v>0.48580452718902306</c:v>
                </c:pt>
                <c:pt idx="1">
                  <c:v>0.84508485670204314</c:v>
                </c:pt>
                <c:pt idx="2">
                  <c:v>1.1888841324200912</c:v>
                </c:pt>
                <c:pt idx="3">
                  <c:v>0.58617360346143355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43777536"/>
        <c:axId val="243323968"/>
      </c:barChart>
      <c:catAx>
        <c:axId val="24377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3323968"/>
        <c:crosses val="autoZero"/>
        <c:auto val="1"/>
        <c:lblAlgn val="ctr"/>
        <c:lblOffset val="100"/>
        <c:noMultiLvlLbl val="0"/>
      </c:catAx>
      <c:valAx>
        <c:axId val="2433239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3777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('17'!$A$9,'17'!$A$13,'17'!$A$17,'17'!$A$20)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('17'!$F$9,'17'!$F$13,'17'!$F$17,'17'!$F$20)</c:f>
              <c:numCache>
                <c:formatCode>_(* #,##0.00_);_(* \(#,##0.00\);_(* "-"??_);_(@_)</c:formatCode>
                <c:ptCount val="4"/>
                <c:pt idx="0">
                  <c:v>14.218834563396031</c:v>
                </c:pt>
                <c:pt idx="1">
                  <c:v>21.271841665861704</c:v>
                </c:pt>
                <c:pt idx="2">
                  <c:v>25.835625904486253</c:v>
                </c:pt>
                <c:pt idx="3">
                  <c:v>17.014290943685232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('17'!$A$9,'17'!$A$13,'17'!$A$17,'17'!$A$20)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('17'!$K$9,'17'!$K$13,'17'!$K$17,'17'!$K$20)</c:f>
              <c:numCache>
                <c:formatCode>_(* #,##0.00_);_(* \(#,##0.00\);_(* "-"??_);_(@_)</c:formatCode>
                <c:ptCount val="4"/>
                <c:pt idx="0">
                  <c:v>13.968331430308512</c:v>
                </c:pt>
                <c:pt idx="1">
                  <c:v>21.113082268172647</c:v>
                </c:pt>
                <c:pt idx="2">
                  <c:v>25.99881176710635</c:v>
                </c:pt>
                <c:pt idx="3">
                  <c:v>17.051274422594087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43778560"/>
        <c:axId val="243325696"/>
      </c:barChart>
      <c:catAx>
        <c:axId val="24377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3325696"/>
        <c:crosses val="autoZero"/>
        <c:auto val="1"/>
        <c:lblAlgn val="ctr"/>
        <c:lblOffset val="100"/>
        <c:noMultiLvlLbl val="0"/>
      </c:catAx>
      <c:valAx>
        <c:axId val="2433256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3778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'17_g'!$A$18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'17_g'!$B$16:$M$16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'17_g'!$B$18:$M$18</c:f>
              <c:numCache>
                <c:formatCode>#,##0_ ;\-#,##0\ </c:formatCode>
                <c:ptCount val="12"/>
                <c:pt idx="0">
                  <c:v>4</c:v>
                </c:pt>
                <c:pt idx="1">
                  <c:v>11</c:v>
                </c:pt>
                <c:pt idx="2">
                  <c:v>9</c:v>
                </c:pt>
                <c:pt idx="3">
                  <c:v>18</c:v>
                </c:pt>
                <c:pt idx="4">
                  <c:v>13</c:v>
                </c:pt>
                <c:pt idx="5">
                  <c:v>22</c:v>
                </c:pt>
                <c:pt idx="6">
                  <c:v>21</c:v>
                </c:pt>
                <c:pt idx="7">
                  <c:v>29</c:v>
                </c:pt>
                <c:pt idx="8">
                  <c:v>47</c:v>
                </c:pt>
                <c:pt idx="9">
                  <c:v>7</c:v>
                </c:pt>
                <c:pt idx="10">
                  <c:v>3</c:v>
                </c:pt>
                <c:pt idx="11">
                  <c:v>27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'17_g'!$A$19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'17_g'!$B$16:$M$16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'17_g'!$B$19:$M$19</c:f>
              <c:numCache>
                <c:formatCode>#,##0_ ;\-#,##0\ </c:formatCode>
                <c:ptCount val="12"/>
                <c:pt idx="0">
                  <c:v>20.237154150197625</c:v>
                </c:pt>
                <c:pt idx="1">
                  <c:v>28.458498023715411</c:v>
                </c:pt>
                <c:pt idx="2">
                  <c:v>13.280632411067192</c:v>
                </c:pt>
                <c:pt idx="3">
                  <c:v>25.928853754940707</c:v>
                </c:pt>
                <c:pt idx="4">
                  <c:v>20.237154150197625</c:v>
                </c:pt>
                <c:pt idx="5">
                  <c:v>30.355731225296442</c:v>
                </c:pt>
                <c:pt idx="6">
                  <c:v>30.988142292490114</c:v>
                </c:pt>
                <c:pt idx="7">
                  <c:v>35.415019762845851</c:v>
                </c:pt>
                <c:pt idx="8">
                  <c:v>45.533596837944657</c:v>
                </c:pt>
                <c:pt idx="9">
                  <c:v>17.07509881422925</c:v>
                </c:pt>
                <c:pt idx="10">
                  <c:v>17.707509881422926</c:v>
                </c:pt>
                <c:pt idx="11">
                  <c:v>34.782608695652172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'17_g'!$A$20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'17_g'!$B$16:$M$16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'17_g'!$B$20:$M$20</c:f>
              <c:numCache>
                <c:formatCode>#,##0_ ;\-#,##0\ </c:formatCode>
                <c:ptCount val="12"/>
                <c:pt idx="0">
                  <c:v>27</c:v>
                </c:pt>
                <c:pt idx="1">
                  <c:v>21</c:v>
                </c:pt>
                <c:pt idx="2">
                  <c:v>10</c:v>
                </c:pt>
                <c:pt idx="3">
                  <c:v>7</c:v>
                </c:pt>
                <c:pt idx="4">
                  <c:v>6</c:v>
                </c:pt>
                <c:pt idx="5">
                  <c:v>38</c:v>
                </c:pt>
                <c:pt idx="6">
                  <c:v>14</c:v>
                </c:pt>
                <c:pt idx="7">
                  <c:v>15</c:v>
                </c:pt>
                <c:pt idx="8">
                  <c:v>4</c:v>
                </c:pt>
                <c:pt idx="9">
                  <c:v>12</c:v>
                </c:pt>
                <c:pt idx="10">
                  <c:v>13</c:v>
                </c:pt>
                <c:pt idx="11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107520"/>
        <c:axId val="244122176"/>
      </c:lineChart>
      <c:catAx>
        <c:axId val="2401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122176"/>
        <c:crosses val="autoZero"/>
        <c:auto val="1"/>
        <c:lblAlgn val="ctr"/>
        <c:lblOffset val="100"/>
        <c:noMultiLvlLbl val="0"/>
      </c:catAx>
      <c:valAx>
        <c:axId val="2441221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24175666567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01075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91873556789"/>
          <c:y val="2.2161373086791118E-2"/>
          <c:w val="0.3848580812644321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'17_g'!$B$39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'17_g'!$C$39:$N$39</c:f>
              <c:numCache>
                <c:formatCode>#,##0_ ;\-#,##0\ </c:formatCode>
                <c:ptCount val="12"/>
                <c:pt idx="0">
                  <c:v>4</c:v>
                </c:pt>
                <c:pt idx="1">
                  <c:v>15</c:v>
                </c:pt>
                <c:pt idx="2">
                  <c:v>24</c:v>
                </c:pt>
                <c:pt idx="3">
                  <c:v>42</c:v>
                </c:pt>
                <c:pt idx="4">
                  <c:v>55</c:v>
                </c:pt>
                <c:pt idx="5">
                  <c:v>77</c:v>
                </c:pt>
                <c:pt idx="6">
                  <c:v>98</c:v>
                </c:pt>
                <c:pt idx="7">
                  <c:v>127</c:v>
                </c:pt>
                <c:pt idx="8">
                  <c:v>174</c:v>
                </c:pt>
                <c:pt idx="9">
                  <c:v>181</c:v>
                </c:pt>
                <c:pt idx="10">
                  <c:v>184</c:v>
                </c:pt>
                <c:pt idx="11">
                  <c:v>211</c:v>
                </c:pt>
              </c:numCache>
            </c:numRef>
          </c:val>
        </c:ser>
        <c:ser>
          <c:idx val="0"/>
          <c:order val="2"/>
          <c:tx>
            <c:strRef>
              <c:f>'17_g'!$B$41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'17_g'!$C$41:$N$41</c:f>
              <c:numCache>
                <c:formatCode>#,##0_ ;\-#,##0\ </c:formatCode>
                <c:ptCount val="12"/>
                <c:pt idx="0">
                  <c:v>27</c:v>
                </c:pt>
                <c:pt idx="1">
                  <c:v>48</c:v>
                </c:pt>
                <c:pt idx="2">
                  <c:v>58</c:v>
                </c:pt>
                <c:pt idx="3">
                  <c:v>65</c:v>
                </c:pt>
                <c:pt idx="4">
                  <c:v>71</c:v>
                </c:pt>
                <c:pt idx="5">
                  <c:v>109</c:v>
                </c:pt>
                <c:pt idx="6">
                  <c:v>123</c:v>
                </c:pt>
                <c:pt idx="7">
                  <c:v>138</c:v>
                </c:pt>
                <c:pt idx="8">
                  <c:v>142</c:v>
                </c:pt>
                <c:pt idx="9">
                  <c:v>154</c:v>
                </c:pt>
                <c:pt idx="10">
                  <c:v>167</c:v>
                </c:pt>
                <c:pt idx="11">
                  <c:v>178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0109056"/>
        <c:axId val="244124480"/>
      </c:barChart>
      <c:lineChart>
        <c:grouping val="standard"/>
        <c:varyColors val="0"/>
        <c:ser>
          <c:idx val="3"/>
          <c:order val="1"/>
          <c:tx>
            <c:strRef>
              <c:f>'17_g'!$B$40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'17_g'!$C$37:$N$37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'17_g'!$C$40:$N$40</c:f>
              <c:numCache>
                <c:formatCode>#,##0_ ;\-#,##0\ </c:formatCode>
                <c:ptCount val="12"/>
                <c:pt idx="0">
                  <c:v>20.237154150197625</c:v>
                </c:pt>
                <c:pt idx="1">
                  <c:v>48.695652173913032</c:v>
                </c:pt>
                <c:pt idx="2">
                  <c:v>61.97628458498022</c:v>
                </c:pt>
                <c:pt idx="3">
                  <c:v>87.905138339920924</c:v>
                </c:pt>
                <c:pt idx="4">
                  <c:v>108.14229249011855</c:v>
                </c:pt>
                <c:pt idx="5">
                  <c:v>138.498023715415</c:v>
                </c:pt>
                <c:pt idx="6">
                  <c:v>169.48616600790513</c:v>
                </c:pt>
                <c:pt idx="7">
                  <c:v>204.90118577075097</c:v>
                </c:pt>
                <c:pt idx="8">
                  <c:v>250.43478260869563</c:v>
                </c:pt>
                <c:pt idx="9">
                  <c:v>267.50988142292488</c:v>
                </c:pt>
                <c:pt idx="10">
                  <c:v>285.21739130434781</c:v>
                </c:pt>
                <c:pt idx="11">
                  <c:v>320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109056"/>
        <c:axId val="244124480"/>
      </c:lineChart>
      <c:catAx>
        <c:axId val="24010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124480"/>
        <c:crosses val="autoZero"/>
        <c:auto val="1"/>
        <c:lblAlgn val="ctr"/>
        <c:lblOffset val="100"/>
        <c:noMultiLvlLbl val="0"/>
      </c:catAx>
      <c:valAx>
        <c:axId val="244124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493194498229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01090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1828808284"/>
          <c:y val="2.2161373086791118E-2"/>
          <c:w val="0.3910368171191716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'17_g'!$AI$18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'17_g'!$AJ$16:$AU$16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'17_g'!$AJ$18:$AU$18</c:f>
              <c:numCache>
                <c:formatCode>#,##0.000_ ;\-#,##0.000\ </c:formatCode>
                <c:ptCount val="12"/>
                <c:pt idx="0">
                  <c:v>6.4283000000000007E-2</c:v>
                </c:pt>
                <c:pt idx="1">
                  <c:v>6.5339999999999995E-2</c:v>
                </c:pt>
                <c:pt idx="2">
                  <c:v>6.4062999999999995E-2</c:v>
                </c:pt>
                <c:pt idx="3">
                  <c:v>6.9395999999999999E-2</c:v>
                </c:pt>
                <c:pt idx="4">
                  <c:v>6.5980999999999998E-2</c:v>
                </c:pt>
                <c:pt idx="5">
                  <c:v>6.4479999999999996E-2</c:v>
                </c:pt>
                <c:pt idx="6">
                  <c:v>8.0378000000000005E-2</c:v>
                </c:pt>
                <c:pt idx="7">
                  <c:v>8.7321999999999997E-2</c:v>
                </c:pt>
                <c:pt idx="8">
                  <c:v>7.8157000000000004E-2</c:v>
                </c:pt>
                <c:pt idx="9">
                  <c:v>6.5587999999999994E-2</c:v>
                </c:pt>
                <c:pt idx="10">
                  <c:v>6.5489000000000006E-2</c:v>
                </c:pt>
                <c:pt idx="11">
                  <c:v>6.7281999999999995E-2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'17_g'!$AJ$16:$AU$16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'17_g'!$AJ$19:$AU$19</c:f>
              <c:numCache>
                <c:formatCode>#,##0.000_ ;\-#,##0.000\ </c:formatCode>
                <c:ptCount val="12"/>
                <c:pt idx="0">
                  <c:v>6.2441000000000003E-2</c:v>
                </c:pt>
                <c:pt idx="1">
                  <c:v>6.3703999999999997E-2</c:v>
                </c:pt>
                <c:pt idx="2">
                  <c:v>6.2151999999999999E-2</c:v>
                </c:pt>
                <c:pt idx="3">
                  <c:v>6.7542000000000005E-2</c:v>
                </c:pt>
                <c:pt idx="4">
                  <c:v>6.2392999999999997E-2</c:v>
                </c:pt>
                <c:pt idx="5">
                  <c:v>6.241E-2</c:v>
                </c:pt>
                <c:pt idx="6">
                  <c:v>7.5242000000000003E-2</c:v>
                </c:pt>
                <c:pt idx="7">
                  <c:v>7.6490000000000002E-2</c:v>
                </c:pt>
                <c:pt idx="8">
                  <c:v>7.4658000000000002E-2</c:v>
                </c:pt>
                <c:pt idx="9">
                  <c:v>6.6804000000000002E-2</c:v>
                </c:pt>
                <c:pt idx="10">
                  <c:v>6.7066000000000001E-2</c:v>
                </c:pt>
                <c:pt idx="11">
                  <c:v>6.8307000000000007E-2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'17_g'!$AI$20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'17_g'!$AJ$16:$AU$16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'17_g'!$AJ$20:$AU$20</c:f>
              <c:numCache>
                <c:formatCode>#,##0.000_ ;\-#,##0.000\ </c:formatCode>
                <c:ptCount val="12"/>
                <c:pt idx="0">
                  <c:v>6.4383999999999997E-2</c:v>
                </c:pt>
                <c:pt idx="1">
                  <c:v>6.7426E-2</c:v>
                </c:pt>
                <c:pt idx="2">
                  <c:v>6.7151000000000002E-2</c:v>
                </c:pt>
                <c:pt idx="3">
                  <c:v>7.0967000000000002E-2</c:v>
                </c:pt>
                <c:pt idx="4">
                  <c:v>7.1304000000000006E-2</c:v>
                </c:pt>
                <c:pt idx="5">
                  <c:v>6.9415000000000004E-2</c:v>
                </c:pt>
                <c:pt idx="6">
                  <c:v>8.0902000000000002E-2</c:v>
                </c:pt>
                <c:pt idx="7">
                  <c:v>7.4695999999999999E-2</c:v>
                </c:pt>
                <c:pt idx="8">
                  <c:v>7.2498000000000007E-2</c:v>
                </c:pt>
                <c:pt idx="9">
                  <c:v>7.0806999999999995E-2</c:v>
                </c:pt>
                <c:pt idx="10">
                  <c:v>6.9972000000000006E-2</c:v>
                </c:pt>
                <c:pt idx="11">
                  <c:v>7.0213999999999999E-2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111104"/>
        <c:axId val="244126784"/>
      </c:lineChart>
      <c:catAx>
        <c:axId val="24011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126784"/>
        <c:crosses val="autoZero"/>
        <c:auto val="1"/>
        <c:lblAlgn val="ctr"/>
        <c:lblOffset val="100"/>
        <c:noMultiLvlLbl val="0"/>
      </c:catAx>
      <c:valAx>
        <c:axId val="244126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18864609796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01111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7079446392"/>
          <c:y val="2.2161373086791118E-2"/>
          <c:w val="0.3512889001324632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'17_g'!$AJ$39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'17_g'!$AK$39:$AV$39</c:f>
              <c:numCache>
                <c:formatCode>#,##0.000_ ;\-#,##0.000\ </c:formatCode>
                <c:ptCount val="12"/>
                <c:pt idx="0">
                  <c:v>6.4283000000000007E-2</c:v>
                </c:pt>
                <c:pt idx="1">
                  <c:v>0.12962299999999999</c:v>
                </c:pt>
                <c:pt idx="2">
                  <c:v>0.19368599999999997</c:v>
                </c:pt>
                <c:pt idx="3">
                  <c:v>0.26308199999999998</c:v>
                </c:pt>
                <c:pt idx="4">
                  <c:v>0.32906299999999999</c:v>
                </c:pt>
                <c:pt idx="5">
                  <c:v>0.39354299999999998</c:v>
                </c:pt>
                <c:pt idx="6">
                  <c:v>0.47392099999999998</c:v>
                </c:pt>
                <c:pt idx="7">
                  <c:v>0.56124299999999994</c:v>
                </c:pt>
                <c:pt idx="8">
                  <c:v>0.63939999999999997</c:v>
                </c:pt>
                <c:pt idx="9">
                  <c:v>0.70498799999999995</c:v>
                </c:pt>
                <c:pt idx="10">
                  <c:v>0.77047699999999997</c:v>
                </c:pt>
                <c:pt idx="11">
                  <c:v>0.83775899999999992</c:v>
                </c:pt>
              </c:numCache>
            </c:numRef>
          </c:val>
        </c:ser>
        <c:ser>
          <c:idx val="0"/>
          <c:order val="2"/>
          <c:tx>
            <c:strRef>
              <c:f>'17_g'!$AJ$41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'17_g'!$AK$41:$AV$41</c:f>
              <c:numCache>
                <c:formatCode>#,##0.000_ ;\-#,##0.000\ </c:formatCode>
                <c:ptCount val="12"/>
                <c:pt idx="0">
                  <c:v>6.4383999999999997E-2</c:v>
                </c:pt>
                <c:pt idx="1">
                  <c:v>0.13180999999999998</c:v>
                </c:pt>
                <c:pt idx="2">
                  <c:v>0.198961</c:v>
                </c:pt>
                <c:pt idx="3">
                  <c:v>0.269928</c:v>
                </c:pt>
                <c:pt idx="4">
                  <c:v>0.34123199999999998</c:v>
                </c:pt>
                <c:pt idx="5">
                  <c:v>0.41064699999999998</c:v>
                </c:pt>
                <c:pt idx="6">
                  <c:v>0.49154900000000001</c:v>
                </c:pt>
                <c:pt idx="7">
                  <c:v>0.566245</c:v>
                </c:pt>
                <c:pt idx="8">
                  <c:v>0.63874300000000006</c:v>
                </c:pt>
                <c:pt idx="9">
                  <c:v>0.70955000000000001</c:v>
                </c:pt>
                <c:pt idx="10">
                  <c:v>0.77952200000000005</c:v>
                </c:pt>
                <c:pt idx="11">
                  <c:v>0.84973600000000005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4260864"/>
        <c:axId val="244129088"/>
      </c:barChart>
      <c:lineChart>
        <c:grouping val="standard"/>
        <c:varyColors val="0"/>
        <c:ser>
          <c:idx val="3"/>
          <c:order val="1"/>
          <c:tx>
            <c:strRef>
              <c:f>'17_g'!$AJ$40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'17_g'!$AK$37:$AV$37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'17_g'!$AK$40:$AV$40</c:f>
              <c:numCache>
                <c:formatCode>#,##0.000_ ;\-#,##0.000\ </c:formatCode>
                <c:ptCount val="12"/>
                <c:pt idx="0">
                  <c:v>6.2441000000000003E-2</c:v>
                </c:pt>
                <c:pt idx="1">
                  <c:v>0.12614500000000001</c:v>
                </c:pt>
                <c:pt idx="2">
                  <c:v>0.18829699999999999</c:v>
                </c:pt>
                <c:pt idx="3">
                  <c:v>0.25583899999999998</c:v>
                </c:pt>
                <c:pt idx="4">
                  <c:v>0.31823199999999996</c:v>
                </c:pt>
                <c:pt idx="5">
                  <c:v>0.38064199999999998</c:v>
                </c:pt>
                <c:pt idx="6">
                  <c:v>0.45588399999999996</c:v>
                </c:pt>
                <c:pt idx="7">
                  <c:v>0.5323739999999999</c:v>
                </c:pt>
                <c:pt idx="8">
                  <c:v>0.6070319999999999</c:v>
                </c:pt>
                <c:pt idx="9">
                  <c:v>0.67383599999999988</c:v>
                </c:pt>
                <c:pt idx="10">
                  <c:v>0.74090199999999984</c:v>
                </c:pt>
                <c:pt idx="11">
                  <c:v>0.80920899999999985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60864"/>
        <c:axId val="244129088"/>
      </c:lineChart>
      <c:catAx>
        <c:axId val="2442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129088"/>
        <c:crosses val="autoZero"/>
        <c:auto val="1"/>
        <c:lblAlgn val="ctr"/>
        <c:lblOffset val="100"/>
        <c:noMultiLvlLbl val="0"/>
      </c:catAx>
      <c:valAx>
        <c:axId val="2441290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687639835533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2608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2876557422"/>
          <c:y val="2.2161373086791118E-2"/>
          <c:w val="0.33180957123442578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'00_g'!$B$85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'00_g'!$C$85:$N$85</c:f>
              <c:numCache>
                <c:formatCode>#,##0_ ;\-#,##0\ </c:formatCode>
                <c:ptCount val="12"/>
                <c:pt idx="0">
                  <c:v>147.98201653999996</c:v>
                </c:pt>
                <c:pt idx="1">
                  <c:v>301.99005568999996</c:v>
                </c:pt>
                <c:pt idx="2">
                  <c:v>451.69334984</c:v>
                </c:pt>
                <c:pt idx="3">
                  <c:v>607.25617643999999</c:v>
                </c:pt>
                <c:pt idx="4">
                  <c:v>757.00311484000008</c:v>
                </c:pt>
                <c:pt idx="5">
                  <c:v>903.66603694000014</c:v>
                </c:pt>
                <c:pt idx="6">
                  <c:v>1072.7070538400001</c:v>
                </c:pt>
                <c:pt idx="7">
                  <c:v>1248.37983695</c:v>
                </c:pt>
                <c:pt idx="8">
                  <c:v>1415.906166</c:v>
                </c:pt>
                <c:pt idx="9">
                  <c:v>1572.2962102399999</c:v>
                </c:pt>
                <c:pt idx="10">
                  <c:v>1717.43504648</c:v>
                </c:pt>
                <c:pt idx="11">
                  <c:v>1875.8399754699999</c:v>
                </c:pt>
              </c:numCache>
            </c:numRef>
          </c:val>
        </c:ser>
        <c:ser>
          <c:idx val="0"/>
          <c:order val="2"/>
          <c:tx>
            <c:strRef>
              <c:f>'00_g'!$B$87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'00_g'!$C$87:$N$87</c:f>
              <c:numCache>
                <c:formatCode>#,##0_ ;\-#,##0\ </c:formatCode>
                <c:ptCount val="12"/>
                <c:pt idx="0">
                  <c:v>148.37512774999999</c:v>
                </c:pt>
                <c:pt idx="1">
                  <c:v>301.97890360999997</c:v>
                </c:pt>
                <c:pt idx="2">
                  <c:v>455.07151018999997</c:v>
                </c:pt>
                <c:pt idx="3">
                  <c:v>617.26478806</c:v>
                </c:pt>
                <c:pt idx="4">
                  <c:v>774.3122813</c:v>
                </c:pt>
                <c:pt idx="5">
                  <c:v>929.35709928999995</c:v>
                </c:pt>
                <c:pt idx="6">
                  <c:v>1106.9080241199999</c:v>
                </c:pt>
                <c:pt idx="7">
                  <c:v>1277.3757652199999</c:v>
                </c:pt>
                <c:pt idx="8">
                  <c:v>1440.4775046299999</c:v>
                </c:pt>
                <c:pt idx="9">
                  <c:v>1595.8216114099998</c:v>
                </c:pt>
                <c:pt idx="10">
                  <c:v>1754.8531716899997</c:v>
                </c:pt>
                <c:pt idx="11">
                  <c:v>1915.9893259799996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0732032"/>
        <c:axId val="171295296"/>
      </c:barChart>
      <c:lineChart>
        <c:grouping val="standard"/>
        <c:varyColors val="0"/>
        <c:ser>
          <c:idx val="3"/>
          <c:order val="1"/>
          <c:tx>
            <c:strRef>
              <c:f>'00_g'!$B$86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'00_g'!$C$83:$N$83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'00_g'!$C$86:$N$86</c:f>
              <c:numCache>
                <c:formatCode>#,##0_ ;\-#,##0\ </c:formatCode>
                <c:ptCount val="12"/>
                <c:pt idx="0">
                  <c:v>156.77104</c:v>
                </c:pt>
                <c:pt idx="1">
                  <c:v>318.891615</c:v>
                </c:pt>
                <c:pt idx="2">
                  <c:v>477.41985699999998</c:v>
                </c:pt>
                <c:pt idx="3">
                  <c:v>642.80169699999999</c:v>
                </c:pt>
                <c:pt idx="4">
                  <c:v>802.69909099999995</c:v>
                </c:pt>
                <c:pt idx="5">
                  <c:v>959.98507699999993</c:v>
                </c:pt>
                <c:pt idx="6">
                  <c:v>1136.57349</c:v>
                </c:pt>
                <c:pt idx="7">
                  <c:v>1318.459196</c:v>
                </c:pt>
                <c:pt idx="8">
                  <c:v>1496.481689</c:v>
                </c:pt>
                <c:pt idx="9">
                  <c:v>1664.9532669999999</c:v>
                </c:pt>
                <c:pt idx="10">
                  <c:v>1828.7392969999999</c:v>
                </c:pt>
                <c:pt idx="11">
                  <c:v>2000.2772219999999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32032"/>
        <c:axId val="171295296"/>
      </c:lineChart>
      <c:catAx>
        <c:axId val="1707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295296"/>
        <c:crosses val="autoZero"/>
        <c:auto val="1"/>
        <c:lblAlgn val="ctr"/>
        <c:lblOffset val="100"/>
        <c:noMultiLvlLbl val="0"/>
      </c:catAx>
      <c:valAx>
        <c:axId val="1712952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07320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'17_g'!$AY$18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'17_g'!$AZ$16:$BK$16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'17_g'!$AZ$18:$BK$18</c:f>
              <c:numCache>
                <c:formatCode>#,##0.000_ ;\-#,##0.000\ </c:formatCode>
                <c:ptCount val="12"/>
                <c:pt idx="0">
                  <c:v>1.2455000000000001E-2</c:v>
                </c:pt>
                <c:pt idx="1">
                  <c:v>1.4274999999999999E-2</c:v>
                </c:pt>
                <c:pt idx="2">
                  <c:v>1.3733E-2</c:v>
                </c:pt>
                <c:pt idx="3">
                  <c:v>1.4133E-2</c:v>
                </c:pt>
                <c:pt idx="4">
                  <c:v>1.3589E-2</c:v>
                </c:pt>
                <c:pt idx="5">
                  <c:v>1.1735000000000001E-2</c:v>
                </c:pt>
                <c:pt idx="6">
                  <c:v>1.1769E-2</c:v>
                </c:pt>
                <c:pt idx="7">
                  <c:v>1.0805E-2</c:v>
                </c:pt>
                <c:pt idx="8">
                  <c:v>9.7380000000000001E-3</c:v>
                </c:pt>
                <c:pt idx="9">
                  <c:v>1.3102000000000001E-2</c:v>
                </c:pt>
                <c:pt idx="10">
                  <c:v>1.6303000000000002E-2</c:v>
                </c:pt>
                <c:pt idx="11">
                  <c:v>1.3200999999999999E-2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'17_g'!$AZ$16:$BK$16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'17_g'!$AZ$19:$BK$19</c:f>
              <c:numCache>
                <c:formatCode>#,##0.000_ ;\-#,##0.000\ </c:formatCode>
                <c:ptCount val="12"/>
                <c:pt idx="0">
                  <c:v>1.7972999999999999E-2</c:v>
                </c:pt>
                <c:pt idx="1">
                  <c:v>1.7805000000000001E-2</c:v>
                </c:pt>
                <c:pt idx="2">
                  <c:v>1.7070999999999999E-2</c:v>
                </c:pt>
                <c:pt idx="3">
                  <c:v>1.7172E-2</c:v>
                </c:pt>
                <c:pt idx="4">
                  <c:v>1.5532000000000001E-2</c:v>
                </c:pt>
                <c:pt idx="5">
                  <c:v>1.5398E-2</c:v>
                </c:pt>
                <c:pt idx="6">
                  <c:v>1.8134000000000001E-2</c:v>
                </c:pt>
                <c:pt idx="7">
                  <c:v>1.7179E-2</c:v>
                </c:pt>
                <c:pt idx="8">
                  <c:v>1.6664000000000002E-2</c:v>
                </c:pt>
                <c:pt idx="9">
                  <c:v>1.77E-2</c:v>
                </c:pt>
                <c:pt idx="10">
                  <c:v>1.6570999999999999E-2</c:v>
                </c:pt>
                <c:pt idx="11">
                  <c:v>1.5103E-2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'17_g'!$AY$20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'17_g'!$AZ$16:$BK$16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'17_g'!$AZ$20:$BK$20</c:f>
              <c:numCache>
                <c:formatCode>#,##0.000_ ;\-#,##0.000\ </c:formatCode>
                <c:ptCount val="12"/>
                <c:pt idx="0">
                  <c:v>1.5622E-2</c:v>
                </c:pt>
                <c:pt idx="1">
                  <c:v>1.5251000000000001E-2</c:v>
                </c:pt>
                <c:pt idx="2">
                  <c:v>1.9681000000000001E-2</c:v>
                </c:pt>
                <c:pt idx="3">
                  <c:v>1.6815E-2</c:v>
                </c:pt>
                <c:pt idx="4">
                  <c:v>1.7094999999999999E-2</c:v>
                </c:pt>
                <c:pt idx="5">
                  <c:v>1.8866999999999998E-2</c:v>
                </c:pt>
                <c:pt idx="6">
                  <c:v>1.6955999999999999E-2</c:v>
                </c:pt>
                <c:pt idx="7">
                  <c:v>1.3638000000000001E-2</c:v>
                </c:pt>
                <c:pt idx="8">
                  <c:v>1.3107000000000001E-2</c:v>
                </c:pt>
                <c:pt idx="9">
                  <c:v>1.3634E-2</c:v>
                </c:pt>
                <c:pt idx="10">
                  <c:v>1.5202E-2</c:v>
                </c:pt>
                <c:pt idx="11">
                  <c:v>1.3375E-2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62400"/>
        <c:axId val="240232128"/>
      </c:lineChart>
      <c:catAx>
        <c:axId val="2442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0232128"/>
        <c:crosses val="autoZero"/>
        <c:auto val="1"/>
        <c:lblAlgn val="ctr"/>
        <c:lblOffset val="100"/>
        <c:noMultiLvlLbl val="0"/>
      </c:catAx>
      <c:valAx>
        <c:axId val="2402321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69577118328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2624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8960099364"/>
          <c:y val="2.2161373086791118E-2"/>
          <c:w val="0.3530096103990063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'17_g'!$AY$39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'17_g'!$AZ$37:$BO$37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'17_g'!$AZ$39:$BO$39</c:f>
              <c:numCache>
                <c:formatCode>_(* #,##0.00_);_(* \(#,##0.00\);_(* "-"??_);_(@_)</c:formatCode>
                <c:ptCount val="16"/>
                <c:pt idx="0">
                  <c:v>16.217447916666668</c:v>
                </c:pt>
                <c:pt idx="1">
                  <c:v>17.927561349308014</c:v>
                </c:pt>
                <c:pt idx="2">
                  <c:v>17.649856055932553</c:v>
                </c:pt>
                <c:pt idx="3">
                  <c:v>17.274605736144196</c:v>
                </c:pt>
                <c:pt idx="4">
                  <c:v>16.910154707634874</c:v>
                </c:pt>
                <c:pt idx="5">
                  <c:v>17.06753413130032</c:v>
                </c:pt>
                <c:pt idx="6">
                  <c:v>15.381086571859232</c:v>
                </c:pt>
                <c:pt idx="7">
                  <c:v>16.870547258430523</c:v>
                </c:pt>
                <c:pt idx="8">
                  <c:v>12.746117356553382</c:v>
                </c:pt>
                <c:pt idx="9">
                  <c:v>10.987055509797342</c:v>
                </c:pt>
                <c:pt idx="10">
                  <c:v>11.071570689557159</c:v>
                </c:pt>
                <c:pt idx="11">
                  <c:v>14.917386294006702</c:v>
                </c:pt>
                <c:pt idx="12">
                  <c:v>16.64676136508017</c:v>
                </c:pt>
                <c:pt idx="13">
                  <c:v>19.930561498306826</c:v>
                </c:pt>
                <c:pt idx="14">
                  <c:v>16.402221587167475</c:v>
                </c:pt>
                <c:pt idx="15">
                  <c:v>15.587535045729329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'17_g'!$AY$40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'17_g'!$AZ$37:$BO$37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'17_g'!$AZ$40:$BO$40</c:f>
              <c:numCache>
                <c:formatCode>_(* #,##0.00_);_(* \(#,##0.00\);_(* "-"??_);_(@_)</c:formatCode>
                <c:ptCount val="1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'17_g'!$AY$41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'17_g'!$AZ$37:$BO$37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'17_g'!$AZ$41:$BO$41</c:f>
              <c:numCache>
                <c:formatCode>_(* #,##0.00_);_(* \(#,##0.00\);_(* "-"??_);_(@_)</c:formatCode>
                <c:ptCount val="16"/>
                <c:pt idx="0">
                  <c:v>19.526035547333951</c:v>
                </c:pt>
                <c:pt idx="1">
                  <c:v>18.441577286303339</c:v>
                </c:pt>
                <c:pt idx="2">
                  <c:v>22.665607149437996</c:v>
                </c:pt>
                <c:pt idx="3">
                  <c:v>20.259119890036349</c:v>
                </c:pt>
                <c:pt idx="4">
                  <c:v>19.147991254441106</c:v>
                </c:pt>
                <c:pt idx="5">
                  <c:v>19.336047958375747</c:v>
                </c:pt>
                <c:pt idx="6">
                  <c:v>21.369593041035689</c:v>
                </c:pt>
                <c:pt idx="7">
                  <c:v>20.101273801094052</c:v>
                </c:pt>
                <c:pt idx="8">
                  <c:v>17.323960930156524</c:v>
                </c:pt>
                <c:pt idx="9">
                  <c:v>15.436332767402378</c:v>
                </c:pt>
                <c:pt idx="10">
                  <c:v>15.308517969142363</c:v>
                </c:pt>
                <c:pt idx="11">
                  <c:v>18.708812986943581</c:v>
                </c:pt>
                <c:pt idx="12">
                  <c:v>16.146184910173965</c:v>
                </c:pt>
                <c:pt idx="13">
                  <c:v>17.846702903229595</c:v>
                </c:pt>
                <c:pt idx="14">
                  <c:v>15.997081653888937</c:v>
                </c:pt>
                <c:pt idx="15">
                  <c:v>18.211712127861052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62912"/>
        <c:axId val="240234432"/>
      </c:lineChart>
      <c:catAx>
        <c:axId val="24426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0234432"/>
        <c:crosses val="autoZero"/>
        <c:auto val="1"/>
        <c:lblAlgn val="ctr"/>
        <c:lblOffset val="100"/>
        <c:noMultiLvlLbl val="0"/>
      </c:catAx>
      <c:valAx>
        <c:axId val="2402344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6943993443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2629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1541142277"/>
          <c:y val="2.2161373086791118E-2"/>
          <c:w val="0.2830308547545978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'17_g'!$A$64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'17_g'!$B$62:$M$62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'17_g'!$B$64:$M$64</c:f>
              <c:numCache>
                <c:formatCode>#,##0.00_ ;\-#,##0.00\ </c:formatCode>
                <c:ptCount val="12"/>
                <c:pt idx="0">
                  <c:v>1.2271628799999998</c:v>
                </c:pt>
                <c:pt idx="1">
                  <c:v>1.2345315399999999</c:v>
                </c:pt>
                <c:pt idx="2">
                  <c:v>1.2159976399999999</c:v>
                </c:pt>
                <c:pt idx="3">
                  <c:v>1.3377285299999997</c:v>
                </c:pt>
                <c:pt idx="4">
                  <c:v>1.25842177</c:v>
                </c:pt>
                <c:pt idx="5">
                  <c:v>1.2424862299999999</c:v>
                </c:pt>
                <c:pt idx="6">
                  <c:v>1.5283720900000002</c:v>
                </c:pt>
                <c:pt idx="7">
                  <c:v>1.67358016</c:v>
                </c:pt>
                <c:pt idx="8">
                  <c:v>1.5190028999999998</c:v>
                </c:pt>
                <c:pt idx="9">
                  <c:v>1.21385308</c:v>
                </c:pt>
                <c:pt idx="10">
                  <c:v>1.1986551300000001</c:v>
                </c:pt>
                <c:pt idx="11">
                  <c:v>1.2834313199999996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'17_g'!$A$65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'17_g'!$B$62:$M$62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'17_g'!$B$65:$M$65</c:f>
              <c:numCache>
                <c:formatCode>#,##0.00_ ;\-#,##0.00\ </c:formatCode>
                <c:ptCount val="12"/>
                <c:pt idx="0">
                  <c:v>1.192226</c:v>
                </c:pt>
                <c:pt idx="1">
                  <c:v>1.204366</c:v>
                </c:pt>
                <c:pt idx="2">
                  <c:v>1.206771</c:v>
                </c:pt>
                <c:pt idx="3">
                  <c:v>1.2950079999999999</c:v>
                </c:pt>
                <c:pt idx="4">
                  <c:v>1.2050160000000001</c:v>
                </c:pt>
                <c:pt idx="5">
                  <c:v>1.211014</c:v>
                </c:pt>
                <c:pt idx="6">
                  <c:v>1.4339280000000001</c:v>
                </c:pt>
                <c:pt idx="7">
                  <c:v>1.4564950000000001</c:v>
                </c:pt>
                <c:pt idx="8">
                  <c:v>1.4380109999999999</c:v>
                </c:pt>
                <c:pt idx="9">
                  <c:v>1.2597959999999999</c:v>
                </c:pt>
                <c:pt idx="10">
                  <c:v>1.2932049999999999</c:v>
                </c:pt>
                <c:pt idx="11">
                  <c:v>1.337286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'17_g'!$A$66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'17_g'!$B$62:$M$62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'17_g'!$B$66:$M$66</c:f>
              <c:numCache>
                <c:formatCode>#,##0.00_ ;\-#,##0.00\ </c:formatCode>
                <c:ptCount val="12"/>
                <c:pt idx="0">
                  <c:v>1.2450876499999999</c:v>
                </c:pt>
                <c:pt idx="1">
                  <c:v>1.33576329</c:v>
                </c:pt>
                <c:pt idx="2">
                  <c:v>1.2821997400000003</c:v>
                </c:pt>
                <c:pt idx="3">
                  <c:v>1.3514508200000002</c:v>
                </c:pt>
                <c:pt idx="4">
                  <c:v>1.3680583499999999</c:v>
                </c:pt>
                <c:pt idx="5">
                  <c:v>1.3624666900000002</c:v>
                </c:pt>
                <c:pt idx="6">
                  <c:v>1.54579106</c:v>
                </c:pt>
                <c:pt idx="7">
                  <c:v>1.4177516200000002</c:v>
                </c:pt>
                <c:pt idx="8">
                  <c:v>1.3792901500000003</c:v>
                </c:pt>
                <c:pt idx="9">
                  <c:v>1.36048261</c:v>
                </c:pt>
                <c:pt idx="10">
                  <c:v>1.34149824</c:v>
                </c:pt>
                <c:pt idx="11">
                  <c:v>1.3536772300000004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63424"/>
        <c:axId val="240236736"/>
      </c:lineChart>
      <c:catAx>
        <c:axId val="2442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0236736"/>
        <c:crosses val="autoZero"/>
        <c:auto val="1"/>
        <c:lblAlgn val="ctr"/>
        <c:lblOffset val="100"/>
        <c:noMultiLvlLbl val="0"/>
      </c:catAx>
      <c:valAx>
        <c:axId val="2402367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24175666567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2634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258150111"/>
          <c:y val="2.2161373086791118E-2"/>
          <c:w val="0.4542921274184988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'17_g'!$B$85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'17_g'!$C$85:$N$85</c:f>
              <c:numCache>
                <c:formatCode>#,##0.00_ ;\-#,##0.00\ </c:formatCode>
                <c:ptCount val="12"/>
                <c:pt idx="0">
                  <c:v>1.2271628799999998</c:v>
                </c:pt>
                <c:pt idx="1">
                  <c:v>2.4616944199999997</c:v>
                </c:pt>
                <c:pt idx="2">
                  <c:v>3.6776920599999996</c:v>
                </c:pt>
                <c:pt idx="3">
                  <c:v>5.0154205899999997</c:v>
                </c:pt>
                <c:pt idx="4">
                  <c:v>6.2738423599999997</c:v>
                </c:pt>
                <c:pt idx="5">
                  <c:v>7.5163285899999996</c:v>
                </c:pt>
                <c:pt idx="6">
                  <c:v>9.04470068</c:v>
                </c:pt>
                <c:pt idx="7">
                  <c:v>10.71828084</c:v>
                </c:pt>
                <c:pt idx="8">
                  <c:v>12.237283740000001</c:v>
                </c:pt>
                <c:pt idx="9">
                  <c:v>13.45113682</c:v>
                </c:pt>
                <c:pt idx="10">
                  <c:v>14.649791950000001</c:v>
                </c:pt>
                <c:pt idx="11">
                  <c:v>15.933223270000001</c:v>
                </c:pt>
              </c:numCache>
            </c:numRef>
          </c:val>
        </c:ser>
        <c:ser>
          <c:idx val="0"/>
          <c:order val="2"/>
          <c:tx>
            <c:strRef>
              <c:f>'17_g'!$B$87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'17_g'!$C$87:$N$87</c:f>
              <c:numCache>
                <c:formatCode>#,##0.00_ ;\-#,##0.00\ </c:formatCode>
                <c:ptCount val="12"/>
                <c:pt idx="0">
                  <c:v>1.2450876499999999</c:v>
                </c:pt>
                <c:pt idx="1">
                  <c:v>2.5808509399999999</c:v>
                </c:pt>
                <c:pt idx="2">
                  <c:v>3.8630506800000002</c:v>
                </c:pt>
                <c:pt idx="3">
                  <c:v>5.2145015000000008</c:v>
                </c:pt>
                <c:pt idx="4">
                  <c:v>6.5825598500000009</c:v>
                </c:pt>
                <c:pt idx="5">
                  <c:v>7.9450265400000006</c:v>
                </c:pt>
                <c:pt idx="6">
                  <c:v>9.4908175999999997</c:v>
                </c:pt>
                <c:pt idx="7">
                  <c:v>10.90856922</c:v>
                </c:pt>
                <c:pt idx="8">
                  <c:v>12.287859370000001</c:v>
                </c:pt>
                <c:pt idx="9">
                  <c:v>13.648341980000001</c:v>
                </c:pt>
                <c:pt idx="10">
                  <c:v>14.989840220000001</c:v>
                </c:pt>
                <c:pt idx="11">
                  <c:v>16.34351745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4263936"/>
        <c:axId val="244761152"/>
      </c:barChart>
      <c:lineChart>
        <c:grouping val="standard"/>
        <c:varyColors val="0"/>
        <c:ser>
          <c:idx val="3"/>
          <c:order val="1"/>
          <c:tx>
            <c:strRef>
              <c:f>'17_g'!$B$86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'17_g'!$C$83:$N$83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'17_g'!$C$86:$N$86</c:f>
              <c:numCache>
                <c:formatCode>#,##0.00_ ;\-#,##0.00\ </c:formatCode>
                <c:ptCount val="12"/>
                <c:pt idx="0">
                  <c:v>1.192226</c:v>
                </c:pt>
                <c:pt idx="1">
                  <c:v>2.3965920000000001</c:v>
                </c:pt>
                <c:pt idx="2">
                  <c:v>3.6033629999999999</c:v>
                </c:pt>
                <c:pt idx="3">
                  <c:v>4.898371</c:v>
                </c:pt>
                <c:pt idx="4">
                  <c:v>6.1033869999999997</c:v>
                </c:pt>
                <c:pt idx="5">
                  <c:v>7.3144010000000002</c:v>
                </c:pt>
                <c:pt idx="6">
                  <c:v>8.748329</c:v>
                </c:pt>
                <c:pt idx="7">
                  <c:v>10.204824</c:v>
                </c:pt>
                <c:pt idx="8">
                  <c:v>11.642835</c:v>
                </c:pt>
                <c:pt idx="9">
                  <c:v>12.902631</c:v>
                </c:pt>
                <c:pt idx="10">
                  <c:v>14.195836</c:v>
                </c:pt>
                <c:pt idx="11">
                  <c:v>15.533122000000001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63936"/>
        <c:axId val="244761152"/>
      </c:lineChart>
      <c:catAx>
        <c:axId val="24426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761152"/>
        <c:crosses val="autoZero"/>
        <c:auto val="1"/>
        <c:lblAlgn val="ctr"/>
        <c:lblOffset val="100"/>
        <c:noMultiLvlLbl val="0"/>
      </c:catAx>
      <c:valAx>
        <c:axId val="244761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49319449822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2639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1828808284"/>
          <c:y val="2.2161373086791118E-2"/>
          <c:w val="0.3910368171191716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'17_g'!$S$64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'17_g'!$T$62:$AE$62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'17_g'!$T$64:$AE$64</c:f>
              <c:numCache>
                <c:formatCode>#,##0.00_ ;\-#,##0.00\ </c:formatCode>
                <c:ptCount val="12"/>
                <c:pt idx="0">
                  <c:v>0.66038279999999994</c:v>
                </c:pt>
                <c:pt idx="1">
                  <c:v>0.69848892000000007</c:v>
                </c:pt>
                <c:pt idx="2">
                  <c:v>0.76797648000000007</c:v>
                </c:pt>
                <c:pt idx="3">
                  <c:v>0.62251292999999996</c:v>
                </c:pt>
                <c:pt idx="4">
                  <c:v>0.67630283000000002</c:v>
                </c:pt>
                <c:pt idx="5">
                  <c:v>0.76135156000000004</c:v>
                </c:pt>
                <c:pt idx="6">
                  <c:v>0.66998535999999997</c:v>
                </c:pt>
                <c:pt idx="7">
                  <c:v>0.67011001000000014</c:v>
                </c:pt>
                <c:pt idx="8">
                  <c:v>0.72666911000000012</c:v>
                </c:pt>
                <c:pt idx="9">
                  <c:v>0.66467882000000011</c:v>
                </c:pt>
                <c:pt idx="10">
                  <c:v>0.69627799000000012</c:v>
                </c:pt>
                <c:pt idx="11">
                  <c:v>0.83280426000000007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'17_g'!$S$65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'17_g'!$T$62:$AE$62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'17_g'!$T$65:$AE$65</c:f>
              <c:numCache>
                <c:formatCode>#,##0.00_ ;\-#,##0.00\ </c:formatCode>
                <c:ptCount val="12"/>
                <c:pt idx="0">
                  <c:v>0.70026500000000003</c:v>
                </c:pt>
                <c:pt idx="1">
                  <c:v>0.67592399999999997</c:v>
                </c:pt>
                <c:pt idx="2">
                  <c:v>0.72416999999999998</c:v>
                </c:pt>
                <c:pt idx="3">
                  <c:v>0.76098900000000003</c:v>
                </c:pt>
                <c:pt idx="4">
                  <c:v>0.67040100000000002</c:v>
                </c:pt>
                <c:pt idx="5">
                  <c:v>0.74285400000000001</c:v>
                </c:pt>
                <c:pt idx="6">
                  <c:v>0.71074899999999996</c:v>
                </c:pt>
                <c:pt idx="7">
                  <c:v>0.68350299999999997</c:v>
                </c:pt>
                <c:pt idx="8">
                  <c:v>0.80030100000000004</c:v>
                </c:pt>
                <c:pt idx="9">
                  <c:v>0.641621</c:v>
                </c:pt>
                <c:pt idx="10">
                  <c:v>0.76708200000000004</c:v>
                </c:pt>
                <c:pt idx="11">
                  <c:v>0.88064699999999996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'17_g'!$S$66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'17_g'!$T$62:$AE$62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'17_g'!$T$66:$AE$66</c:f>
              <c:numCache>
                <c:formatCode>#,##0.00_ ;\-#,##0.00\ </c:formatCode>
                <c:ptCount val="12"/>
                <c:pt idx="0">
                  <c:v>0.68588704000000011</c:v>
                </c:pt>
                <c:pt idx="1">
                  <c:v>0.71346676000000009</c:v>
                </c:pt>
                <c:pt idx="2">
                  <c:v>0.91607736000000006</c:v>
                </c:pt>
                <c:pt idx="3">
                  <c:v>0.66519055999999999</c:v>
                </c:pt>
                <c:pt idx="4">
                  <c:v>0.76501603000000029</c:v>
                </c:pt>
                <c:pt idx="5">
                  <c:v>0.83939399999999997</c:v>
                </c:pt>
                <c:pt idx="6">
                  <c:v>0.71369384999999985</c:v>
                </c:pt>
                <c:pt idx="7">
                  <c:v>0.76119969999999992</c:v>
                </c:pt>
                <c:pt idx="8">
                  <c:v>0.68527853999999999</c:v>
                </c:pt>
                <c:pt idx="9">
                  <c:v>0.74380798999999997</c:v>
                </c:pt>
                <c:pt idx="10">
                  <c:v>0.73061534000000006</c:v>
                </c:pt>
                <c:pt idx="11">
                  <c:v>0.78188602000000007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64448"/>
        <c:axId val="244763456"/>
      </c:lineChart>
      <c:catAx>
        <c:axId val="2442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763456"/>
        <c:crosses val="autoZero"/>
        <c:auto val="1"/>
        <c:lblAlgn val="ctr"/>
        <c:lblOffset val="100"/>
        <c:noMultiLvlLbl val="0"/>
      </c:catAx>
      <c:valAx>
        <c:axId val="2447634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672640057924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2644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73825685581"/>
          <c:y val="2.2161373086791118E-2"/>
          <c:w val="0.4542922617431441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'17_g'!$T$85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'17_g'!$U$85:$AF$85</c:f>
              <c:numCache>
                <c:formatCode>#,##0.00_ ;\-#,##0.00\ </c:formatCode>
                <c:ptCount val="12"/>
                <c:pt idx="0">
                  <c:v>0.66038279999999994</c:v>
                </c:pt>
                <c:pt idx="1">
                  <c:v>1.35887172</c:v>
                </c:pt>
                <c:pt idx="2">
                  <c:v>2.1268482</c:v>
                </c:pt>
                <c:pt idx="3">
                  <c:v>2.74936113</c:v>
                </c:pt>
                <c:pt idx="4">
                  <c:v>3.4256639600000001</c:v>
                </c:pt>
                <c:pt idx="5">
                  <c:v>4.1870155200000001</c:v>
                </c:pt>
                <c:pt idx="6">
                  <c:v>4.8570008800000002</c:v>
                </c:pt>
                <c:pt idx="7">
                  <c:v>5.5271108900000003</c:v>
                </c:pt>
                <c:pt idx="8">
                  <c:v>6.2537800000000008</c:v>
                </c:pt>
                <c:pt idx="9">
                  <c:v>6.9184588200000006</c:v>
                </c:pt>
                <c:pt idx="10">
                  <c:v>7.614736810000001</c:v>
                </c:pt>
                <c:pt idx="11">
                  <c:v>8.4475410700000015</c:v>
                </c:pt>
              </c:numCache>
            </c:numRef>
          </c:val>
        </c:ser>
        <c:ser>
          <c:idx val="0"/>
          <c:order val="2"/>
          <c:tx>
            <c:strRef>
              <c:f>'17_g'!$T$87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'17_g'!$U$87:$AF$87</c:f>
              <c:numCache>
                <c:formatCode>#,##0.00_ ;\-#,##0.00\ </c:formatCode>
                <c:ptCount val="12"/>
                <c:pt idx="0">
                  <c:v>0.68588704000000011</c:v>
                </c:pt>
                <c:pt idx="1">
                  <c:v>1.3993538000000001</c:v>
                </c:pt>
                <c:pt idx="2">
                  <c:v>2.3154311600000002</c:v>
                </c:pt>
                <c:pt idx="3">
                  <c:v>2.9806217200000003</c:v>
                </c:pt>
                <c:pt idx="4">
                  <c:v>3.7456377500000007</c:v>
                </c:pt>
                <c:pt idx="5">
                  <c:v>4.5850317500000006</c:v>
                </c:pt>
                <c:pt idx="6">
                  <c:v>5.2987256000000009</c:v>
                </c:pt>
                <c:pt idx="7">
                  <c:v>6.0599253000000006</c:v>
                </c:pt>
                <c:pt idx="8">
                  <c:v>6.7452038400000003</c:v>
                </c:pt>
                <c:pt idx="9">
                  <c:v>7.4890118299999999</c:v>
                </c:pt>
                <c:pt idx="10">
                  <c:v>8.2196271700000008</c:v>
                </c:pt>
                <c:pt idx="11">
                  <c:v>9.0015131900000007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5358592"/>
        <c:axId val="244765760"/>
      </c:barChart>
      <c:lineChart>
        <c:grouping val="standard"/>
        <c:varyColors val="0"/>
        <c:ser>
          <c:idx val="3"/>
          <c:order val="1"/>
          <c:tx>
            <c:strRef>
              <c:f>'17_g'!$T$86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'17_g'!$U$83:$AF$83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'17_g'!$U$86:$AF$86</c:f>
              <c:numCache>
                <c:formatCode>#,##0.00_ ;\-#,##0.00\ </c:formatCode>
                <c:ptCount val="12"/>
                <c:pt idx="0">
                  <c:v>0.70026500000000003</c:v>
                </c:pt>
                <c:pt idx="1">
                  <c:v>1.3761890000000001</c:v>
                </c:pt>
                <c:pt idx="2">
                  <c:v>2.1003590000000001</c:v>
                </c:pt>
                <c:pt idx="3">
                  <c:v>2.861348</c:v>
                </c:pt>
                <c:pt idx="4">
                  <c:v>3.531749</c:v>
                </c:pt>
                <c:pt idx="5">
                  <c:v>4.2746029999999999</c:v>
                </c:pt>
                <c:pt idx="6">
                  <c:v>4.9853519999999998</c:v>
                </c:pt>
                <c:pt idx="7">
                  <c:v>5.6688549999999998</c:v>
                </c:pt>
                <c:pt idx="8">
                  <c:v>6.4691559999999999</c:v>
                </c:pt>
                <c:pt idx="9">
                  <c:v>7.1107769999999997</c:v>
                </c:pt>
                <c:pt idx="10">
                  <c:v>7.8778589999999999</c:v>
                </c:pt>
                <c:pt idx="11">
                  <c:v>8.7585060000000006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58592"/>
        <c:axId val="244765760"/>
      </c:lineChart>
      <c:catAx>
        <c:axId val="24535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765760"/>
        <c:crosses val="autoZero"/>
        <c:auto val="1"/>
        <c:lblAlgn val="ctr"/>
        <c:lblOffset val="100"/>
        <c:noMultiLvlLbl val="0"/>
      </c:catAx>
      <c:valAx>
        <c:axId val="2447657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18765496636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3585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644191785"/>
          <c:y val="2.2161373086791118E-2"/>
          <c:w val="0.39103676355808215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'17_g'!$AI$64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'17_g'!$AJ$62:$AU$62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'17_g'!$AJ$64:$AU$64</c:f>
              <c:numCache>
                <c:formatCode>#,##0.00_ ;\-#,##0.00\ </c:formatCode>
                <c:ptCount val="12"/>
                <c:pt idx="0">
                  <c:v>0.56678007999999991</c:v>
                </c:pt>
                <c:pt idx="1">
                  <c:v>0.5360426199999998</c:v>
                </c:pt>
                <c:pt idx="2">
                  <c:v>0.44802115999999981</c:v>
                </c:pt>
                <c:pt idx="3">
                  <c:v>0.71521559999999973</c:v>
                </c:pt>
                <c:pt idx="4">
                  <c:v>0.58211893999999997</c:v>
                </c:pt>
                <c:pt idx="5">
                  <c:v>0.48113466999999988</c:v>
                </c:pt>
                <c:pt idx="6">
                  <c:v>0.85838673000000021</c:v>
                </c:pt>
                <c:pt idx="7">
                  <c:v>1.0034701499999998</c:v>
                </c:pt>
                <c:pt idx="8">
                  <c:v>0.7923337899999997</c:v>
                </c:pt>
                <c:pt idx="9">
                  <c:v>0.54917425999999991</c:v>
                </c:pt>
                <c:pt idx="10">
                  <c:v>0.50237714</c:v>
                </c:pt>
                <c:pt idx="11">
                  <c:v>0.45062705999999952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'17_g'!$AI$65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'17_g'!$AJ$62:$AU$62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'17_g'!$AJ$65:$AU$65</c:f>
              <c:numCache>
                <c:formatCode>#,##0.00_ ;\-#,##0.00\ </c:formatCode>
                <c:ptCount val="12"/>
                <c:pt idx="0">
                  <c:v>0.49196099999999998</c:v>
                </c:pt>
                <c:pt idx="1">
                  <c:v>0.52844200000000008</c:v>
                </c:pt>
                <c:pt idx="2">
                  <c:v>0.48260100000000006</c:v>
                </c:pt>
                <c:pt idx="3">
                  <c:v>0.53401899999999991</c:v>
                </c:pt>
                <c:pt idx="4">
                  <c:v>0.53461500000000006</c:v>
                </c:pt>
                <c:pt idx="5">
                  <c:v>0.46816000000000002</c:v>
                </c:pt>
                <c:pt idx="6">
                  <c:v>0.72317900000000013</c:v>
                </c:pt>
                <c:pt idx="7">
                  <c:v>0.77299200000000012</c:v>
                </c:pt>
                <c:pt idx="8">
                  <c:v>0.63770999999999989</c:v>
                </c:pt>
                <c:pt idx="9">
                  <c:v>0.61817499999999992</c:v>
                </c:pt>
                <c:pt idx="10">
                  <c:v>0.5261229999999999</c:v>
                </c:pt>
                <c:pt idx="11">
                  <c:v>0.45663900000000002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'17_g'!$AI$66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'17_g'!$AJ$62:$AU$62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'17_g'!$AJ$66:$AU$66</c:f>
              <c:numCache>
                <c:formatCode>#,##0.00_ ;\-#,##0.00\ </c:formatCode>
                <c:ptCount val="12"/>
                <c:pt idx="0">
                  <c:v>0.55920060999999976</c:v>
                </c:pt>
                <c:pt idx="1">
                  <c:v>0.62229652999999996</c:v>
                </c:pt>
                <c:pt idx="2">
                  <c:v>0.36612238000000019</c:v>
                </c:pt>
                <c:pt idx="3">
                  <c:v>0.68626026000000018</c:v>
                </c:pt>
                <c:pt idx="4">
                  <c:v>0.60304231999999958</c:v>
                </c:pt>
                <c:pt idx="5">
                  <c:v>0.52307269000000023</c:v>
                </c:pt>
                <c:pt idx="6">
                  <c:v>0.83209721000000014</c:v>
                </c:pt>
                <c:pt idx="7">
                  <c:v>0.65655192000000029</c:v>
                </c:pt>
                <c:pt idx="8">
                  <c:v>0.69401161000000033</c:v>
                </c:pt>
                <c:pt idx="9">
                  <c:v>0.61667462000000006</c:v>
                </c:pt>
                <c:pt idx="10">
                  <c:v>0.6108828999999999</c:v>
                </c:pt>
                <c:pt idx="11">
                  <c:v>0.57179121000000033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59616"/>
        <c:axId val="244768064"/>
      </c:lineChart>
      <c:catAx>
        <c:axId val="24535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4768064"/>
        <c:crosses val="autoZero"/>
        <c:auto val="1"/>
        <c:lblAlgn val="ctr"/>
        <c:lblOffset val="100"/>
        <c:noMultiLvlLbl val="0"/>
      </c:catAx>
      <c:valAx>
        <c:axId val="2447680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42424750097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3596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2375607307"/>
          <c:y val="2.2161373086791118E-2"/>
          <c:w val="0.4542921762439269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'17_g'!$AJ$85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'17_g'!$AK$85:$AV$85</c:f>
              <c:numCache>
                <c:formatCode>#,##0.00_ ;\-#,##0.00\ </c:formatCode>
                <c:ptCount val="12"/>
                <c:pt idx="0">
                  <c:v>0.56678007999999991</c:v>
                </c:pt>
                <c:pt idx="1">
                  <c:v>1.1028226999999997</c:v>
                </c:pt>
                <c:pt idx="2">
                  <c:v>1.5508438599999996</c:v>
                </c:pt>
                <c:pt idx="3">
                  <c:v>2.2660594599999992</c:v>
                </c:pt>
                <c:pt idx="4">
                  <c:v>2.8481783999999992</c:v>
                </c:pt>
                <c:pt idx="5">
                  <c:v>3.3293130699999991</c:v>
                </c:pt>
                <c:pt idx="6">
                  <c:v>4.187699799999999</c:v>
                </c:pt>
                <c:pt idx="7">
                  <c:v>5.191169949999999</c:v>
                </c:pt>
                <c:pt idx="8">
                  <c:v>5.9835037399999988</c:v>
                </c:pt>
                <c:pt idx="9">
                  <c:v>6.5326779999999989</c:v>
                </c:pt>
                <c:pt idx="10">
                  <c:v>7.035055139999999</c:v>
                </c:pt>
                <c:pt idx="11">
                  <c:v>7.4856821999999985</c:v>
                </c:pt>
              </c:numCache>
            </c:numRef>
          </c:val>
        </c:ser>
        <c:ser>
          <c:idx val="0"/>
          <c:order val="2"/>
          <c:tx>
            <c:strRef>
              <c:f>'17_g'!$AJ$87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'17_g'!$AK$83:$AV$83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'17_g'!$AK$87:$AV$87</c:f>
              <c:numCache>
                <c:formatCode>#,##0.00_ ;\-#,##0.00\ </c:formatCode>
                <c:ptCount val="12"/>
                <c:pt idx="0">
                  <c:v>0.55920060999999976</c:v>
                </c:pt>
                <c:pt idx="1">
                  <c:v>1.1814971399999998</c:v>
                </c:pt>
                <c:pt idx="2">
                  <c:v>1.54761952</c:v>
                </c:pt>
                <c:pt idx="3">
                  <c:v>2.2338797800000001</c:v>
                </c:pt>
                <c:pt idx="4">
                  <c:v>2.8369220999999998</c:v>
                </c:pt>
                <c:pt idx="5">
                  <c:v>3.35999479</c:v>
                </c:pt>
                <c:pt idx="6">
                  <c:v>4.1920920000000006</c:v>
                </c:pt>
                <c:pt idx="7">
                  <c:v>4.8486439200000007</c:v>
                </c:pt>
                <c:pt idx="8">
                  <c:v>5.5426555300000011</c:v>
                </c:pt>
                <c:pt idx="9">
                  <c:v>6.1593301500000015</c:v>
                </c:pt>
                <c:pt idx="10">
                  <c:v>6.7702130500000015</c:v>
                </c:pt>
                <c:pt idx="11">
                  <c:v>7.3420042600000022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5360128"/>
        <c:axId val="245466816"/>
      </c:barChart>
      <c:lineChart>
        <c:grouping val="standard"/>
        <c:varyColors val="0"/>
        <c:ser>
          <c:idx val="3"/>
          <c:order val="1"/>
          <c:tx>
            <c:strRef>
              <c:f>'17_g'!$AJ$86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'17_g'!$AK$83:$AV$83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'17_g'!$AK$86:$AV$86</c:f>
              <c:numCache>
                <c:formatCode>#,##0.00_ ;\-#,##0.00\ </c:formatCode>
                <c:ptCount val="12"/>
                <c:pt idx="0">
                  <c:v>0.49196099999999998</c:v>
                </c:pt>
                <c:pt idx="1">
                  <c:v>1.0204029999999999</c:v>
                </c:pt>
                <c:pt idx="2">
                  <c:v>1.503004</c:v>
                </c:pt>
                <c:pt idx="3">
                  <c:v>2.037023</c:v>
                </c:pt>
                <c:pt idx="4">
                  <c:v>2.5716380000000001</c:v>
                </c:pt>
                <c:pt idx="5">
                  <c:v>3.0397980000000002</c:v>
                </c:pt>
                <c:pt idx="6">
                  <c:v>3.7629770000000002</c:v>
                </c:pt>
                <c:pt idx="7">
                  <c:v>4.5359690000000006</c:v>
                </c:pt>
                <c:pt idx="8">
                  <c:v>5.1736790000000008</c:v>
                </c:pt>
                <c:pt idx="9">
                  <c:v>5.7918540000000007</c:v>
                </c:pt>
                <c:pt idx="10">
                  <c:v>6.3179770000000008</c:v>
                </c:pt>
                <c:pt idx="11">
                  <c:v>6.7746160000000009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60128"/>
        <c:axId val="245466816"/>
      </c:lineChart>
      <c:catAx>
        <c:axId val="2453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466816"/>
        <c:crosses val="autoZero"/>
        <c:auto val="1"/>
        <c:lblAlgn val="ctr"/>
        <c:lblOffset val="100"/>
        <c:noMultiLvlLbl val="0"/>
      </c:catAx>
      <c:valAx>
        <c:axId val="2454668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80311484241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36012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37626670838"/>
          <c:y val="2.2161373086791118E-2"/>
          <c:w val="0.3910366237332916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'17_g'!$T$21:$U$21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'17_g'!$V$21:$AC$21</c:f>
              <c:numCache>
                <c:formatCode>#,##0</c:formatCode>
                <c:ptCount val="8"/>
                <c:pt idx="0">
                  <c:v>53.97628458498022</c:v>
                </c:pt>
                <c:pt idx="1">
                  <c:v>56</c:v>
                </c:pt>
                <c:pt idx="2">
                  <c:v>122.49802371541499</c:v>
                </c:pt>
                <c:pt idx="3">
                  <c:v>94</c:v>
                </c:pt>
                <c:pt idx="4">
                  <c:v>221.4347826086956</c:v>
                </c:pt>
                <c:pt idx="5">
                  <c:v>124</c:v>
                </c:pt>
                <c:pt idx="6">
                  <c:v>267.99999999999994</c:v>
                </c:pt>
                <c:pt idx="7">
                  <c:v>156</c:v>
                </c:pt>
              </c:numCache>
            </c:numRef>
          </c:val>
        </c:ser>
        <c:ser>
          <c:idx val="0"/>
          <c:order val="1"/>
          <c:tx>
            <c:strRef>
              <c:f>'17_g'!$T$22:$U$22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'17_g'!$V$20:$AC$20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'17_g'!$V$22:$AC$22</c:f>
              <c:numCache>
                <c:formatCode>#,##0</c:formatCode>
                <c:ptCount val="8"/>
                <c:pt idx="0">
                  <c:v>8</c:v>
                </c:pt>
                <c:pt idx="1">
                  <c:v>2</c:v>
                </c:pt>
                <c:pt idx="2">
                  <c:v>16</c:v>
                </c:pt>
                <c:pt idx="3">
                  <c:v>15</c:v>
                </c:pt>
                <c:pt idx="4">
                  <c:v>29</c:v>
                </c:pt>
                <c:pt idx="5">
                  <c:v>18</c:v>
                </c:pt>
                <c:pt idx="6">
                  <c:v>52</c:v>
                </c:pt>
                <c:pt idx="7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45361152"/>
        <c:axId val="245469120"/>
      </c:barChart>
      <c:catAx>
        <c:axId val="245361152"/>
        <c:scaling>
          <c:orientation val="minMax"/>
        </c:scaling>
        <c:delete val="1"/>
        <c:axPos val="b"/>
        <c:majorTickMark val="out"/>
        <c:minorTickMark val="none"/>
        <c:tickLblPos val="nextTo"/>
        <c:crossAx val="245469120"/>
        <c:crosses val="autoZero"/>
        <c:auto val="1"/>
        <c:lblAlgn val="ctr"/>
        <c:lblOffset val="100"/>
        <c:noMultiLvlLbl val="0"/>
      </c:catAx>
      <c:valAx>
        <c:axId val="24546912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45361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49431833464"/>
          <c:y val="4.8388727724823874E-2"/>
          <c:w val="0.21673902768010511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('18'!$A$9,'18'!$A$13,'18'!$A$17)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('18'!$B$9,'18'!$B$13,'18'!$B$17)</c:f>
              <c:numCache>
                <c:formatCode>_-* #,##0_-;\-* #,##0_-;_-* "-"??_-;_-@_-</c:formatCode>
                <c:ptCount val="3"/>
                <c:pt idx="0">
                  <c:v>4577</c:v>
                </c:pt>
                <c:pt idx="1">
                  <c:v>1058</c:v>
                </c:pt>
                <c:pt idx="2">
                  <c:v>660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'00_g'!$S$64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'00_g'!$T$62:$AE$62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'00_g'!$T$64:$AE$64</c:f>
              <c:numCache>
                <c:formatCode>#,##0.0_ ;\-#,##0.0\ </c:formatCode>
                <c:ptCount val="12"/>
                <c:pt idx="0">
                  <c:v>58.505708139999996</c:v>
                </c:pt>
                <c:pt idx="1">
                  <c:v>58.624295100000005</c:v>
                </c:pt>
                <c:pt idx="2">
                  <c:v>62.89150759999999</c:v>
                </c:pt>
                <c:pt idx="3">
                  <c:v>58.598791789999986</c:v>
                </c:pt>
                <c:pt idx="4">
                  <c:v>56.557732799999997</c:v>
                </c:pt>
                <c:pt idx="5">
                  <c:v>64.308429230000002</c:v>
                </c:pt>
                <c:pt idx="6">
                  <c:v>58.665271540000013</c:v>
                </c:pt>
                <c:pt idx="7">
                  <c:v>61.485977399999975</c:v>
                </c:pt>
                <c:pt idx="8">
                  <c:v>65.496684599999995</c:v>
                </c:pt>
                <c:pt idx="9">
                  <c:v>59.10537639999999</c:v>
                </c:pt>
                <c:pt idx="10">
                  <c:v>63.663244879999986</c:v>
                </c:pt>
                <c:pt idx="11">
                  <c:v>63.637480920000002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'00_g'!$S$65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'00_g'!$T$62:$AE$62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'00_g'!$T$65:$AE$65</c:f>
              <c:numCache>
                <c:formatCode>#,##0.0_ ;\-#,##0.0\ </c:formatCode>
                <c:ptCount val="12"/>
                <c:pt idx="0">
                  <c:v>59.806723666666663</c:v>
                </c:pt>
                <c:pt idx="1">
                  <c:v>57.213983666666664</c:v>
                </c:pt>
                <c:pt idx="2">
                  <c:v>55.983475666666664</c:v>
                </c:pt>
                <c:pt idx="3">
                  <c:v>58.720351666666666</c:v>
                </c:pt>
                <c:pt idx="4">
                  <c:v>58.609980666666665</c:v>
                </c:pt>
                <c:pt idx="5">
                  <c:v>62.200185666666663</c:v>
                </c:pt>
                <c:pt idx="6">
                  <c:v>57.733091666666667</c:v>
                </c:pt>
                <c:pt idx="7">
                  <c:v>60.862501666666667</c:v>
                </c:pt>
                <c:pt idx="8">
                  <c:v>62.900047666666666</c:v>
                </c:pt>
                <c:pt idx="9">
                  <c:v>60.133230666666663</c:v>
                </c:pt>
                <c:pt idx="10">
                  <c:v>62.006472666666674</c:v>
                </c:pt>
                <c:pt idx="11">
                  <c:v>70.935200666666674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'00_g'!$S$66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'00_g'!$T$62:$AE$62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'00_g'!$T$66:$AE$66</c:f>
              <c:numCache>
                <c:formatCode>#,##0.0_ ;\-#,##0.0\ </c:formatCode>
                <c:ptCount val="12"/>
                <c:pt idx="0">
                  <c:v>54.857293530000007</c:v>
                </c:pt>
                <c:pt idx="1">
                  <c:v>58.375268370000001</c:v>
                </c:pt>
                <c:pt idx="2">
                  <c:v>63.855236190000014</c:v>
                </c:pt>
                <c:pt idx="3">
                  <c:v>53.902692039999991</c:v>
                </c:pt>
                <c:pt idx="4">
                  <c:v>57.264715680000009</c:v>
                </c:pt>
                <c:pt idx="5">
                  <c:v>65.633323109999992</c:v>
                </c:pt>
                <c:pt idx="6">
                  <c:v>62.240433230000001</c:v>
                </c:pt>
                <c:pt idx="7">
                  <c:v>63.485998989999992</c:v>
                </c:pt>
                <c:pt idx="8">
                  <c:v>64.510846870000009</c:v>
                </c:pt>
                <c:pt idx="9">
                  <c:v>62.648606740000005</c:v>
                </c:pt>
                <c:pt idx="10">
                  <c:v>63.058667619999987</c:v>
                </c:pt>
                <c:pt idx="11">
                  <c:v>68.456848719999996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33056"/>
        <c:axId val="171297600"/>
      </c:lineChart>
      <c:catAx>
        <c:axId val="17073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297600"/>
        <c:crosses val="autoZero"/>
        <c:auto val="1"/>
        <c:lblAlgn val="ctr"/>
        <c:lblOffset val="100"/>
        <c:noMultiLvlLbl val="0"/>
      </c:catAx>
      <c:valAx>
        <c:axId val="1712976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48339609724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07330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4819125867"/>
          <c:y val="2.2161373086791118E-2"/>
          <c:w val="0.4542920518087413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('18'!$A$9,'18'!$A$13,'18'!$A$17)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('18'!$G$9,'18'!$G$13,'18'!$G$17)</c:f>
              <c:numCache>
                <c:formatCode>_-* #,##0_-;\-* #,##0_-;_-* "-"??_-;_-@_-</c:formatCode>
                <c:ptCount val="3"/>
                <c:pt idx="0">
                  <c:v>4959</c:v>
                </c:pt>
                <c:pt idx="1">
                  <c:v>1071</c:v>
                </c:pt>
                <c:pt idx="2">
                  <c:v>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('18'!$A$9,'18'!$A$13,'18'!$A$17)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('18'!$C$9,'18'!$C$13,'18'!$C$17)</c:f>
              <c:numCache>
                <c:formatCode>_(* #,##0.00_);_(* \(#,##0.00\);_(* "-"??_);_(@_)</c:formatCode>
                <c:ptCount val="3"/>
                <c:pt idx="0">
                  <c:v>0.81217300000000003</c:v>
                </c:pt>
                <c:pt idx="1">
                  <c:v>0.55688499999999996</c:v>
                </c:pt>
                <c:pt idx="2">
                  <c:v>0.27814299999999997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('18'!$A$9,'18'!$A$13,'18'!$A$17)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('18'!$H$9,'18'!$H$13,'18'!$H$17)</c:f>
              <c:numCache>
                <c:formatCode>_(* #,##0.00_);_(* \(#,##0.00\);_(* "-"??_);_(@_)</c:formatCode>
                <c:ptCount val="3"/>
                <c:pt idx="0">
                  <c:v>0.82083300000000003</c:v>
                </c:pt>
                <c:pt idx="1">
                  <c:v>0.554477</c:v>
                </c:pt>
                <c:pt idx="2">
                  <c:v>0.264654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('18'!$A$9,'18'!$A$13,'18'!$A$17)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('18'!$E$9,'18'!$E$13,'18'!$E$17)</c:f>
              <c:numCache>
                <c:formatCode>_(* #,##0.00_);_(* \(#,##0.00\);_(* "-"??_);_(@_)</c:formatCode>
                <c:ptCount val="3"/>
                <c:pt idx="0">
                  <c:v>11.82822101</c:v>
                </c:pt>
                <c:pt idx="1">
                  <c:v>11.7280464</c:v>
                </c:pt>
                <c:pt idx="2">
                  <c:v>7.3050129999999989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('18'!$A$9,'18'!$A$13,'18'!$A$17)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('18'!$J$9,'18'!$J$13,'18'!$J$17)</c:f>
              <c:numCache>
                <c:formatCode>_(* #,##0.00_);_(* \(#,##0.00\);_(* "-"??_);_(@_)</c:formatCode>
                <c:ptCount val="3"/>
                <c:pt idx="0">
                  <c:v>11.788614089999998</c:v>
                </c:pt>
                <c:pt idx="1">
                  <c:v>11.607636099999999</c:v>
                </c:pt>
                <c:pt idx="2">
                  <c:v>6.9747502499999996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('18'!$A$9,'18'!$A$13,'18'!$A$17,'18'!$A$20)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('18'!$D$9,'18'!$D$13,'18'!$D$17,'18'!$D$20)</c:f>
              <c:numCache>
                <c:formatCode>_-* #,##0.000_-;\-* #,##0.000_-;_-* "-"??_-;_-@_-</c:formatCode>
                <c:ptCount val="4"/>
                <c:pt idx="0">
                  <c:v>0.4802787625403227</c:v>
                </c:pt>
                <c:pt idx="1">
                  <c:v>1.7056593949325021</c:v>
                </c:pt>
                <c:pt idx="2">
                  <c:v>1.1860476520441341</c:v>
                </c:pt>
                <c:pt idx="3">
                  <c:v>0.73142292577873491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('18'!$A$9,'18'!$A$13,'18'!$A$17,'18'!$A$20)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('18'!$I$9,'18'!$I$13,'18'!$I$17,'18'!$I$20)</c:f>
              <c:numCache>
                <c:formatCode>_-* #,##0.000_-;\-* #,##0.000_-;_-* "-"??_-;_-@_-</c:formatCode>
                <c:ptCount val="4"/>
                <c:pt idx="0">
                  <c:v>0.47165636204835892</c:v>
                </c:pt>
                <c:pt idx="1">
                  <c:v>1.4270691108437301</c:v>
                </c:pt>
                <c:pt idx="2">
                  <c:v>1.2821917808219179</c:v>
                </c:pt>
                <c:pt idx="3">
                  <c:v>0.70225883944897161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45252096"/>
        <c:axId val="243291200"/>
      </c:barChart>
      <c:catAx>
        <c:axId val="24525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3291200"/>
        <c:crosses val="autoZero"/>
        <c:auto val="1"/>
        <c:lblAlgn val="ctr"/>
        <c:lblOffset val="100"/>
        <c:noMultiLvlLbl val="0"/>
      </c:catAx>
      <c:valAx>
        <c:axId val="2432912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252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('18'!$A$9,'18'!$A$13,'18'!$A$17,'18'!$A$20)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('18'!$F$9,'18'!$F$13,'18'!$F$17,'18'!$F$20)</c:f>
              <c:numCache>
                <c:formatCode>_(* #,##0.00_);_(* \(#,##0.00\);_(* "-"??_);_(@_)</c:formatCode>
                <c:ptCount val="4"/>
                <c:pt idx="0">
                  <c:v>14.563671791601051</c:v>
                </c:pt>
                <c:pt idx="1">
                  <c:v>21.06008673244925</c:v>
                </c:pt>
                <c:pt idx="2">
                  <c:v>26.263515529781444</c:v>
                </c:pt>
                <c:pt idx="3">
                  <c:v>18.735588680434265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('18'!$A$9,'18'!$A$13,'18'!$A$17,'18'!$A$20)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('18'!$K$9,'18'!$K$13,'18'!$K$17,'18'!$K$20)</c:f>
              <c:numCache>
                <c:formatCode>_(* #,##0.00_);_(* \(#,##0.00\);_(* "-"??_);_(@_)</c:formatCode>
                <c:ptCount val="4"/>
                <c:pt idx="0">
                  <c:v>14.361769190566164</c:v>
                </c:pt>
                <c:pt idx="1">
                  <c:v>20.934386998919699</c:v>
                </c:pt>
                <c:pt idx="2">
                  <c:v>26.35422192749779</c:v>
                </c:pt>
                <c:pt idx="3">
                  <c:v>18.519309228739171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45253632"/>
        <c:axId val="243292928"/>
      </c:barChart>
      <c:catAx>
        <c:axId val="24525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3292928"/>
        <c:crosses val="autoZero"/>
        <c:auto val="1"/>
        <c:lblAlgn val="ctr"/>
        <c:lblOffset val="100"/>
        <c:noMultiLvlLbl val="0"/>
      </c:catAx>
      <c:valAx>
        <c:axId val="243292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25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'18_g'!$A$18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'18_g'!$B$16:$M$16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'18_g'!$B$18:$M$18</c:f>
              <c:numCache>
                <c:formatCode>#,##0_ ;\-#,##0\ </c:formatCode>
                <c:ptCount val="12"/>
                <c:pt idx="0">
                  <c:v>68</c:v>
                </c:pt>
                <c:pt idx="1">
                  <c:v>15</c:v>
                </c:pt>
                <c:pt idx="2">
                  <c:v>10</c:v>
                </c:pt>
                <c:pt idx="3">
                  <c:v>19</c:v>
                </c:pt>
                <c:pt idx="4">
                  <c:v>11</c:v>
                </c:pt>
                <c:pt idx="5">
                  <c:v>20</c:v>
                </c:pt>
                <c:pt idx="6">
                  <c:v>27</c:v>
                </c:pt>
                <c:pt idx="7">
                  <c:v>32</c:v>
                </c:pt>
                <c:pt idx="8">
                  <c:v>27</c:v>
                </c:pt>
                <c:pt idx="9">
                  <c:v>17</c:v>
                </c:pt>
                <c:pt idx="10">
                  <c:v>15</c:v>
                </c:pt>
                <c:pt idx="11">
                  <c:v>27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'18_g'!$A$19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'18_g'!$B$16:$M$16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'18_g'!$B$19:$M$19</c:f>
              <c:numCache>
                <c:formatCode>#,##0_ ;\-#,##0\ </c:formatCode>
                <c:ptCount val="12"/>
                <c:pt idx="0">
                  <c:v>24.75</c:v>
                </c:pt>
                <c:pt idx="1">
                  <c:v>12</c:v>
                </c:pt>
                <c:pt idx="2">
                  <c:v>6.2499999999999991</c:v>
                </c:pt>
                <c:pt idx="3">
                  <c:v>12.499999999999998</c:v>
                </c:pt>
                <c:pt idx="4">
                  <c:v>15.249999999999996</c:v>
                </c:pt>
                <c:pt idx="5">
                  <c:v>8.7499999999999982</c:v>
                </c:pt>
                <c:pt idx="6">
                  <c:v>12.499999999999998</c:v>
                </c:pt>
                <c:pt idx="7">
                  <c:v>16.749999999999996</c:v>
                </c:pt>
                <c:pt idx="8">
                  <c:v>13.749999999999998</c:v>
                </c:pt>
                <c:pt idx="9">
                  <c:v>10.999999999999998</c:v>
                </c:pt>
                <c:pt idx="10">
                  <c:v>9.25</c:v>
                </c:pt>
                <c:pt idx="11">
                  <c:v>9.25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'18_g'!$A$20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'18_g'!$B$16:$M$16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'18_g'!$B$20:$M$20</c:f>
              <c:numCache>
                <c:formatCode>#,##0_ ;\-#,##0\ </c:formatCode>
                <c:ptCount val="12"/>
                <c:pt idx="0">
                  <c:v>13</c:v>
                </c:pt>
                <c:pt idx="1">
                  <c:v>7</c:v>
                </c:pt>
                <c:pt idx="2">
                  <c:v>25</c:v>
                </c:pt>
                <c:pt idx="3">
                  <c:v>17</c:v>
                </c:pt>
                <c:pt idx="4">
                  <c:v>21</c:v>
                </c:pt>
                <c:pt idx="5">
                  <c:v>18</c:v>
                </c:pt>
                <c:pt idx="6">
                  <c:v>21</c:v>
                </c:pt>
                <c:pt idx="7">
                  <c:v>17</c:v>
                </c:pt>
                <c:pt idx="8">
                  <c:v>50</c:v>
                </c:pt>
                <c:pt idx="9">
                  <c:v>17</c:v>
                </c:pt>
                <c:pt idx="10">
                  <c:v>23</c:v>
                </c:pt>
                <c:pt idx="11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255168"/>
        <c:axId val="245924416"/>
      </c:lineChart>
      <c:catAx>
        <c:axId val="24525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924416"/>
        <c:crosses val="autoZero"/>
        <c:auto val="1"/>
        <c:lblAlgn val="ctr"/>
        <c:lblOffset val="100"/>
        <c:noMultiLvlLbl val="0"/>
      </c:catAx>
      <c:valAx>
        <c:axId val="2459244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2551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'18_g'!$B$39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'18_g'!$C$39:$N$39</c:f>
              <c:numCache>
                <c:formatCode>#,##0_ ;\-#,##0\ </c:formatCode>
                <c:ptCount val="12"/>
                <c:pt idx="0">
                  <c:v>68</c:v>
                </c:pt>
                <c:pt idx="1">
                  <c:v>83</c:v>
                </c:pt>
                <c:pt idx="2">
                  <c:v>93</c:v>
                </c:pt>
                <c:pt idx="3">
                  <c:v>112</c:v>
                </c:pt>
                <c:pt idx="4">
                  <c:v>123</c:v>
                </c:pt>
                <c:pt idx="5">
                  <c:v>143</c:v>
                </c:pt>
                <c:pt idx="6">
                  <c:v>170</c:v>
                </c:pt>
                <c:pt idx="7">
                  <c:v>202</c:v>
                </c:pt>
                <c:pt idx="8">
                  <c:v>229</c:v>
                </c:pt>
                <c:pt idx="9">
                  <c:v>246</c:v>
                </c:pt>
                <c:pt idx="10">
                  <c:v>261</c:v>
                </c:pt>
                <c:pt idx="11">
                  <c:v>288</c:v>
                </c:pt>
              </c:numCache>
            </c:numRef>
          </c:val>
        </c:ser>
        <c:ser>
          <c:idx val="0"/>
          <c:order val="2"/>
          <c:tx>
            <c:strRef>
              <c:f>'18_g'!$B$41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'18_g'!$C$41:$N$41</c:f>
              <c:numCache>
                <c:formatCode>#,##0_ ;\-#,##0\ </c:formatCode>
                <c:ptCount val="12"/>
                <c:pt idx="0">
                  <c:v>13</c:v>
                </c:pt>
                <c:pt idx="1">
                  <c:v>20</c:v>
                </c:pt>
                <c:pt idx="2">
                  <c:v>45</c:v>
                </c:pt>
                <c:pt idx="3">
                  <c:v>62</c:v>
                </c:pt>
                <c:pt idx="4">
                  <c:v>83</c:v>
                </c:pt>
                <c:pt idx="5">
                  <c:v>101</c:v>
                </c:pt>
                <c:pt idx="6">
                  <c:v>122</c:v>
                </c:pt>
                <c:pt idx="7">
                  <c:v>139</c:v>
                </c:pt>
                <c:pt idx="8">
                  <c:v>189</c:v>
                </c:pt>
                <c:pt idx="9">
                  <c:v>206</c:v>
                </c:pt>
                <c:pt idx="10">
                  <c:v>229</c:v>
                </c:pt>
                <c:pt idx="11">
                  <c:v>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6158336"/>
        <c:axId val="245926720"/>
      </c:barChart>
      <c:lineChart>
        <c:grouping val="standard"/>
        <c:varyColors val="0"/>
        <c:ser>
          <c:idx val="3"/>
          <c:order val="1"/>
          <c:tx>
            <c:strRef>
              <c:f>'18_g'!$B$40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'18_g'!$C$37:$N$37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'18_g'!$C$40:$N$40</c:f>
              <c:numCache>
                <c:formatCode>#,##0_ ;\-#,##0\ </c:formatCode>
                <c:ptCount val="12"/>
                <c:pt idx="0">
                  <c:v>24.75</c:v>
                </c:pt>
                <c:pt idx="1">
                  <c:v>36.75</c:v>
                </c:pt>
                <c:pt idx="2">
                  <c:v>43</c:v>
                </c:pt>
                <c:pt idx="3">
                  <c:v>55.5</c:v>
                </c:pt>
                <c:pt idx="4">
                  <c:v>70.75</c:v>
                </c:pt>
                <c:pt idx="5">
                  <c:v>79.5</c:v>
                </c:pt>
                <c:pt idx="6">
                  <c:v>92</c:v>
                </c:pt>
                <c:pt idx="7">
                  <c:v>108.75</c:v>
                </c:pt>
                <c:pt idx="8">
                  <c:v>122.5</c:v>
                </c:pt>
                <c:pt idx="9">
                  <c:v>133.5</c:v>
                </c:pt>
                <c:pt idx="10">
                  <c:v>142.75</c:v>
                </c:pt>
                <c:pt idx="11">
                  <c:v>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58336"/>
        <c:axId val="245926720"/>
      </c:lineChart>
      <c:catAx>
        <c:axId val="2461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926720"/>
        <c:crosses val="autoZero"/>
        <c:auto val="1"/>
        <c:lblAlgn val="ctr"/>
        <c:lblOffset val="100"/>
        <c:noMultiLvlLbl val="0"/>
      </c:catAx>
      <c:valAx>
        <c:axId val="2459267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61583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'18_g'!$AI$18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'18_g'!$AJ$16:$AU$16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'18_g'!$AJ$18:$AU$18</c:f>
              <c:numCache>
                <c:formatCode>#,##0.000_ ;\-#,##0.000\ </c:formatCode>
                <c:ptCount val="12"/>
                <c:pt idx="0">
                  <c:v>0.129799</c:v>
                </c:pt>
                <c:pt idx="1">
                  <c:v>0.13081899999999999</c:v>
                </c:pt>
                <c:pt idx="2">
                  <c:v>0.13022900000000001</c:v>
                </c:pt>
                <c:pt idx="3">
                  <c:v>0.13394700000000001</c:v>
                </c:pt>
                <c:pt idx="4">
                  <c:v>0.13251199999999999</c:v>
                </c:pt>
                <c:pt idx="5">
                  <c:v>0.132109</c:v>
                </c:pt>
                <c:pt idx="6">
                  <c:v>0.15196899999999999</c:v>
                </c:pt>
                <c:pt idx="7">
                  <c:v>0.165716</c:v>
                </c:pt>
                <c:pt idx="8">
                  <c:v>0.153169</c:v>
                </c:pt>
                <c:pt idx="9">
                  <c:v>0.12987099999999999</c:v>
                </c:pt>
                <c:pt idx="10">
                  <c:v>0.13083</c:v>
                </c:pt>
                <c:pt idx="11">
                  <c:v>0.12870899999999999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'18_g'!$AJ$16:$AU$16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'18_g'!$AJ$19:$AU$19</c:f>
              <c:numCache>
                <c:formatCode>#,##0.000_ ;\-#,##0.000\ </c:formatCode>
                <c:ptCount val="12"/>
                <c:pt idx="0">
                  <c:v>0.13873199999999999</c:v>
                </c:pt>
                <c:pt idx="1">
                  <c:v>0.14119799999999999</c:v>
                </c:pt>
                <c:pt idx="2">
                  <c:v>0.13215499999999999</c:v>
                </c:pt>
                <c:pt idx="3">
                  <c:v>0.14472099999999999</c:v>
                </c:pt>
                <c:pt idx="4">
                  <c:v>0.14008899999999999</c:v>
                </c:pt>
                <c:pt idx="5">
                  <c:v>0.135962</c:v>
                </c:pt>
                <c:pt idx="6">
                  <c:v>0.157583</c:v>
                </c:pt>
                <c:pt idx="7">
                  <c:v>0.167437</c:v>
                </c:pt>
                <c:pt idx="8">
                  <c:v>0.15882299999999999</c:v>
                </c:pt>
                <c:pt idx="9">
                  <c:v>0.13993</c:v>
                </c:pt>
                <c:pt idx="10">
                  <c:v>0.138462</c:v>
                </c:pt>
                <c:pt idx="11">
                  <c:v>0.13896800000000001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'18_g'!$AI$20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'18_g'!$AJ$16:$AU$16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'18_g'!$AJ$20:$AU$20</c:f>
              <c:numCache>
                <c:formatCode>#,##0.000_ ;\-#,##0.000\ </c:formatCode>
                <c:ptCount val="12"/>
                <c:pt idx="0">
                  <c:v>0.124324</c:v>
                </c:pt>
                <c:pt idx="1">
                  <c:v>0.13219</c:v>
                </c:pt>
                <c:pt idx="2">
                  <c:v>0.129694</c:v>
                </c:pt>
                <c:pt idx="3">
                  <c:v>0.13628999999999999</c:v>
                </c:pt>
                <c:pt idx="4">
                  <c:v>0.130992</c:v>
                </c:pt>
                <c:pt idx="5">
                  <c:v>0.13189400000000001</c:v>
                </c:pt>
                <c:pt idx="6">
                  <c:v>0.158301</c:v>
                </c:pt>
                <c:pt idx="7">
                  <c:v>0.14590900000000001</c:v>
                </c:pt>
                <c:pt idx="8">
                  <c:v>0.14452699999999999</c:v>
                </c:pt>
                <c:pt idx="9">
                  <c:v>0.13176599999999999</c:v>
                </c:pt>
                <c:pt idx="10">
                  <c:v>0.134133</c:v>
                </c:pt>
                <c:pt idx="11">
                  <c:v>0.141096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58848"/>
        <c:axId val="245929024"/>
      </c:lineChart>
      <c:catAx>
        <c:axId val="2461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929024"/>
        <c:crosses val="autoZero"/>
        <c:auto val="1"/>
        <c:lblAlgn val="ctr"/>
        <c:lblOffset val="100"/>
        <c:noMultiLvlLbl val="0"/>
      </c:catAx>
      <c:valAx>
        <c:axId val="2459290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69429932749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61588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17274003534"/>
          <c:y val="2.2161373086791118E-2"/>
          <c:w val="0.35128896165681067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'00_g'!$T$85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'00_g'!$U$85:$AF$85</c:f>
              <c:numCache>
                <c:formatCode>#,##0_ ;\-#,##0\ </c:formatCode>
                <c:ptCount val="12"/>
                <c:pt idx="0">
                  <c:v>58.505708139999996</c:v>
                </c:pt>
                <c:pt idx="1">
                  <c:v>117.13000324000001</c:v>
                </c:pt>
                <c:pt idx="2">
                  <c:v>180.02151083999999</c:v>
                </c:pt>
                <c:pt idx="3">
                  <c:v>238.62030262999997</c:v>
                </c:pt>
                <c:pt idx="4">
                  <c:v>295.17803542999997</c:v>
                </c:pt>
                <c:pt idx="5">
                  <c:v>359.48646465999997</c:v>
                </c:pt>
                <c:pt idx="6">
                  <c:v>418.15173619999996</c:v>
                </c:pt>
                <c:pt idx="7">
                  <c:v>479.63771359999993</c:v>
                </c:pt>
                <c:pt idx="8">
                  <c:v>545.13439819999996</c:v>
                </c:pt>
                <c:pt idx="9">
                  <c:v>604.23977459999992</c:v>
                </c:pt>
                <c:pt idx="10">
                  <c:v>667.9030194799999</c:v>
                </c:pt>
                <c:pt idx="11">
                  <c:v>731.54050039999993</c:v>
                </c:pt>
              </c:numCache>
            </c:numRef>
          </c:val>
        </c:ser>
        <c:ser>
          <c:idx val="0"/>
          <c:order val="2"/>
          <c:tx>
            <c:strRef>
              <c:f>'00_g'!$T$87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'00_g'!$U$87:$AF$87</c:f>
              <c:numCache>
                <c:formatCode>#,##0_ ;\-#,##0\ </c:formatCode>
                <c:ptCount val="12"/>
                <c:pt idx="0">
                  <c:v>54.857293530000007</c:v>
                </c:pt>
                <c:pt idx="1">
                  <c:v>113.23256190000001</c:v>
                </c:pt>
                <c:pt idx="2">
                  <c:v>177.08779809000004</c:v>
                </c:pt>
                <c:pt idx="3">
                  <c:v>230.99049013000001</c:v>
                </c:pt>
                <c:pt idx="4">
                  <c:v>288.25520581000001</c:v>
                </c:pt>
                <c:pt idx="5">
                  <c:v>353.88852892</c:v>
                </c:pt>
                <c:pt idx="6">
                  <c:v>416.12896215000001</c:v>
                </c:pt>
                <c:pt idx="7">
                  <c:v>479.61496113999999</c:v>
                </c:pt>
                <c:pt idx="8">
                  <c:v>544.12580801000001</c:v>
                </c:pt>
                <c:pt idx="9">
                  <c:v>606.77441475000001</c:v>
                </c:pt>
                <c:pt idx="10">
                  <c:v>669.83308236999994</c:v>
                </c:pt>
                <c:pt idx="11">
                  <c:v>738.28993108999998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1048960"/>
        <c:axId val="171299904"/>
      </c:barChart>
      <c:lineChart>
        <c:grouping val="standard"/>
        <c:varyColors val="0"/>
        <c:ser>
          <c:idx val="3"/>
          <c:order val="1"/>
          <c:tx>
            <c:strRef>
              <c:f>'00_g'!$T$86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'00_g'!$U$83:$AF$83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'00_g'!$U$86:$AF$86</c:f>
              <c:numCache>
                <c:formatCode>#,##0_ ;\-#,##0\ </c:formatCode>
                <c:ptCount val="12"/>
                <c:pt idx="0">
                  <c:v>59.806723666666663</c:v>
                </c:pt>
                <c:pt idx="1">
                  <c:v>117.02070733333332</c:v>
                </c:pt>
                <c:pt idx="2">
                  <c:v>173.00418299999998</c:v>
                </c:pt>
                <c:pt idx="3">
                  <c:v>231.72453466666664</c:v>
                </c:pt>
                <c:pt idx="4">
                  <c:v>290.33451533333329</c:v>
                </c:pt>
                <c:pt idx="5">
                  <c:v>352.53470099999993</c:v>
                </c:pt>
                <c:pt idx="6">
                  <c:v>410.26779266666659</c:v>
                </c:pt>
                <c:pt idx="7">
                  <c:v>471.13029433333327</c:v>
                </c:pt>
                <c:pt idx="8">
                  <c:v>534.03034199999991</c:v>
                </c:pt>
                <c:pt idx="9">
                  <c:v>594.1635726666666</c:v>
                </c:pt>
                <c:pt idx="10">
                  <c:v>656.17004533333329</c:v>
                </c:pt>
                <c:pt idx="11">
                  <c:v>727.10524599999997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48960"/>
        <c:axId val="171299904"/>
      </c:lineChart>
      <c:catAx>
        <c:axId val="1710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299904"/>
        <c:crosses val="autoZero"/>
        <c:auto val="1"/>
        <c:lblAlgn val="ctr"/>
        <c:lblOffset val="100"/>
        <c:noMultiLvlLbl val="0"/>
      </c:catAx>
      <c:valAx>
        <c:axId val="1712999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499633974324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0489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30815790878"/>
          <c:y val="2.2161373086791118E-2"/>
          <c:w val="0.3910366918420912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'18_g'!$AJ$39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'18_g'!$AK$39:$AV$39</c:f>
              <c:numCache>
                <c:formatCode>#,##0.000_ ;\-#,##0.000\ </c:formatCode>
                <c:ptCount val="12"/>
                <c:pt idx="0">
                  <c:v>0.129799</c:v>
                </c:pt>
                <c:pt idx="1">
                  <c:v>0.26061800000000002</c:v>
                </c:pt>
                <c:pt idx="2">
                  <c:v>0.39084700000000006</c:v>
                </c:pt>
                <c:pt idx="3">
                  <c:v>0.52479400000000009</c:v>
                </c:pt>
                <c:pt idx="4">
                  <c:v>0.65730600000000006</c:v>
                </c:pt>
                <c:pt idx="5">
                  <c:v>0.78941500000000009</c:v>
                </c:pt>
                <c:pt idx="6">
                  <c:v>0.94138400000000011</c:v>
                </c:pt>
                <c:pt idx="7">
                  <c:v>1.1071000000000002</c:v>
                </c:pt>
                <c:pt idx="8">
                  <c:v>1.2602690000000001</c:v>
                </c:pt>
                <c:pt idx="9">
                  <c:v>1.3901400000000002</c:v>
                </c:pt>
                <c:pt idx="10">
                  <c:v>1.5209700000000002</c:v>
                </c:pt>
                <c:pt idx="11">
                  <c:v>1.6496790000000001</c:v>
                </c:pt>
              </c:numCache>
            </c:numRef>
          </c:val>
        </c:ser>
        <c:ser>
          <c:idx val="0"/>
          <c:order val="2"/>
          <c:tx>
            <c:strRef>
              <c:f>'18_g'!$AJ$41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'18_g'!$AK$41:$AV$41</c:f>
              <c:numCache>
                <c:formatCode>#,##0.000_ ;\-#,##0.000\ </c:formatCode>
                <c:ptCount val="12"/>
                <c:pt idx="0">
                  <c:v>0.124324</c:v>
                </c:pt>
                <c:pt idx="1">
                  <c:v>0.25651400000000002</c:v>
                </c:pt>
                <c:pt idx="2">
                  <c:v>0.386208</c:v>
                </c:pt>
                <c:pt idx="3">
                  <c:v>0.52249800000000002</c:v>
                </c:pt>
                <c:pt idx="4">
                  <c:v>0.65349000000000002</c:v>
                </c:pt>
                <c:pt idx="5">
                  <c:v>0.78538400000000008</c:v>
                </c:pt>
                <c:pt idx="6">
                  <c:v>0.94368500000000011</c:v>
                </c:pt>
                <c:pt idx="7">
                  <c:v>1.0895940000000002</c:v>
                </c:pt>
                <c:pt idx="8">
                  <c:v>1.2341210000000002</c:v>
                </c:pt>
                <c:pt idx="9">
                  <c:v>1.3658870000000003</c:v>
                </c:pt>
                <c:pt idx="10">
                  <c:v>1.5000200000000004</c:v>
                </c:pt>
                <c:pt idx="11">
                  <c:v>1.6411160000000002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6159360"/>
        <c:axId val="245931328"/>
      </c:barChart>
      <c:lineChart>
        <c:grouping val="standard"/>
        <c:varyColors val="0"/>
        <c:ser>
          <c:idx val="3"/>
          <c:order val="1"/>
          <c:tx>
            <c:strRef>
              <c:f>'18_g'!$AJ$40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'18_g'!$AK$37:$AV$37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'18_g'!$AK$40:$AV$40</c:f>
              <c:numCache>
                <c:formatCode>#,##0.000_ ;\-#,##0.000\ </c:formatCode>
                <c:ptCount val="12"/>
                <c:pt idx="0">
                  <c:v>0.13873199999999999</c:v>
                </c:pt>
                <c:pt idx="1">
                  <c:v>0.27993000000000001</c:v>
                </c:pt>
                <c:pt idx="2">
                  <c:v>0.41208500000000003</c:v>
                </c:pt>
                <c:pt idx="3">
                  <c:v>0.55680600000000002</c:v>
                </c:pt>
                <c:pt idx="4">
                  <c:v>0.69689500000000004</c:v>
                </c:pt>
                <c:pt idx="5">
                  <c:v>0.83285700000000007</c:v>
                </c:pt>
                <c:pt idx="6">
                  <c:v>0.9904400000000001</c:v>
                </c:pt>
                <c:pt idx="7">
                  <c:v>1.157877</c:v>
                </c:pt>
                <c:pt idx="8">
                  <c:v>1.3167</c:v>
                </c:pt>
                <c:pt idx="9">
                  <c:v>1.4566300000000001</c:v>
                </c:pt>
                <c:pt idx="10">
                  <c:v>1.5950920000000002</c:v>
                </c:pt>
                <c:pt idx="11">
                  <c:v>1.7340600000000002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59360"/>
        <c:axId val="245931328"/>
      </c:lineChart>
      <c:catAx>
        <c:axId val="24615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5931328"/>
        <c:crosses val="autoZero"/>
        <c:auto val="1"/>
        <c:lblAlgn val="ctr"/>
        <c:lblOffset val="100"/>
        <c:noMultiLvlLbl val="0"/>
      </c:catAx>
      <c:valAx>
        <c:axId val="2459313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64247326227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61593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7619047611"/>
          <c:y val="2.2161373086791118E-2"/>
          <c:w val="0.33180952380952378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'18_g'!$AY$18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'18_g'!$AZ$16:$BK$16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'18_g'!$AZ$18:$BK$18</c:f>
              <c:numCache>
                <c:formatCode>#,##0.000_ ;\-#,##0.000\ </c:formatCode>
                <c:ptCount val="12"/>
                <c:pt idx="0">
                  <c:v>5.2833790000000005E-2</c:v>
                </c:pt>
                <c:pt idx="1">
                  <c:v>5.2708309999999994E-2</c:v>
                </c:pt>
                <c:pt idx="2">
                  <c:v>5.265829000000001E-2</c:v>
                </c:pt>
                <c:pt idx="3">
                  <c:v>5.8513200000000008E-2</c:v>
                </c:pt>
                <c:pt idx="4">
                  <c:v>5.6217250000000003E-2</c:v>
                </c:pt>
                <c:pt idx="5">
                  <c:v>6.7840589999999992E-2</c:v>
                </c:pt>
                <c:pt idx="6">
                  <c:v>6.2913499999999997E-2</c:v>
                </c:pt>
                <c:pt idx="7">
                  <c:v>6.8131589999999992E-2</c:v>
                </c:pt>
                <c:pt idx="8">
                  <c:v>5.241554000000001E-2</c:v>
                </c:pt>
                <c:pt idx="9">
                  <c:v>4.8534140000000017E-2</c:v>
                </c:pt>
                <c:pt idx="10">
                  <c:v>4.6869070000000006E-2</c:v>
                </c:pt>
                <c:pt idx="11">
                  <c:v>4.2260089999999993E-2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'18_g'!$AZ$16:$BK$16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'18_g'!$AZ$19:$BK$19</c:f>
              <c:numCache>
                <c:formatCode>#,##0.000_ ;\-#,##0.000\ </c:formatCode>
                <c:ptCount val="12"/>
                <c:pt idx="0">
                  <c:v>5.6201000000000001E-2</c:v>
                </c:pt>
                <c:pt idx="1">
                  <c:v>5.815E-2</c:v>
                </c:pt>
                <c:pt idx="2">
                  <c:v>5.6008000000000002E-2</c:v>
                </c:pt>
                <c:pt idx="3">
                  <c:v>5.7292999999999997E-2</c:v>
                </c:pt>
                <c:pt idx="4">
                  <c:v>5.4697000000000003E-2</c:v>
                </c:pt>
                <c:pt idx="5">
                  <c:v>5.8030999999999999E-2</c:v>
                </c:pt>
                <c:pt idx="6">
                  <c:v>5.7820999999999997E-2</c:v>
                </c:pt>
                <c:pt idx="7">
                  <c:v>5.6250000000000001E-2</c:v>
                </c:pt>
                <c:pt idx="8">
                  <c:v>4.4655E-2</c:v>
                </c:pt>
                <c:pt idx="9">
                  <c:v>4.8384000000000003E-2</c:v>
                </c:pt>
                <c:pt idx="10">
                  <c:v>4.6167E-2</c:v>
                </c:pt>
                <c:pt idx="11">
                  <c:v>4.7703000000000002E-2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'18_g'!$AY$20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'18_g'!$AZ$16:$BK$16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'18_g'!$AZ$20:$BK$20</c:f>
              <c:numCache>
                <c:formatCode>#,##0.000_ ;\-#,##0.000\ </c:formatCode>
                <c:ptCount val="12"/>
                <c:pt idx="0">
                  <c:v>4.2768160000000006E-2</c:v>
                </c:pt>
                <c:pt idx="1">
                  <c:v>4.7806359999999985E-2</c:v>
                </c:pt>
                <c:pt idx="2">
                  <c:v>5.1619880000000007E-2</c:v>
                </c:pt>
                <c:pt idx="3">
                  <c:v>6.1678570000000009E-2</c:v>
                </c:pt>
                <c:pt idx="4">
                  <c:v>4.9772420000000012E-2</c:v>
                </c:pt>
                <c:pt idx="5">
                  <c:v>5.3018570000000008E-2</c:v>
                </c:pt>
                <c:pt idx="6">
                  <c:v>5.3125910000000005E-2</c:v>
                </c:pt>
                <c:pt idx="7">
                  <c:v>5.069572E-2</c:v>
                </c:pt>
                <c:pt idx="8">
                  <c:v>4.0397920000000011E-2</c:v>
                </c:pt>
                <c:pt idx="9">
                  <c:v>4.7239600000000007E-2</c:v>
                </c:pt>
                <c:pt idx="10">
                  <c:v>4.9594130000000007E-2</c:v>
                </c:pt>
                <c:pt idx="11">
                  <c:v>4.4719329999999988E-2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60896"/>
        <c:axId val="237414080"/>
      </c:lineChart>
      <c:catAx>
        <c:axId val="24616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414080"/>
        <c:crosses val="autoZero"/>
        <c:auto val="1"/>
        <c:lblAlgn val="ctr"/>
        <c:lblOffset val="100"/>
        <c:noMultiLvlLbl val="0"/>
      </c:catAx>
      <c:valAx>
        <c:axId val="2374140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6859666492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61608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469902714256525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'18_g'!$AY$39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'18_g'!$AZ$37:$BO$37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'18_g'!$AZ$39:$BO$39</c:f>
              <c:numCache>
                <c:formatCode>_(* #,##0.00_);_(* \(#,##0.00\);_(* "-"??_);_(@_)</c:formatCode>
                <c:ptCount val="16"/>
                <c:pt idx="0">
                  <c:v>28.888637125529272</c:v>
                </c:pt>
                <c:pt idx="1">
                  <c:v>28.681000081023296</c:v>
                </c:pt>
                <c:pt idx="2">
                  <c:v>28.757376143348985</c:v>
                </c:pt>
                <c:pt idx="3">
                  <c:v>28.775510987334279</c:v>
                </c:pt>
                <c:pt idx="4">
                  <c:v>30.382704561881585</c:v>
                </c:pt>
                <c:pt idx="5">
                  <c:v>29.761386391520077</c:v>
                </c:pt>
                <c:pt idx="6">
                  <c:v>33.884785439099097</c:v>
                </c:pt>
                <c:pt idx="7">
                  <c:v>30.117732468178438</c:v>
                </c:pt>
                <c:pt idx="8">
                  <c:v>29.224373192739606</c:v>
                </c:pt>
                <c:pt idx="9">
                  <c:v>29.105169564947893</c:v>
                </c:pt>
                <c:pt idx="10">
                  <c:v>25.481355171186372</c:v>
                </c:pt>
                <c:pt idx="11">
                  <c:v>29.343573797144067</c:v>
                </c:pt>
                <c:pt idx="12">
                  <c:v>27.175053446805219</c:v>
                </c:pt>
                <c:pt idx="13">
                  <c:v>26.342767288704422</c:v>
                </c:pt>
                <c:pt idx="14">
                  <c:v>24.690676321522396</c:v>
                </c:pt>
                <c:pt idx="15">
                  <c:v>28.601385141217417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'18_g'!$AY$40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'18_g'!$AZ$37:$BO$37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'18_g'!$AZ$40:$BO$40</c:f>
              <c:numCache>
                <c:formatCode>_(* #,##0.00_);_(* \(#,##0.00\);_(* "-"??_);_(@_)</c:formatCode>
                <c:ptCount val="16"/>
                <c:pt idx="0">
                  <c:v>26.999856867417133</c:v>
                </c:pt>
                <c:pt idx="1">
                  <c:v>26.999856867417133</c:v>
                </c:pt>
                <c:pt idx="2">
                  <c:v>26.999856867417133</c:v>
                </c:pt>
                <c:pt idx="3">
                  <c:v>26.999856867417133</c:v>
                </c:pt>
                <c:pt idx="4">
                  <c:v>26.999856867417133</c:v>
                </c:pt>
                <c:pt idx="5">
                  <c:v>26.999856867417133</c:v>
                </c:pt>
                <c:pt idx="6">
                  <c:v>26.999856867417133</c:v>
                </c:pt>
                <c:pt idx="7">
                  <c:v>26.999856867417133</c:v>
                </c:pt>
                <c:pt idx="8">
                  <c:v>26.999856867417133</c:v>
                </c:pt>
                <c:pt idx="9">
                  <c:v>26.999856867417133</c:v>
                </c:pt>
                <c:pt idx="10">
                  <c:v>26.999856867417133</c:v>
                </c:pt>
                <c:pt idx="11">
                  <c:v>26.999856867417133</c:v>
                </c:pt>
                <c:pt idx="12">
                  <c:v>26.999856867417133</c:v>
                </c:pt>
                <c:pt idx="13">
                  <c:v>26.999856867417133</c:v>
                </c:pt>
                <c:pt idx="14">
                  <c:v>26.999856867417133</c:v>
                </c:pt>
                <c:pt idx="15">
                  <c:v>26.999856867417133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'18_g'!$AY$41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'18_g'!$AZ$37:$BO$37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'18_g'!$AZ$41:$BO$41</c:f>
              <c:numCache>
                <c:formatCode>_(* #,##0.00_);_(* \(#,##0.00\);_(* "-"??_);_(@_)</c:formatCode>
                <c:ptCount val="16"/>
                <c:pt idx="0">
                  <c:v>25.533815222987798</c:v>
                </c:pt>
                <c:pt idx="1">
                  <c:v>26.519992526573045</c:v>
                </c:pt>
                <c:pt idx="2">
                  <c:v>28.41692582537544</c:v>
                </c:pt>
                <c:pt idx="3">
                  <c:v>26.858859258190293</c:v>
                </c:pt>
                <c:pt idx="4">
                  <c:v>31.103419907366341</c:v>
                </c:pt>
                <c:pt idx="5">
                  <c:v>27.458309477891596</c:v>
                </c:pt>
                <c:pt idx="6">
                  <c:v>28.540118492595383</c:v>
                </c:pt>
                <c:pt idx="7">
                  <c:v>28.012263195025096</c:v>
                </c:pt>
                <c:pt idx="8">
                  <c:v>25.056211025289198</c:v>
                </c:pt>
                <c:pt idx="9">
                  <c:v>25.706762392466175</c:v>
                </c:pt>
                <c:pt idx="10">
                  <c:v>21.780916691683665</c:v>
                </c:pt>
                <c:pt idx="11">
                  <c:v>26.688064501841176</c:v>
                </c:pt>
                <c:pt idx="12">
                  <c:v>26.375425310126037</c:v>
                </c:pt>
                <c:pt idx="13">
                  <c:v>26.993362384749602</c:v>
                </c:pt>
                <c:pt idx="14">
                  <c:v>24.066544993892585</c:v>
                </c:pt>
                <c:pt idx="15">
                  <c:v>26.470459778382917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55360"/>
        <c:axId val="237416384"/>
      </c:lineChart>
      <c:catAx>
        <c:axId val="24705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416384"/>
        <c:crosses val="autoZero"/>
        <c:auto val="1"/>
        <c:lblAlgn val="ctr"/>
        <c:lblOffset val="100"/>
        <c:noMultiLvlLbl val="0"/>
      </c:catAx>
      <c:valAx>
        <c:axId val="2374163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%</a:t>
                </a:r>
              </a:p>
            </c:rich>
          </c:tx>
          <c:layout>
            <c:manualLayout>
              <c:xMode val="edge"/>
              <c:yMode val="edge"/>
              <c:x val="1.5431709008072106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0553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6819058584658053"/>
          <c:y val="2.2161373086791118E-2"/>
          <c:w val="0.9512213390778983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'18_g'!$A$64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'18_g'!$B$62:$M$62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'18_g'!$B$64:$M$64</c:f>
              <c:numCache>
                <c:formatCode>#,##0.00_ ;\-#,##0.00\ </c:formatCode>
                <c:ptCount val="12"/>
                <c:pt idx="0">
                  <c:v>2.6536103600000001</c:v>
                </c:pt>
                <c:pt idx="1">
                  <c:v>2.6618553500000002</c:v>
                </c:pt>
                <c:pt idx="2">
                  <c:v>2.7800196100000001</c:v>
                </c:pt>
                <c:pt idx="3">
                  <c:v>2.7538604600000003</c:v>
                </c:pt>
                <c:pt idx="4">
                  <c:v>2.71495971</c:v>
                </c:pt>
                <c:pt idx="5">
                  <c:v>2.7072628400000003</c:v>
                </c:pt>
                <c:pt idx="6">
                  <c:v>3.1160572199999996</c:v>
                </c:pt>
                <c:pt idx="7">
                  <c:v>3.3927714</c:v>
                </c:pt>
                <c:pt idx="8">
                  <c:v>3.1424285399999996</c:v>
                </c:pt>
                <c:pt idx="9">
                  <c:v>2.62004489</c:v>
                </c:pt>
                <c:pt idx="10">
                  <c:v>2.6424983299999996</c:v>
                </c:pt>
                <c:pt idx="11">
                  <c:v>2.6730606100000003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'18_g'!$A$65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'18_g'!$B$62:$M$62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'18_g'!$B$65:$M$65</c:f>
              <c:numCache>
                <c:formatCode>#,##0.00_ ;\-#,##0.00\ </c:formatCode>
                <c:ptCount val="12"/>
                <c:pt idx="0">
                  <c:v>2.8248440000000001</c:v>
                </c:pt>
                <c:pt idx="1">
                  <c:v>2.8712810000000002</c:v>
                </c:pt>
                <c:pt idx="2">
                  <c:v>2.7664149999999998</c:v>
                </c:pt>
                <c:pt idx="3">
                  <c:v>2.9925899999999999</c:v>
                </c:pt>
                <c:pt idx="4">
                  <c:v>2.8559920000000001</c:v>
                </c:pt>
                <c:pt idx="5">
                  <c:v>2.788017</c:v>
                </c:pt>
                <c:pt idx="6">
                  <c:v>3.1774140000000002</c:v>
                </c:pt>
                <c:pt idx="7">
                  <c:v>3.4579650000000002</c:v>
                </c:pt>
                <c:pt idx="8">
                  <c:v>3.2186210000000002</c:v>
                </c:pt>
                <c:pt idx="9">
                  <c:v>2.8079480000000001</c:v>
                </c:pt>
                <c:pt idx="10">
                  <c:v>2.7974350000000001</c:v>
                </c:pt>
                <c:pt idx="11">
                  <c:v>2.8329490000000002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'18_g'!$A$66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'18_g'!$B$62:$M$62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'18_g'!$B$66:$M$66</c:f>
              <c:numCache>
                <c:formatCode>#,##0.00_ ;\-#,##0.00\ </c:formatCode>
                <c:ptCount val="12"/>
                <c:pt idx="0">
                  <c:v>2.5373468000000003</c:v>
                </c:pt>
                <c:pt idx="1">
                  <c:v>2.6764030999999999</c:v>
                </c:pt>
                <c:pt idx="2">
                  <c:v>2.6534143200000004</c:v>
                </c:pt>
                <c:pt idx="3">
                  <c:v>2.8080429599999994</c:v>
                </c:pt>
                <c:pt idx="4">
                  <c:v>2.6737650500000001</c:v>
                </c:pt>
                <c:pt idx="5">
                  <c:v>2.7065404900000001</c:v>
                </c:pt>
                <c:pt idx="6">
                  <c:v>3.2250485900000001</c:v>
                </c:pt>
                <c:pt idx="7">
                  <c:v>2.9914798600000005</c:v>
                </c:pt>
                <c:pt idx="8">
                  <c:v>2.9518667400000003</c:v>
                </c:pt>
                <c:pt idx="9">
                  <c:v>2.6520887700000002</c:v>
                </c:pt>
                <c:pt idx="10">
                  <c:v>2.6933382399999997</c:v>
                </c:pt>
                <c:pt idx="11">
                  <c:v>2.8416457300000002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56384"/>
        <c:axId val="237418688"/>
      </c:lineChart>
      <c:catAx>
        <c:axId val="2470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7418688"/>
        <c:crosses val="autoZero"/>
        <c:auto val="1"/>
        <c:lblAlgn val="ctr"/>
        <c:lblOffset val="100"/>
        <c:noMultiLvlLbl val="0"/>
      </c:catAx>
      <c:valAx>
        <c:axId val="2374186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0563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'18_g'!$B$85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'18_g'!$C$85:$N$85</c:f>
              <c:numCache>
                <c:formatCode>#,##0.00_ ;\-#,##0.00\ </c:formatCode>
                <c:ptCount val="12"/>
                <c:pt idx="0">
                  <c:v>2.6536103600000001</c:v>
                </c:pt>
                <c:pt idx="1">
                  <c:v>5.3154657099999998</c:v>
                </c:pt>
                <c:pt idx="2">
                  <c:v>8.0954853199999999</c:v>
                </c:pt>
                <c:pt idx="3">
                  <c:v>10.84934578</c:v>
                </c:pt>
                <c:pt idx="4">
                  <c:v>13.564305490000001</c:v>
                </c:pt>
                <c:pt idx="5">
                  <c:v>16.271568330000001</c:v>
                </c:pt>
                <c:pt idx="6">
                  <c:v>19.387625549999999</c:v>
                </c:pt>
                <c:pt idx="7">
                  <c:v>22.78039695</c:v>
                </c:pt>
                <c:pt idx="8">
                  <c:v>25.922825490000001</c:v>
                </c:pt>
                <c:pt idx="9">
                  <c:v>28.54287038</c:v>
                </c:pt>
                <c:pt idx="10">
                  <c:v>31.185368709999999</c:v>
                </c:pt>
                <c:pt idx="11">
                  <c:v>33.858429319999999</c:v>
                </c:pt>
              </c:numCache>
            </c:numRef>
          </c:val>
        </c:ser>
        <c:ser>
          <c:idx val="0"/>
          <c:order val="2"/>
          <c:tx>
            <c:strRef>
              <c:f>'18_g'!$B$87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'18_g'!$C$87:$N$87</c:f>
              <c:numCache>
                <c:formatCode>#,##0.00_ ;\-#,##0.00\ </c:formatCode>
                <c:ptCount val="12"/>
                <c:pt idx="0">
                  <c:v>2.5373468000000003</c:v>
                </c:pt>
                <c:pt idx="1">
                  <c:v>5.2137498999999998</c:v>
                </c:pt>
                <c:pt idx="2">
                  <c:v>7.8671642200000003</c:v>
                </c:pt>
                <c:pt idx="3">
                  <c:v>10.675207179999999</c:v>
                </c:pt>
                <c:pt idx="4">
                  <c:v>13.348972229999999</c:v>
                </c:pt>
                <c:pt idx="5">
                  <c:v>16.055512719999999</c:v>
                </c:pt>
                <c:pt idx="6">
                  <c:v>19.28056131</c:v>
                </c:pt>
                <c:pt idx="7">
                  <c:v>22.272041170000001</c:v>
                </c:pt>
                <c:pt idx="8">
                  <c:v>25.223907910000001</c:v>
                </c:pt>
                <c:pt idx="9">
                  <c:v>27.87599668</c:v>
                </c:pt>
                <c:pt idx="10">
                  <c:v>30.569334919999999</c:v>
                </c:pt>
                <c:pt idx="11">
                  <c:v>33.410980649999999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7056896"/>
        <c:axId val="247079488"/>
      </c:barChart>
      <c:lineChart>
        <c:grouping val="standard"/>
        <c:varyColors val="0"/>
        <c:ser>
          <c:idx val="3"/>
          <c:order val="1"/>
          <c:tx>
            <c:strRef>
              <c:f>'18_g'!$B$86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'18_g'!$C$83:$N$83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'18_g'!$C$86:$N$86</c:f>
              <c:numCache>
                <c:formatCode>#,##0.00_ ;\-#,##0.00\ </c:formatCode>
                <c:ptCount val="12"/>
                <c:pt idx="0">
                  <c:v>2.8248440000000001</c:v>
                </c:pt>
                <c:pt idx="1">
                  <c:v>5.6961250000000003</c:v>
                </c:pt>
                <c:pt idx="2">
                  <c:v>8.4625400000000006</c:v>
                </c:pt>
                <c:pt idx="3">
                  <c:v>11.45513</c:v>
                </c:pt>
                <c:pt idx="4">
                  <c:v>14.311122000000001</c:v>
                </c:pt>
                <c:pt idx="5">
                  <c:v>17.099139000000001</c:v>
                </c:pt>
                <c:pt idx="6">
                  <c:v>20.276553</c:v>
                </c:pt>
                <c:pt idx="7">
                  <c:v>23.734518000000001</c:v>
                </c:pt>
                <c:pt idx="8">
                  <c:v>26.953139</c:v>
                </c:pt>
                <c:pt idx="9">
                  <c:v>29.761087</c:v>
                </c:pt>
                <c:pt idx="10">
                  <c:v>32.558521999999996</c:v>
                </c:pt>
                <c:pt idx="11">
                  <c:v>35.391470999999996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56896"/>
        <c:axId val="247079488"/>
      </c:lineChart>
      <c:catAx>
        <c:axId val="2470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079488"/>
        <c:crosses val="autoZero"/>
        <c:auto val="1"/>
        <c:lblAlgn val="ctr"/>
        <c:lblOffset val="100"/>
        <c:noMultiLvlLbl val="0"/>
      </c:catAx>
      <c:valAx>
        <c:axId val="2470794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0568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'18_g'!$S$64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'18_g'!$T$62:$AE$62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'18_g'!$T$64:$AE$64</c:f>
              <c:numCache>
                <c:formatCode>#,##0.00_ ;\-#,##0.00\ </c:formatCode>
                <c:ptCount val="12"/>
                <c:pt idx="0">
                  <c:v>1.2192816500000001</c:v>
                </c:pt>
                <c:pt idx="1">
                  <c:v>1.1836068400000002</c:v>
                </c:pt>
                <c:pt idx="2">
                  <c:v>1.1678554800000001</c:v>
                </c:pt>
                <c:pt idx="3">
                  <c:v>1.2045776499999998</c:v>
                </c:pt>
                <c:pt idx="4">
                  <c:v>1.1515949000000001</c:v>
                </c:pt>
                <c:pt idx="5">
                  <c:v>1.25444877</c:v>
                </c:pt>
                <c:pt idx="6">
                  <c:v>1.12819677</c:v>
                </c:pt>
                <c:pt idx="7">
                  <c:v>1.2165173200000001</c:v>
                </c:pt>
                <c:pt idx="8">
                  <c:v>1.28932307</c:v>
                </c:pt>
                <c:pt idx="9">
                  <c:v>1.1464895699999997</c:v>
                </c:pt>
                <c:pt idx="10">
                  <c:v>1.34429613</c:v>
                </c:pt>
                <c:pt idx="11">
                  <c:v>1.4946745500000005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'18_g'!$S$65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'18_g'!$T$62:$AE$62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'18_g'!$T$65:$AE$65</c:f>
              <c:numCache>
                <c:formatCode>#,##0.00_ ;\-#,##0.00\ </c:formatCode>
                <c:ptCount val="12"/>
                <c:pt idx="0">
                  <c:v>1.2167920000000001</c:v>
                </c:pt>
                <c:pt idx="1">
                  <c:v>1.201397</c:v>
                </c:pt>
                <c:pt idx="2">
                  <c:v>1.1506689999999999</c:v>
                </c:pt>
                <c:pt idx="3">
                  <c:v>1.1728989999999999</c:v>
                </c:pt>
                <c:pt idx="4">
                  <c:v>1.243997</c:v>
                </c:pt>
                <c:pt idx="5">
                  <c:v>1.2562979999999999</c:v>
                </c:pt>
                <c:pt idx="6">
                  <c:v>1.20729</c:v>
                </c:pt>
                <c:pt idx="7">
                  <c:v>1.2776050000000001</c:v>
                </c:pt>
                <c:pt idx="8">
                  <c:v>1.3336460000000001</c:v>
                </c:pt>
                <c:pt idx="9">
                  <c:v>1.2423360000000001</c:v>
                </c:pt>
                <c:pt idx="10">
                  <c:v>1.362052</c:v>
                </c:pt>
                <c:pt idx="11">
                  <c:v>1.427128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'18_g'!$S$66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'18_g'!$T$62:$AE$62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'18_g'!$T$66:$AE$66</c:f>
              <c:numCache>
                <c:formatCode>#,##0.00_ ;\-#,##0.00\ </c:formatCode>
                <c:ptCount val="12"/>
                <c:pt idx="0">
                  <c:v>1.16295298</c:v>
                </c:pt>
                <c:pt idx="1">
                  <c:v>1.1293411899999999</c:v>
                </c:pt>
                <c:pt idx="2">
                  <c:v>1.3525438000000001</c:v>
                </c:pt>
                <c:pt idx="3">
                  <c:v>1.0035644000000001</c:v>
                </c:pt>
                <c:pt idx="4">
                  <c:v>1.00755544</c:v>
                </c:pt>
                <c:pt idx="5">
                  <c:v>1.1205479299999996</c:v>
                </c:pt>
                <c:pt idx="6">
                  <c:v>1.1563712200000003</c:v>
                </c:pt>
                <c:pt idx="7">
                  <c:v>1.1189005299999999</c:v>
                </c:pt>
                <c:pt idx="8">
                  <c:v>1.1152346000000002</c:v>
                </c:pt>
                <c:pt idx="9">
                  <c:v>1.1817306999999999</c:v>
                </c:pt>
                <c:pt idx="10">
                  <c:v>1.2032175799999998</c:v>
                </c:pt>
                <c:pt idx="11">
                  <c:v>1.3766850900000001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57920"/>
        <c:axId val="247081792"/>
      </c:lineChart>
      <c:catAx>
        <c:axId val="24705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081792"/>
        <c:crosses val="autoZero"/>
        <c:auto val="1"/>
        <c:lblAlgn val="ctr"/>
        <c:lblOffset val="100"/>
        <c:noMultiLvlLbl val="0"/>
      </c:catAx>
      <c:valAx>
        <c:axId val="247081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0579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'18_g'!$T$85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'18_g'!$U$85:$AF$85</c:f>
              <c:numCache>
                <c:formatCode>#,##0.00_ ;\-#,##0.00\ </c:formatCode>
                <c:ptCount val="12"/>
                <c:pt idx="0">
                  <c:v>1.2192816500000001</c:v>
                </c:pt>
                <c:pt idx="1">
                  <c:v>2.4028884900000005</c:v>
                </c:pt>
                <c:pt idx="2">
                  <c:v>3.5707439700000005</c:v>
                </c:pt>
                <c:pt idx="3">
                  <c:v>4.7753216200000006</c:v>
                </c:pt>
                <c:pt idx="4">
                  <c:v>5.9269165200000007</c:v>
                </c:pt>
                <c:pt idx="5">
                  <c:v>7.1813652900000005</c:v>
                </c:pt>
                <c:pt idx="6">
                  <c:v>8.3095620600000011</c:v>
                </c:pt>
                <c:pt idx="7">
                  <c:v>9.5260793800000005</c:v>
                </c:pt>
                <c:pt idx="8">
                  <c:v>10.815402450000001</c:v>
                </c:pt>
                <c:pt idx="9">
                  <c:v>11.961892020000001</c:v>
                </c:pt>
                <c:pt idx="10">
                  <c:v>13.306188150000001</c:v>
                </c:pt>
                <c:pt idx="11">
                  <c:v>14.800862700000001</c:v>
                </c:pt>
              </c:numCache>
            </c:numRef>
          </c:val>
        </c:ser>
        <c:ser>
          <c:idx val="0"/>
          <c:order val="2"/>
          <c:tx>
            <c:strRef>
              <c:f>'18_g'!$T$87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'18_g'!$U$87:$AF$87</c:f>
              <c:numCache>
                <c:formatCode>#,##0.00_ ;\-#,##0.00\ </c:formatCode>
                <c:ptCount val="12"/>
                <c:pt idx="0">
                  <c:v>1.16295298</c:v>
                </c:pt>
                <c:pt idx="1">
                  <c:v>2.2922941699999999</c:v>
                </c:pt>
                <c:pt idx="2">
                  <c:v>3.6448379700000002</c:v>
                </c:pt>
                <c:pt idx="3">
                  <c:v>4.6484023700000003</c:v>
                </c:pt>
                <c:pt idx="4">
                  <c:v>5.6559578100000003</c:v>
                </c:pt>
                <c:pt idx="5">
                  <c:v>6.7765057400000002</c:v>
                </c:pt>
                <c:pt idx="6">
                  <c:v>7.9328769600000006</c:v>
                </c:pt>
                <c:pt idx="7">
                  <c:v>9.051777490000001</c:v>
                </c:pt>
                <c:pt idx="8">
                  <c:v>10.167012090000002</c:v>
                </c:pt>
                <c:pt idx="9">
                  <c:v>11.348742790000001</c:v>
                </c:pt>
                <c:pt idx="10">
                  <c:v>12.551960370000002</c:v>
                </c:pt>
                <c:pt idx="11">
                  <c:v>13.928645460000002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7431168"/>
        <c:axId val="247084096"/>
      </c:barChart>
      <c:lineChart>
        <c:grouping val="standard"/>
        <c:varyColors val="0"/>
        <c:ser>
          <c:idx val="3"/>
          <c:order val="1"/>
          <c:tx>
            <c:strRef>
              <c:f>'18_g'!$T$86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'18_g'!$U$83:$AF$83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'18_g'!$U$86:$AF$86</c:f>
              <c:numCache>
                <c:formatCode>#,##0.00_ ;\-#,##0.00\ </c:formatCode>
                <c:ptCount val="12"/>
                <c:pt idx="0">
                  <c:v>1.2167920000000001</c:v>
                </c:pt>
                <c:pt idx="1">
                  <c:v>2.4181889999999999</c:v>
                </c:pt>
                <c:pt idx="2">
                  <c:v>3.5688579999999996</c:v>
                </c:pt>
                <c:pt idx="3">
                  <c:v>4.7417569999999998</c:v>
                </c:pt>
                <c:pt idx="4">
                  <c:v>5.985754</c:v>
                </c:pt>
                <c:pt idx="5">
                  <c:v>7.2420520000000002</c:v>
                </c:pt>
                <c:pt idx="6">
                  <c:v>8.4493419999999997</c:v>
                </c:pt>
                <c:pt idx="7">
                  <c:v>9.7269469999999991</c:v>
                </c:pt>
                <c:pt idx="8">
                  <c:v>11.060592999999999</c:v>
                </c:pt>
                <c:pt idx="9">
                  <c:v>12.302928999999999</c:v>
                </c:pt>
                <c:pt idx="10">
                  <c:v>13.664980999999999</c:v>
                </c:pt>
                <c:pt idx="11">
                  <c:v>15.092108999999999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431168"/>
        <c:axId val="247084096"/>
      </c:lineChart>
      <c:catAx>
        <c:axId val="24743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084096"/>
        <c:crosses val="autoZero"/>
        <c:auto val="1"/>
        <c:lblAlgn val="ctr"/>
        <c:lblOffset val="100"/>
        <c:noMultiLvlLbl val="0"/>
      </c:catAx>
      <c:valAx>
        <c:axId val="2470840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4311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'18_g'!$AI$64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'18_g'!$AJ$62:$AU$62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'18_g'!$AJ$64:$AU$64</c:f>
              <c:numCache>
                <c:formatCode>#,##0.00_ ;\-#,##0.00\ </c:formatCode>
                <c:ptCount val="12"/>
                <c:pt idx="0">
                  <c:v>1.43432871</c:v>
                </c:pt>
                <c:pt idx="1">
                  <c:v>1.47824851</c:v>
                </c:pt>
                <c:pt idx="2">
                  <c:v>1.61216413</c:v>
                </c:pt>
                <c:pt idx="3">
                  <c:v>1.5492828100000005</c:v>
                </c:pt>
                <c:pt idx="4">
                  <c:v>1.5633648099999999</c:v>
                </c:pt>
                <c:pt idx="5">
                  <c:v>1.4528140700000003</c:v>
                </c:pt>
                <c:pt idx="6">
                  <c:v>1.9878604499999997</c:v>
                </c:pt>
                <c:pt idx="7">
                  <c:v>2.1762540799999996</c:v>
                </c:pt>
                <c:pt idx="8">
                  <c:v>1.8531054699999996</c:v>
                </c:pt>
                <c:pt idx="9">
                  <c:v>1.4735553200000002</c:v>
                </c:pt>
                <c:pt idx="10">
                  <c:v>1.2982021999999995</c:v>
                </c:pt>
                <c:pt idx="11">
                  <c:v>1.1783860599999998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'18_g'!$AI$65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'18_g'!$AJ$62:$AU$62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'18_g'!$AJ$65:$AU$65</c:f>
              <c:numCache>
                <c:formatCode>#,##0.00_ ;\-#,##0.00\ </c:formatCode>
                <c:ptCount val="12"/>
                <c:pt idx="0">
                  <c:v>1.608052</c:v>
                </c:pt>
                <c:pt idx="1">
                  <c:v>1.6698840000000001</c:v>
                </c:pt>
                <c:pt idx="2">
                  <c:v>1.6157459999999999</c:v>
                </c:pt>
                <c:pt idx="3">
                  <c:v>1.8196909999999999</c:v>
                </c:pt>
                <c:pt idx="4">
                  <c:v>1.6119950000000001</c:v>
                </c:pt>
                <c:pt idx="5">
                  <c:v>1.5317190000000001</c:v>
                </c:pt>
                <c:pt idx="6">
                  <c:v>1.9701240000000002</c:v>
                </c:pt>
                <c:pt idx="7">
                  <c:v>2.1803600000000003</c:v>
                </c:pt>
                <c:pt idx="8">
                  <c:v>1.8849750000000001</c:v>
                </c:pt>
                <c:pt idx="9">
                  <c:v>1.565612</c:v>
                </c:pt>
                <c:pt idx="10">
                  <c:v>1.4353830000000001</c:v>
                </c:pt>
                <c:pt idx="11">
                  <c:v>1.4058210000000002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'18_g'!$AI$66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'18_g'!$AJ$62:$AU$62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'18_g'!$AJ$66:$AU$66</c:f>
              <c:numCache>
                <c:formatCode>#,##0.00_ ;\-#,##0.00\ </c:formatCode>
                <c:ptCount val="12"/>
                <c:pt idx="0">
                  <c:v>1.3743938200000003</c:v>
                </c:pt>
                <c:pt idx="1">
                  <c:v>1.54706191</c:v>
                </c:pt>
                <c:pt idx="2">
                  <c:v>1.3008705200000004</c:v>
                </c:pt>
                <c:pt idx="3">
                  <c:v>1.8044785599999993</c:v>
                </c:pt>
                <c:pt idx="4">
                  <c:v>1.6662096100000001</c:v>
                </c:pt>
                <c:pt idx="5">
                  <c:v>1.5859925600000004</c:v>
                </c:pt>
                <c:pt idx="6">
                  <c:v>2.0686773699999996</c:v>
                </c:pt>
                <c:pt idx="7">
                  <c:v>1.8725793300000007</c:v>
                </c:pt>
                <c:pt idx="8">
                  <c:v>1.8366321400000001</c:v>
                </c:pt>
                <c:pt idx="9">
                  <c:v>1.4703580700000003</c:v>
                </c:pt>
                <c:pt idx="10">
                  <c:v>1.4901206599999999</c:v>
                </c:pt>
                <c:pt idx="11">
                  <c:v>1.4649606400000001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432192"/>
        <c:axId val="247086400"/>
      </c:lineChart>
      <c:catAx>
        <c:axId val="24743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086400"/>
        <c:crosses val="autoZero"/>
        <c:auto val="1"/>
        <c:lblAlgn val="ctr"/>
        <c:lblOffset val="100"/>
        <c:noMultiLvlLbl val="0"/>
      </c:catAx>
      <c:valAx>
        <c:axId val="2470864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9098482255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4321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0554604592"/>
          <c:y val="2.2161373086791118E-2"/>
          <c:w val="0.4542921944539540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'18_g'!$AJ$85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'18_g'!$AK$85:$AV$85</c:f>
              <c:numCache>
                <c:formatCode>#,##0.00_ ;\-#,##0.00\ </c:formatCode>
                <c:ptCount val="12"/>
                <c:pt idx="0">
                  <c:v>1.43432871</c:v>
                </c:pt>
                <c:pt idx="1">
                  <c:v>2.9125772200000002</c:v>
                </c:pt>
                <c:pt idx="2">
                  <c:v>4.5247413500000002</c:v>
                </c:pt>
                <c:pt idx="3">
                  <c:v>6.0740241600000004</c:v>
                </c:pt>
                <c:pt idx="4">
                  <c:v>7.6373889699999999</c:v>
                </c:pt>
                <c:pt idx="5">
                  <c:v>9.0902030400000005</c:v>
                </c:pt>
                <c:pt idx="6">
                  <c:v>11.07806349</c:v>
                </c:pt>
                <c:pt idx="7">
                  <c:v>13.25431757</c:v>
                </c:pt>
                <c:pt idx="8">
                  <c:v>15.107423039999999</c:v>
                </c:pt>
                <c:pt idx="9">
                  <c:v>16.58097836</c:v>
                </c:pt>
                <c:pt idx="10">
                  <c:v>17.879180559999998</c:v>
                </c:pt>
                <c:pt idx="11">
                  <c:v>19.057566619999999</c:v>
                </c:pt>
              </c:numCache>
            </c:numRef>
          </c:val>
        </c:ser>
        <c:ser>
          <c:idx val="0"/>
          <c:order val="2"/>
          <c:tx>
            <c:strRef>
              <c:f>'18_g'!$AJ$87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'18_g'!$AK$83:$AV$83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'18_g'!$AK$87:$AV$87</c:f>
              <c:numCache>
                <c:formatCode>#,##0.00_ ;\-#,##0.00\ </c:formatCode>
                <c:ptCount val="12"/>
                <c:pt idx="0">
                  <c:v>1.3743938200000003</c:v>
                </c:pt>
                <c:pt idx="1">
                  <c:v>2.9214557300000004</c:v>
                </c:pt>
                <c:pt idx="2">
                  <c:v>4.2223262500000009</c:v>
                </c:pt>
                <c:pt idx="3">
                  <c:v>6.0268048099999998</c:v>
                </c:pt>
                <c:pt idx="4">
                  <c:v>7.6930144199999999</c:v>
                </c:pt>
                <c:pt idx="5">
                  <c:v>9.2790069800000001</c:v>
                </c:pt>
                <c:pt idx="6">
                  <c:v>11.34768435</c:v>
                </c:pt>
                <c:pt idx="7">
                  <c:v>13.22026368</c:v>
                </c:pt>
                <c:pt idx="8">
                  <c:v>15.056895820000001</c:v>
                </c:pt>
                <c:pt idx="9">
                  <c:v>16.527253890000001</c:v>
                </c:pt>
                <c:pt idx="10">
                  <c:v>18.01737455</c:v>
                </c:pt>
                <c:pt idx="11">
                  <c:v>19.482335190000001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7432704"/>
        <c:axId val="247547584"/>
      </c:barChart>
      <c:lineChart>
        <c:grouping val="standard"/>
        <c:varyColors val="0"/>
        <c:ser>
          <c:idx val="3"/>
          <c:order val="1"/>
          <c:tx>
            <c:strRef>
              <c:f>'18_g'!$AJ$86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'18_g'!$AK$83:$AV$83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'18_g'!$AK$86:$AV$86</c:f>
              <c:numCache>
                <c:formatCode>#,##0.00_ ;\-#,##0.00\ </c:formatCode>
                <c:ptCount val="12"/>
                <c:pt idx="0">
                  <c:v>1.608052</c:v>
                </c:pt>
                <c:pt idx="1">
                  <c:v>3.2779360000000004</c:v>
                </c:pt>
                <c:pt idx="2">
                  <c:v>4.8936820000000001</c:v>
                </c:pt>
                <c:pt idx="3">
                  <c:v>6.7133729999999998</c:v>
                </c:pt>
                <c:pt idx="4">
                  <c:v>8.3253679999999992</c:v>
                </c:pt>
                <c:pt idx="5">
                  <c:v>9.8570869999999999</c:v>
                </c:pt>
                <c:pt idx="6">
                  <c:v>11.827211</c:v>
                </c:pt>
                <c:pt idx="7">
                  <c:v>14.007571</c:v>
                </c:pt>
                <c:pt idx="8">
                  <c:v>15.892546000000001</c:v>
                </c:pt>
                <c:pt idx="9">
                  <c:v>17.458158000000001</c:v>
                </c:pt>
                <c:pt idx="10">
                  <c:v>18.893541000000003</c:v>
                </c:pt>
                <c:pt idx="11">
                  <c:v>20.299362000000002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432704"/>
        <c:axId val="247547584"/>
      </c:lineChart>
      <c:catAx>
        <c:axId val="2474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547584"/>
        <c:crosses val="autoZero"/>
        <c:auto val="1"/>
        <c:lblAlgn val="ctr"/>
        <c:lblOffset val="100"/>
        <c:noMultiLvlLbl val="0"/>
      </c:catAx>
      <c:valAx>
        <c:axId val="2475475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34657158962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4327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3802614618"/>
          <c:y val="2.2161373086791118E-2"/>
          <c:w val="0.391036619738538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'18_g'!$T$21:$U$21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'18_g'!$V$20:$AC$20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'18_g'!$V$21:$AC$21</c:f>
              <c:numCache>
                <c:formatCode>#,##0</c:formatCode>
                <c:ptCount val="8"/>
                <c:pt idx="0">
                  <c:v>43</c:v>
                </c:pt>
                <c:pt idx="1">
                  <c:v>45</c:v>
                </c:pt>
                <c:pt idx="2">
                  <c:v>78.5</c:v>
                </c:pt>
                <c:pt idx="3">
                  <c:v>101</c:v>
                </c:pt>
                <c:pt idx="4">
                  <c:v>120.5</c:v>
                </c:pt>
                <c:pt idx="5">
                  <c:v>177</c:v>
                </c:pt>
                <c:pt idx="6">
                  <c:v>149</c:v>
                </c:pt>
                <c:pt idx="7">
                  <c:v>224</c:v>
                </c:pt>
              </c:numCache>
            </c:numRef>
          </c:val>
        </c:ser>
        <c:ser>
          <c:idx val="0"/>
          <c:order val="1"/>
          <c:tx>
            <c:strRef>
              <c:f>'18_g'!$T$22:$U$22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'18_g'!$V$20:$AC$20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'18_g'!$V$22:$AC$22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12</c:v>
                </c:pt>
                <c:pt idx="6">
                  <c:v>3</c:v>
                </c:pt>
                <c:pt idx="7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47433728"/>
        <c:axId val="247549888"/>
      </c:barChart>
      <c:catAx>
        <c:axId val="247433728"/>
        <c:scaling>
          <c:orientation val="minMax"/>
        </c:scaling>
        <c:delete val="1"/>
        <c:axPos val="b"/>
        <c:majorTickMark val="out"/>
        <c:minorTickMark val="none"/>
        <c:tickLblPos val="nextTo"/>
        <c:crossAx val="247549888"/>
        <c:crosses val="autoZero"/>
        <c:auto val="1"/>
        <c:lblAlgn val="ctr"/>
        <c:lblOffset val="100"/>
        <c:noMultiLvlLbl val="0"/>
      </c:catAx>
      <c:valAx>
        <c:axId val="247549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474337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'00_g'!$AI$64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'00_g'!$AJ$62:$AU$62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'00_g'!$AJ$64:$AU$64</c:f>
              <c:numCache>
                <c:formatCode>#,##0_ ;\-#,##0\ </c:formatCode>
                <c:ptCount val="12"/>
                <c:pt idx="0">
                  <c:v>89.476308399999965</c:v>
                </c:pt>
                <c:pt idx="1">
                  <c:v>95.38374404999999</c:v>
                </c:pt>
                <c:pt idx="2">
                  <c:v>86.811786550000022</c:v>
                </c:pt>
                <c:pt idx="3">
                  <c:v>96.964034810000044</c:v>
                </c:pt>
                <c:pt idx="4">
                  <c:v>93.189205600000037</c:v>
                </c:pt>
                <c:pt idx="5">
                  <c:v>82.35449287000003</c:v>
                </c:pt>
                <c:pt idx="6">
                  <c:v>110.37574536</c:v>
                </c:pt>
                <c:pt idx="7">
                  <c:v>114.18680571000004</c:v>
                </c:pt>
                <c:pt idx="8">
                  <c:v>102.02964445000005</c:v>
                </c:pt>
                <c:pt idx="9">
                  <c:v>97.284667840000054</c:v>
                </c:pt>
                <c:pt idx="10">
                  <c:v>81.475591360000067</c:v>
                </c:pt>
                <c:pt idx="11">
                  <c:v>94.76744807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'00_g'!$AI$65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'00_g'!$AJ$62:$AU$62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'00_g'!$AJ$65:$AU$65</c:f>
              <c:numCache>
                <c:formatCode>#,##0_ ;\-#,##0\ </c:formatCode>
                <c:ptCount val="12"/>
                <c:pt idx="0">
                  <c:v>96.964316333333329</c:v>
                </c:pt>
                <c:pt idx="1">
                  <c:v>104.90659133333334</c:v>
                </c:pt>
                <c:pt idx="2">
                  <c:v>102.54476633333334</c:v>
                </c:pt>
                <c:pt idx="3">
                  <c:v>106.66148833333335</c:v>
                </c:pt>
                <c:pt idx="4">
                  <c:v>101.28741333333332</c:v>
                </c:pt>
                <c:pt idx="5">
                  <c:v>95.085800333333339</c:v>
                </c:pt>
                <c:pt idx="6">
                  <c:v>118.85532133333334</c:v>
                </c:pt>
                <c:pt idx="7">
                  <c:v>121.02320433333333</c:v>
                </c:pt>
                <c:pt idx="8">
                  <c:v>115.12244533333333</c:v>
                </c:pt>
                <c:pt idx="9">
                  <c:v>108.33834733333333</c:v>
                </c:pt>
                <c:pt idx="10">
                  <c:v>101.77955733333334</c:v>
                </c:pt>
                <c:pt idx="11">
                  <c:v>100.60272433333333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'00_g'!$AI$66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'00_g'!$AJ$62:$AU$62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'00_g'!$AJ$66:$AU$66</c:f>
              <c:numCache>
                <c:formatCode>#,##0_ ;\-#,##0\ </c:formatCode>
                <c:ptCount val="12"/>
                <c:pt idx="0">
                  <c:v>93.517834219999983</c:v>
                </c:pt>
                <c:pt idx="1">
                  <c:v>95.228507490000013</c:v>
                </c:pt>
                <c:pt idx="2">
                  <c:v>89.237370389999981</c:v>
                </c:pt>
                <c:pt idx="3">
                  <c:v>108.29058582999998</c:v>
                </c:pt>
                <c:pt idx="4">
                  <c:v>99.782777559999957</c:v>
                </c:pt>
                <c:pt idx="5">
                  <c:v>89.411494880000021</c:v>
                </c:pt>
                <c:pt idx="6">
                  <c:v>115.31049160000001</c:v>
                </c:pt>
                <c:pt idx="7">
                  <c:v>106.98174211</c:v>
                </c:pt>
                <c:pt idx="8">
                  <c:v>98.590892539999984</c:v>
                </c:pt>
                <c:pt idx="9">
                  <c:v>92.695500039999999</c:v>
                </c:pt>
                <c:pt idx="10">
                  <c:v>95.972892660000014</c:v>
                </c:pt>
                <c:pt idx="11">
                  <c:v>92.679305569999983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49984"/>
        <c:axId val="171302208"/>
      </c:lineChart>
      <c:catAx>
        <c:axId val="1710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302208"/>
        <c:crosses val="autoZero"/>
        <c:auto val="1"/>
        <c:lblAlgn val="ctr"/>
        <c:lblOffset val="100"/>
        <c:noMultiLvlLbl val="0"/>
      </c:catAx>
      <c:valAx>
        <c:axId val="1713022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3699025876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0499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69257869611"/>
          <c:y val="2.2161373086791118E-2"/>
          <c:w val="0.4542923074213038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('19'!$A$9,'19'!$A$13,'19'!$A$17)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('19'!$B$9,'19'!$B$13,'19'!$B$17)</c:f>
              <c:numCache>
                <c:formatCode>_-* #,##0_-;\-* #,##0_-;_-* "-"??_-;_-@_-</c:formatCode>
                <c:ptCount val="3"/>
                <c:pt idx="0">
                  <c:v>4257</c:v>
                </c:pt>
                <c:pt idx="1">
                  <c:v>767</c:v>
                </c:pt>
                <c:pt idx="2">
                  <c:v>261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('19'!$A$9,'19'!$A$13,'19'!$A$17)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('19'!$G$9,'19'!$G$13,'19'!$G$17)</c:f>
              <c:numCache>
                <c:formatCode>_-* #,##0_-;\-* #,##0_-;_-* "-"??_-;_-@_-</c:formatCode>
                <c:ptCount val="3"/>
                <c:pt idx="0">
                  <c:v>4456</c:v>
                </c:pt>
                <c:pt idx="1">
                  <c:v>798</c:v>
                </c:pt>
                <c:pt idx="2">
                  <c:v>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('19'!$A$9,'19'!$A$13,'19'!$A$17)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('19'!$C$9,'19'!$C$13,'19'!$C$17)</c:f>
              <c:numCache>
                <c:formatCode>_(* #,##0.00_);_(* \(#,##0.00\);_(* "-"??_);_(@_)</c:formatCode>
                <c:ptCount val="3"/>
                <c:pt idx="0">
                  <c:v>0.65906100000000001</c:v>
                </c:pt>
                <c:pt idx="1">
                  <c:v>0.29358899999999999</c:v>
                </c:pt>
                <c:pt idx="2">
                  <c:v>0.13683899999999999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('19'!$A$9,'19'!$A$13,'19'!$A$17)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('19'!$H$9,'19'!$H$13,'19'!$H$17)</c:f>
              <c:numCache>
                <c:formatCode>_(* #,##0.00_);_(* \(#,##0.00\);_(* "-"??_);_(@_)</c:formatCode>
                <c:ptCount val="3"/>
                <c:pt idx="0">
                  <c:v>0.67269400000000001</c:v>
                </c:pt>
                <c:pt idx="1">
                  <c:v>0.28626699999999999</c:v>
                </c:pt>
                <c:pt idx="2">
                  <c:v>0.13941000000000001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('19'!$A$9,'19'!$A$13,'19'!$A$17)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('19'!$E$9,'19'!$E$13,'19'!$E$17)</c:f>
              <c:numCache>
                <c:formatCode>_(* #,##0.00_);_(* \(#,##0.00\);_(* "-"??_);_(@_)</c:formatCode>
                <c:ptCount val="3"/>
                <c:pt idx="0">
                  <c:v>9.0742195399999996</c:v>
                </c:pt>
                <c:pt idx="1">
                  <c:v>6.0315431999999998</c:v>
                </c:pt>
                <c:pt idx="2">
                  <c:v>3.6456580999999999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('19'!$A$9,'19'!$A$13,'19'!$A$17)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('19'!$J$9,'19'!$J$13,'19'!$J$17)</c:f>
              <c:numCache>
                <c:formatCode>_(* #,##0.00_);_(* \(#,##0.00\);_(* "-"??_);_(@_)</c:formatCode>
                <c:ptCount val="3"/>
                <c:pt idx="0">
                  <c:v>9.2132103999999977</c:v>
                </c:pt>
                <c:pt idx="1">
                  <c:v>5.8702987499999999</c:v>
                </c:pt>
                <c:pt idx="2">
                  <c:v>3.7138726499999999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('19'!$A$9,'19'!$A$13,'19'!$A$17,'19'!$A$20)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('19'!$D$9,'19'!$D$13,'19'!$D$17,'19'!$D$20)</c:f>
              <c:numCache>
                <c:formatCode>_-* #,##0.000_-;\-* #,##0.000_-;_-* "-"??_-;_-@_-</c:formatCode>
                <c:ptCount val="4"/>
                <c:pt idx="0">
                  <c:v>0.43058222853045569</c:v>
                </c:pt>
                <c:pt idx="1">
                  <c:v>1.1079248273519755</c:v>
                </c:pt>
                <c:pt idx="2">
                  <c:v>1.4789008673097186</c:v>
                </c:pt>
                <c:pt idx="3">
                  <c:v>0.57701553641272252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('19'!$A$9,'19'!$A$13,'19'!$A$17,'19'!$A$20)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('19'!$I$9,'19'!$I$13,'19'!$I$17,'19'!$I$20)</c:f>
              <c:numCache>
                <c:formatCode>_-* #,##0.000_-;\-* #,##0.000_-;_-* "-"??_-;_-@_-</c:formatCode>
                <c:ptCount val="4"/>
                <c:pt idx="0">
                  <c:v>0.42304539430138244</c:v>
                </c:pt>
                <c:pt idx="1">
                  <c:v>1.0022915663705196</c:v>
                </c:pt>
                <c:pt idx="2">
                  <c:v>1.4804077731761709</c:v>
                </c:pt>
                <c:pt idx="3">
                  <c:v>0.55757561912884124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47652352"/>
        <c:axId val="248058944"/>
      </c:barChart>
      <c:catAx>
        <c:axId val="24765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058944"/>
        <c:crosses val="autoZero"/>
        <c:auto val="1"/>
        <c:lblAlgn val="ctr"/>
        <c:lblOffset val="100"/>
        <c:noMultiLvlLbl val="0"/>
      </c:catAx>
      <c:valAx>
        <c:axId val="2480589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652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('19'!$A$9,'19'!$A$13,'19'!$A$17,'19'!$A$20)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('19'!$F$9,'19'!$F$13,'19'!$F$17,'19'!$F$20)</c:f>
              <c:numCache>
                <c:formatCode>_(* #,##0.00_);_(* \(#,##0.00\);_(* "-"??_);_(@_)</c:formatCode>
                <c:ptCount val="4"/>
                <c:pt idx="0">
                  <c:v>13.768406171811106</c:v>
                </c:pt>
                <c:pt idx="1">
                  <c:v>20.544172976507976</c:v>
                </c:pt>
                <c:pt idx="2">
                  <c:v>26.641952221223484</c:v>
                </c:pt>
                <c:pt idx="3">
                  <c:v>17.211207125542348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('19'!$A$9,'19'!$A$13,'19'!$A$17,'19'!$A$20)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('19'!$K$9,'19'!$K$13,'19'!$K$17,'19'!$K$20)</c:f>
              <c:numCache>
                <c:formatCode>_(* #,##0.00_);_(* \(#,##0.00\);_(* "-"??_);_(@_)</c:formatCode>
                <c:ptCount val="4"/>
                <c:pt idx="0">
                  <c:v>13.695990153026484</c:v>
                </c:pt>
                <c:pt idx="1">
                  <c:v>20.506376040549558</c:v>
                </c:pt>
                <c:pt idx="2">
                  <c:v>26.639930062405853</c:v>
                </c:pt>
                <c:pt idx="3">
                  <c:v>17.113872999196083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47653888"/>
        <c:axId val="248060672"/>
      </c:barChart>
      <c:catAx>
        <c:axId val="24765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060672"/>
        <c:crosses val="autoZero"/>
        <c:auto val="1"/>
        <c:lblAlgn val="ctr"/>
        <c:lblOffset val="100"/>
        <c:noMultiLvlLbl val="0"/>
      </c:catAx>
      <c:valAx>
        <c:axId val="2480606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653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'19_g'!$A$18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'19_g'!$B$16:$M$16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'19_g'!$B$18:$M$18</c:f>
              <c:numCache>
                <c:formatCode>#,##0_ ;\-#,##0\ </c:formatCode>
                <c:ptCount val="12"/>
                <c:pt idx="0">
                  <c:v>7</c:v>
                </c:pt>
                <c:pt idx="1">
                  <c:v>18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22</c:v>
                </c:pt>
                <c:pt idx="6">
                  <c:v>43</c:v>
                </c:pt>
                <c:pt idx="7">
                  <c:v>36</c:v>
                </c:pt>
                <c:pt idx="8">
                  <c:v>24</c:v>
                </c:pt>
                <c:pt idx="9">
                  <c:v>23</c:v>
                </c:pt>
                <c:pt idx="10">
                  <c:v>15</c:v>
                </c:pt>
                <c:pt idx="11">
                  <c:v>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'19_g'!$A$19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'19_g'!$B$16:$M$16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'19_g'!$B$19:$M$19</c:f>
              <c:numCache>
                <c:formatCode>#,##0_ ;\-#,##0\ </c:formatCode>
                <c:ptCount val="12"/>
                <c:pt idx="0">
                  <c:v>11.748768472906406</c:v>
                </c:pt>
                <c:pt idx="1">
                  <c:v>12.793103448275861</c:v>
                </c:pt>
                <c:pt idx="2">
                  <c:v>10.182266009852217</c:v>
                </c:pt>
                <c:pt idx="3">
                  <c:v>11.226600985221674</c:v>
                </c:pt>
                <c:pt idx="4">
                  <c:v>11.226600985221674</c:v>
                </c:pt>
                <c:pt idx="5">
                  <c:v>15.403940886699509</c:v>
                </c:pt>
                <c:pt idx="6">
                  <c:v>21.147783251231527</c:v>
                </c:pt>
                <c:pt idx="7">
                  <c:v>19.320197044334975</c:v>
                </c:pt>
                <c:pt idx="8">
                  <c:v>12.270935960591133</c:v>
                </c:pt>
                <c:pt idx="9">
                  <c:v>11.487684729064039</c:v>
                </c:pt>
                <c:pt idx="10">
                  <c:v>13.315270935960591</c:v>
                </c:pt>
                <c:pt idx="11">
                  <c:v>8.876847290640395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'19_g'!$A$20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'19_g'!$B$16:$M$16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'19_g'!$B$20:$M$20</c:f>
              <c:numCache>
                <c:formatCode>#,##0_ ;\-#,##0\ </c:formatCode>
                <c:ptCount val="12"/>
                <c:pt idx="0">
                  <c:v>6</c:v>
                </c:pt>
                <c:pt idx="1">
                  <c:v>12</c:v>
                </c:pt>
                <c:pt idx="2">
                  <c:v>8</c:v>
                </c:pt>
                <c:pt idx="3">
                  <c:v>20</c:v>
                </c:pt>
                <c:pt idx="4">
                  <c:v>21</c:v>
                </c:pt>
                <c:pt idx="5">
                  <c:v>54</c:v>
                </c:pt>
                <c:pt idx="6">
                  <c:v>35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20</c:v>
                </c:pt>
                <c:pt idx="11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09952"/>
        <c:axId val="248324672"/>
      </c:lineChart>
      <c:catAx>
        <c:axId val="24850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324672"/>
        <c:crosses val="autoZero"/>
        <c:auto val="1"/>
        <c:lblAlgn val="ctr"/>
        <c:lblOffset val="100"/>
        <c:noMultiLvlLbl val="0"/>
      </c:catAx>
      <c:valAx>
        <c:axId val="2483246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5099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'19_g'!$B$39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'19_g'!$C$39:$N$39</c:f>
              <c:numCache>
                <c:formatCode>#,##0_ ;\-#,##0\ </c:formatCode>
                <c:ptCount val="12"/>
                <c:pt idx="0">
                  <c:v>7</c:v>
                </c:pt>
                <c:pt idx="1">
                  <c:v>25</c:v>
                </c:pt>
                <c:pt idx="2">
                  <c:v>39</c:v>
                </c:pt>
                <c:pt idx="3">
                  <c:v>52</c:v>
                </c:pt>
                <c:pt idx="4">
                  <c:v>64</c:v>
                </c:pt>
                <c:pt idx="5">
                  <c:v>86</c:v>
                </c:pt>
                <c:pt idx="6">
                  <c:v>129</c:v>
                </c:pt>
                <c:pt idx="7">
                  <c:v>165</c:v>
                </c:pt>
                <c:pt idx="8">
                  <c:v>189</c:v>
                </c:pt>
                <c:pt idx="9">
                  <c:v>212</c:v>
                </c:pt>
                <c:pt idx="10">
                  <c:v>227</c:v>
                </c:pt>
                <c:pt idx="11">
                  <c:v>236</c:v>
                </c:pt>
              </c:numCache>
            </c:numRef>
          </c:val>
        </c:ser>
        <c:ser>
          <c:idx val="0"/>
          <c:order val="2"/>
          <c:tx>
            <c:strRef>
              <c:f>'19_g'!$B$41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'19_g'!$C$41:$N$41</c:f>
              <c:numCache>
                <c:formatCode>#,##0_ ;\-#,##0\ </c:formatCode>
                <c:ptCount val="12"/>
                <c:pt idx="0">
                  <c:v>6</c:v>
                </c:pt>
                <c:pt idx="1">
                  <c:v>18</c:v>
                </c:pt>
                <c:pt idx="2">
                  <c:v>26</c:v>
                </c:pt>
                <c:pt idx="3">
                  <c:v>46</c:v>
                </c:pt>
                <c:pt idx="4">
                  <c:v>67</c:v>
                </c:pt>
                <c:pt idx="5">
                  <c:v>121</c:v>
                </c:pt>
                <c:pt idx="6">
                  <c:v>156</c:v>
                </c:pt>
                <c:pt idx="7">
                  <c:v>181</c:v>
                </c:pt>
                <c:pt idx="8">
                  <c:v>196</c:v>
                </c:pt>
                <c:pt idx="9">
                  <c:v>204</c:v>
                </c:pt>
                <c:pt idx="10">
                  <c:v>224</c:v>
                </c:pt>
                <c:pt idx="11">
                  <c:v>240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8510464"/>
        <c:axId val="248326976"/>
      </c:barChart>
      <c:lineChart>
        <c:grouping val="standard"/>
        <c:varyColors val="0"/>
        <c:ser>
          <c:idx val="3"/>
          <c:order val="1"/>
          <c:tx>
            <c:strRef>
              <c:f>'19_g'!$B$40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'19_g'!$C$37:$N$37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'19_g'!$C$40:$N$40</c:f>
              <c:numCache>
                <c:formatCode>#,##0_ ;\-#,##0\ </c:formatCode>
                <c:ptCount val="12"/>
                <c:pt idx="0">
                  <c:v>11.748768472906406</c:v>
                </c:pt>
                <c:pt idx="1">
                  <c:v>24.541871921182267</c:v>
                </c:pt>
                <c:pt idx="2">
                  <c:v>34.724137931034484</c:v>
                </c:pt>
                <c:pt idx="3">
                  <c:v>45.950738916256157</c:v>
                </c:pt>
                <c:pt idx="4">
                  <c:v>57.177339901477829</c:v>
                </c:pt>
                <c:pt idx="5">
                  <c:v>72.581280788177338</c:v>
                </c:pt>
                <c:pt idx="6">
                  <c:v>93.729064039408868</c:v>
                </c:pt>
                <c:pt idx="7">
                  <c:v>113.04926108374384</c:v>
                </c:pt>
                <c:pt idx="8">
                  <c:v>125.32019704433498</c:v>
                </c:pt>
                <c:pt idx="9">
                  <c:v>136.807881773399</c:v>
                </c:pt>
                <c:pt idx="10">
                  <c:v>150.1231527093596</c:v>
                </c:pt>
                <c:pt idx="11">
                  <c:v>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10464"/>
        <c:axId val="248326976"/>
      </c:lineChart>
      <c:catAx>
        <c:axId val="2485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326976"/>
        <c:crosses val="autoZero"/>
        <c:auto val="1"/>
        <c:lblAlgn val="ctr"/>
        <c:lblOffset val="100"/>
        <c:noMultiLvlLbl val="0"/>
      </c:catAx>
      <c:valAx>
        <c:axId val="2483269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5104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- 2560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dLbl>
              <c:idx val="1"/>
              <c:layout>
                <c:manualLayout>
                  <c:x val="0.16452635940454169"/>
                  <c:y val="0.1309505643457874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6.9928552737891433E-2"/>
                  <c:y val="0.138841279037294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(ภาพรวม!$A$9,ภาพรวม!$A$13,ภาพรวม!$A$17)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(ภาพรวม!$G$9,ภาพรวม!$G$13,ภาพรวม!$G$17)</c:f>
              <c:numCache>
                <c:formatCode>_-* #,##0_-;\-* #,##0_-;_-* "-"??_-;_-@_-</c:formatCode>
                <c:ptCount val="3"/>
                <c:pt idx="0">
                  <c:v>300481</c:v>
                </c:pt>
                <c:pt idx="1">
                  <c:v>58596</c:v>
                </c:pt>
                <c:pt idx="2">
                  <c:v>22680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'00_g'!$AJ$85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'00_g'!$AK$85:$AV$85</c:f>
              <c:numCache>
                <c:formatCode>#,##0_ ;\-#,##0\ </c:formatCode>
                <c:ptCount val="12"/>
                <c:pt idx="0">
                  <c:v>89.476308399999965</c:v>
                </c:pt>
                <c:pt idx="1">
                  <c:v>184.86005244999996</c:v>
                </c:pt>
                <c:pt idx="2">
                  <c:v>271.67183899999998</c:v>
                </c:pt>
                <c:pt idx="3">
                  <c:v>368.63587381000002</c:v>
                </c:pt>
                <c:pt idx="4">
                  <c:v>461.82507941000006</c:v>
                </c:pt>
                <c:pt idx="5">
                  <c:v>544.17957228000012</c:v>
                </c:pt>
                <c:pt idx="6">
                  <c:v>654.55531764000011</c:v>
                </c:pt>
                <c:pt idx="7">
                  <c:v>768.74212335000016</c:v>
                </c:pt>
                <c:pt idx="8">
                  <c:v>870.77176780000025</c:v>
                </c:pt>
                <c:pt idx="9">
                  <c:v>968.05643564000025</c:v>
                </c:pt>
                <c:pt idx="10">
                  <c:v>1049.5320270000002</c:v>
                </c:pt>
                <c:pt idx="11">
                  <c:v>1144.2994750700002</c:v>
                </c:pt>
              </c:numCache>
            </c:numRef>
          </c:val>
        </c:ser>
        <c:ser>
          <c:idx val="0"/>
          <c:order val="2"/>
          <c:tx>
            <c:strRef>
              <c:f>'00_g'!$AJ$87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'00_g'!$AK$83:$AV$83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'00_g'!$AK$87:$AV$87</c:f>
              <c:numCache>
                <c:formatCode>#,##0_ ;\-#,##0\ </c:formatCode>
                <c:ptCount val="12"/>
                <c:pt idx="0">
                  <c:v>93.517834219999983</c:v>
                </c:pt>
                <c:pt idx="1">
                  <c:v>188.74634171</c:v>
                </c:pt>
                <c:pt idx="2">
                  <c:v>277.98371209999999</c:v>
                </c:pt>
                <c:pt idx="3">
                  <c:v>386.27429792999999</c:v>
                </c:pt>
                <c:pt idx="4">
                  <c:v>486.05707548999993</c:v>
                </c:pt>
                <c:pt idx="5">
                  <c:v>575.46857036999995</c:v>
                </c:pt>
                <c:pt idx="6">
                  <c:v>690.77906196999993</c:v>
                </c:pt>
                <c:pt idx="7">
                  <c:v>797.76080407999996</c:v>
                </c:pt>
                <c:pt idx="8">
                  <c:v>896.35169661999998</c:v>
                </c:pt>
                <c:pt idx="9">
                  <c:v>989.04719665999994</c:v>
                </c:pt>
                <c:pt idx="10">
                  <c:v>1085.0200893199999</c:v>
                </c:pt>
                <c:pt idx="11">
                  <c:v>1177.6993948899999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1050496"/>
        <c:axId val="171181760"/>
      </c:barChart>
      <c:lineChart>
        <c:grouping val="standard"/>
        <c:varyColors val="0"/>
        <c:ser>
          <c:idx val="3"/>
          <c:order val="1"/>
          <c:tx>
            <c:strRef>
              <c:f>'00_g'!$AJ$86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'00_g'!$AK$83:$AV$83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'00_g'!$AK$86:$AV$86</c:f>
              <c:numCache>
                <c:formatCode>#,##0_ ;\-#,##0\ </c:formatCode>
                <c:ptCount val="12"/>
                <c:pt idx="0">
                  <c:v>96.964316333333329</c:v>
                </c:pt>
                <c:pt idx="1">
                  <c:v>201.87090766666665</c:v>
                </c:pt>
                <c:pt idx="2">
                  <c:v>304.41567399999997</c:v>
                </c:pt>
                <c:pt idx="3">
                  <c:v>411.07716233333332</c:v>
                </c:pt>
                <c:pt idx="4">
                  <c:v>512.36457566666661</c:v>
                </c:pt>
                <c:pt idx="5">
                  <c:v>607.45037600000001</c:v>
                </c:pt>
                <c:pt idx="6">
                  <c:v>726.30569733333334</c:v>
                </c:pt>
                <c:pt idx="7">
                  <c:v>847.32890166666664</c:v>
                </c:pt>
                <c:pt idx="8">
                  <c:v>962.45134699999994</c:v>
                </c:pt>
                <c:pt idx="9">
                  <c:v>1070.7896943333333</c:v>
                </c:pt>
                <c:pt idx="10">
                  <c:v>1172.5692516666666</c:v>
                </c:pt>
                <c:pt idx="11">
                  <c:v>1273.1719759999999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50496"/>
        <c:axId val="171181760"/>
      </c:lineChart>
      <c:catAx>
        <c:axId val="1710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181760"/>
        <c:crosses val="autoZero"/>
        <c:auto val="1"/>
        <c:lblAlgn val="ctr"/>
        <c:lblOffset val="100"/>
        <c:noMultiLvlLbl val="0"/>
      </c:catAx>
      <c:valAx>
        <c:axId val="1711817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616463210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0504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48359139663"/>
          <c:y val="2.2161373086791118E-2"/>
          <c:w val="0.39103651640860326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'19_g'!$AI$18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'19_g'!$AJ$16:$AU$16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'19_g'!$AJ$18:$AU$18</c:f>
              <c:numCache>
                <c:formatCode>#,##0.000_ ;\-#,##0.000\ </c:formatCode>
                <c:ptCount val="12"/>
                <c:pt idx="0">
                  <c:v>8.3058000000000007E-2</c:v>
                </c:pt>
                <c:pt idx="1">
                  <c:v>8.5696999999999995E-2</c:v>
                </c:pt>
                <c:pt idx="2">
                  <c:v>8.7051000000000003E-2</c:v>
                </c:pt>
                <c:pt idx="3">
                  <c:v>8.6094000000000004E-2</c:v>
                </c:pt>
                <c:pt idx="4">
                  <c:v>8.3330000000000001E-2</c:v>
                </c:pt>
                <c:pt idx="5">
                  <c:v>8.5700999999999999E-2</c:v>
                </c:pt>
                <c:pt idx="6">
                  <c:v>0.10006900000000001</c:v>
                </c:pt>
                <c:pt idx="7">
                  <c:v>0.11809699999999999</c:v>
                </c:pt>
                <c:pt idx="8">
                  <c:v>0.103093</c:v>
                </c:pt>
                <c:pt idx="9">
                  <c:v>9.0393000000000001E-2</c:v>
                </c:pt>
                <c:pt idx="10">
                  <c:v>8.6309999999999998E-2</c:v>
                </c:pt>
                <c:pt idx="11">
                  <c:v>8.1112000000000004E-2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'19_g'!$AJ$16:$AU$16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'19_g'!$AJ$19:$AU$19</c:f>
              <c:numCache>
                <c:formatCode>#,##0.000_ ;\-#,##0.000\ </c:formatCode>
                <c:ptCount val="12"/>
                <c:pt idx="0">
                  <c:v>8.3546999999999996E-2</c:v>
                </c:pt>
                <c:pt idx="1">
                  <c:v>8.7759000000000004E-2</c:v>
                </c:pt>
                <c:pt idx="2">
                  <c:v>8.4616999999999998E-2</c:v>
                </c:pt>
                <c:pt idx="3">
                  <c:v>8.5347000000000006E-2</c:v>
                </c:pt>
                <c:pt idx="4">
                  <c:v>8.5128999999999996E-2</c:v>
                </c:pt>
                <c:pt idx="5">
                  <c:v>8.5389999999999994E-2</c:v>
                </c:pt>
                <c:pt idx="6">
                  <c:v>0.10113900000000001</c:v>
                </c:pt>
                <c:pt idx="7">
                  <c:v>0.11154500000000001</c:v>
                </c:pt>
                <c:pt idx="8">
                  <c:v>0.103534</c:v>
                </c:pt>
                <c:pt idx="9">
                  <c:v>9.0684000000000001E-2</c:v>
                </c:pt>
                <c:pt idx="10">
                  <c:v>8.7586999999999998E-2</c:v>
                </c:pt>
                <c:pt idx="11">
                  <c:v>8.6490999999999998E-2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'19_g'!$AI$20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'19_g'!$AJ$16:$AU$16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'19_g'!$AJ$20:$AU$20</c:f>
              <c:numCache>
                <c:formatCode>#,##0.000_ ;\-#,##0.000\ </c:formatCode>
                <c:ptCount val="12"/>
                <c:pt idx="0">
                  <c:v>8.2790000000000002E-2</c:v>
                </c:pt>
                <c:pt idx="1">
                  <c:v>8.5692000000000004E-2</c:v>
                </c:pt>
                <c:pt idx="2">
                  <c:v>8.6360999999999993E-2</c:v>
                </c:pt>
                <c:pt idx="3">
                  <c:v>8.9906E-2</c:v>
                </c:pt>
                <c:pt idx="4">
                  <c:v>9.0666999999999998E-2</c:v>
                </c:pt>
                <c:pt idx="5">
                  <c:v>8.7433999999999998E-2</c:v>
                </c:pt>
                <c:pt idx="6">
                  <c:v>0.10587000000000001</c:v>
                </c:pt>
                <c:pt idx="7">
                  <c:v>0.105934</c:v>
                </c:pt>
                <c:pt idx="8">
                  <c:v>9.9876999999999994E-2</c:v>
                </c:pt>
                <c:pt idx="9">
                  <c:v>8.6009000000000002E-2</c:v>
                </c:pt>
                <c:pt idx="10">
                  <c:v>9.0620999999999993E-2</c:v>
                </c:pt>
                <c:pt idx="11">
                  <c:v>8.8104000000000002E-2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11488"/>
        <c:axId val="248329280"/>
      </c:lineChart>
      <c:catAx>
        <c:axId val="24851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329280"/>
        <c:crosses val="autoZero"/>
        <c:auto val="1"/>
        <c:lblAlgn val="ctr"/>
        <c:lblOffset val="100"/>
        <c:noMultiLvlLbl val="0"/>
      </c:catAx>
      <c:valAx>
        <c:axId val="2483292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14116478682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5114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13974604525"/>
          <c:y val="2.2161373086791118E-2"/>
          <c:w val="0.3512889267219975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'19_g'!$AJ$39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'19_g'!$AK$39:$AV$39</c:f>
              <c:numCache>
                <c:formatCode>#,##0.000_ ;\-#,##0.000\ </c:formatCode>
                <c:ptCount val="12"/>
                <c:pt idx="0">
                  <c:v>8.3058000000000007E-2</c:v>
                </c:pt>
                <c:pt idx="1">
                  <c:v>0.16875499999999999</c:v>
                </c:pt>
                <c:pt idx="2">
                  <c:v>0.25580599999999998</c:v>
                </c:pt>
                <c:pt idx="3">
                  <c:v>0.34189999999999998</c:v>
                </c:pt>
                <c:pt idx="4">
                  <c:v>0.42523</c:v>
                </c:pt>
                <c:pt idx="5">
                  <c:v>0.51093100000000002</c:v>
                </c:pt>
                <c:pt idx="6">
                  <c:v>0.61099999999999999</c:v>
                </c:pt>
                <c:pt idx="7">
                  <c:v>0.729097</c:v>
                </c:pt>
                <c:pt idx="8">
                  <c:v>0.83218999999999999</c:v>
                </c:pt>
                <c:pt idx="9">
                  <c:v>0.92258299999999993</c:v>
                </c:pt>
                <c:pt idx="10">
                  <c:v>1.008893</c:v>
                </c:pt>
                <c:pt idx="11">
                  <c:v>1.0900050000000001</c:v>
                </c:pt>
              </c:numCache>
            </c:numRef>
          </c:val>
        </c:ser>
        <c:ser>
          <c:idx val="0"/>
          <c:order val="2"/>
          <c:tx>
            <c:strRef>
              <c:f>'19_g'!$AJ$41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'19_g'!$AK$41:$AV$41</c:f>
              <c:numCache>
                <c:formatCode>#,##0.000_ ;\-#,##0.000\ </c:formatCode>
                <c:ptCount val="12"/>
                <c:pt idx="0">
                  <c:v>8.2790000000000002E-2</c:v>
                </c:pt>
                <c:pt idx="1">
                  <c:v>0.16848200000000002</c:v>
                </c:pt>
                <c:pt idx="2">
                  <c:v>0.25484300000000004</c:v>
                </c:pt>
                <c:pt idx="3">
                  <c:v>0.34474900000000003</c:v>
                </c:pt>
                <c:pt idx="4">
                  <c:v>0.43541600000000003</c:v>
                </c:pt>
                <c:pt idx="5">
                  <c:v>0.52285000000000004</c:v>
                </c:pt>
                <c:pt idx="6">
                  <c:v>0.62872000000000006</c:v>
                </c:pt>
                <c:pt idx="7">
                  <c:v>0.73465400000000003</c:v>
                </c:pt>
                <c:pt idx="8">
                  <c:v>0.83453100000000002</c:v>
                </c:pt>
                <c:pt idx="9">
                  <c:v>0.92054000000000002</c:v>
                </c:pt>
                <c:pt idx="10">
                  <c:v>1.011161</c:v>
                </c:pt>
                <c:pt idx="11">
                  <c:v>1.0992649999999999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8512000"/>
        <c:axId val="248331584"/>
      </c:barChart>
      <c:lineChart>
        <c:grouping val="standard"/>
        <c:varyColors val="0"/>
        <c:ser>
          <c:idx val="3"/>
          <c:order val="1"/>
          <c:tx>
            <c:strRef>
              <c:f>'19_g'!$AJ$40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'19_g'!$AK$37:$AV$37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'19_g'!$AK$40:$AV$40</c:f>
              <c:numCache>
                <c:formatCode>#,##0.000_ ;\-#,##0.000\ </c:formatCode>
                <c:ptCount val="12"/>
                <c:pt idx="0">
                  <c:v>8.3546999999999996E-2</c:v>
                </c:pt>
                <c:pt idx="1">
                  <c:v>0.17130600000000001</c:v>
                </c:pt>
                <c:pt idx="2">
                  <c:v>0.25592300000000001</c:v>
                </c:pt>
                <c:pt idx="3">
                  <c:v>0.34127000000000002</c:v>
                </c:pt>
                <c:pt idx="4">
                  <c:v>0.42639900000000003</c:v>
                </c:pt>
                <c:pt idx="5">
                  <c:v>0.51178900000000005</c:v>
                </c:pt>
                <c:pt idx="6">
                  <c:v>0.61292800000000003</c:v>
                </c:pt>
                <c:pt idx="7">
                  <c:v>0.72447300000000003</c:v>
                </c:pt>
                <c:pt idx="8">
                  <c:v>0.82800700000000005</c:v>
                </c:pt>
                <c:pt idx="9">
                  <c:v>0.91869100000000004</c:v>
                </c:pt>
                <c:pt idx="10">
                  <c:v>1.006278</c:v>
                </c:pt>
                <c:pt idx="11">
                  <c:v>1.0927690000000001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12000"/>
        <c:axId val="248331584"/>
      </c:lineChart>
      <c:catAx>
        <c:axId val="24851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331584"/>
        <c:crosses val="autoZero"/>
        <c:auto val="1"/>
        <c:lblAlgn val="ctr"/>
        <c:lblOffset val="100"/>
        <c:noMultiLvlLbl val="0"/>
      </c:catAx>
      <c:valAx>
        <c:axId val="2483315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18640815061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5120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2860327943"/>
          <c:y val="2.2161373086791118E-2"/>
          <c:w val="0.33180947139672057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'19_g'!$AY$18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'19_g'!$AZ$16:$BK$16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'19_g'!$AZ$18:$BK$18</c:f>
              <c:numCache>
                <c:formatCode>#,##0.000_ ;\-#,##0.000\ </c:formatCode>
                <c:ptCount val="12"/>
                <c:pt idx="0">
                  <c:v>1.7931199999999998E-2</c:v>
                </c:pt>
                <c:pt idx="1">
                  <c:v>1.5594479999999996E-2</c:v>
                </c:pt>
                <c:pt idx="2">
                  <c:v>1.243E-2</c:v>
                </c:pt>
                <c:pt idx="3">
                  <c:v>3.2176499999999942E-3</c:v>
                </c:pt>
                <c:pt idx="4">
                  <c:v>8.4543800000000044E-3</c:v>
                </c:pt>
                <c:pt idx="5">
                  <c:v>2.6433380000000006E-2</c:v>
                </c:pt>
                <c:pt idx="6">
                  <c:v>2.2697999999999999E-2</c:v>
                </c:pt>
                <c:pt idx="7">
                  <c:v>4.9291000000000057E-3</c:v>
                </c:pt>
                <c:pt idx="8">
                  <c:v>3.1266000000000059E-3</c:v>
                </c:pt>
                <c:pt idx="9">
                  <c:v>8.5349600000000064E-3</c:v>
                </c:pt>
                <c:pt idx="10">
                  <c:v>6.8614600000000067E-3</c:v>
                </c:pt>
                <c:pt idx="11">
                  <c:v>9.3977400000000051E-3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'19_g'!$AZ$16:$BK$16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'19_g'!$AZ$19:$BK$19</c:f>
              <c:numCache>
                <c:formatCode>#,##0.000_ ;\-#,##0.000\ </c:formatCode>
                <c:ptCount val="12"/>
                <c:pt idx="0">
                  <c:v>2.0049999999999998E-2</c:v>
                </c:pt>
                <c:pt idx="1">
                  <c:v>1.9758999999999999E-2</c:v>
                </c:pt>
                <c:pt idx="2">
                  <c:v>1.9266999999999999E-2</c:v>
                </c:pt>
                <c:pt idx="3">
                  <c:v>1.1681E-2</c:v>
                </c:pt>
                <c:pt idx="4">
                  <c:v>1.0496E-2</c:v>
                </c:pt>
                <c:pt idx="5">
                  <c:v>2.5356E-2</c:v>
                </c:pt>
                <c:pt idx="6">
                  <c:v>2.1316000000000002E-2</c:v>
                </c:pt>
                <c:pt idx="7">
                  <c:v>1.4049000000000001E-2</c:v>
                </c:pt>
                <c:pt idx="8">
                  <c:v>9.2169999999999995E-3</c:v>
                </c:pt>
                <c:pt idx="9">
                  <c:v>1.2513E-2</c:v>
                </c:pt>
                <c:pt idx="10">
                  <c:v>1.4591E-2</c:v>
                </c:pt>
                <c:pt idx="11">
                  <c:v>1.4546999999999999E-2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'19_g'!$AY$20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'19_g'!$AZ$16:$BK$16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'19_g'!$AZ$20:$BK$20</c:f>
              <c:numCache>
                <c:formatCode>#,##0.000_ ;\-#,##0.000\ </c:formatCode>
                <c:ptCount val="12"/>
                <c:pt idx="0">
                  <c:v>1.2192699999999997E-2</c:v>
                </c:pt>
                <c:pt idx="1">
                  <c:v>7.2420000000000002E-3</c:v>
                </c:pt>
                <c:pt idx="2">
                  <c:v>1.3375119999999996E-2</c:v>
                </c:pt>
                <c:pt idx="3">
                  <c:v>8.5912000000000124E-3</c:v>
                </c:pt>
                <c:pt idx="4">
                  <c:v>4.5219599999999915E-3</c:v>
                </c:pt>
                <c:pt idx="5">
                  <c:v>2.5351569999999993E-2</c:v>
                </c:pt>
                <c:pt idx="6">
                  <c:v>4.1031000000000062E-3</c:v>
                </c:pt>
                <c:pt idx="7">
                  <c:v>2.2358000000000031E-3</c:v>
                </c:pt>
                <c:pt idx="8">
                  <c:v>1.027199999999997E-3</c:v>
                </c:pt>
                <c:pt idx="9">
                  <c:v>1.8788539999999992E-2</c:v>
                </c:pt>
                <c:pt idx="10">
                  <c:v>1.4986789999999993E-2</c:v>
                </c:pt>
                <c:pt idx="11">
                  <c:v>8.1695599999999976E-3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4768"/>
        <c:axId val="246474432"/>
      </c:lineChart>
      <c:catAx>
        <c:axId val="2491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6474432"/>
        <c:crosses val="autoZero"/>
        <c:auto val="1"/>
        <c:lblAlgn val="ctr"/>
        <c:lblOffset val="100"/>
        <c:noMultiLvlLbl val="0"/>
      </c:catAx>
      <c:valAx>
        <c:axId val="2464744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05249343833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1847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4699032152230973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'19_g'!$AY$39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'19_g'!$AZ$37:$BO$37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'19_g'!$AZ$39:$BO$39</c:f>
              <c:numCache>
                <c:formatCode>_(* #,##0.00_);_(* \(#,##0.00\);_(* "-"??_);_(@_)</c:formatCode>
                <c:ptCount val="16"/>
                <c:pt idx="0">
                  <c:v>17.755561980885084</c:v>
                </c:pt>
                <c:pt idx="1">
                  <c:v>15.395648281573134</c:v>
                </c:pt>
                <c:pt idx="2">
                  <c:v>12.494848262482282</c:v>
                </c:pt>
                <c:pt idx="3">
                  <c:v>15.229130484692421</c:v>
                </c:pt>
                <c:pt idx="4">
                  <c:v>3.6026004692399223</c:v>
                </c:pt>
                <c:pt idx="5">
                  <c:v>9.211031212160373</c:v>
                </c:pt>
                <c:pt idx="6">
                  <c:v>23.572738595080342</c:v>
                </c:pt>
                <c:pt idx="7">
                  <c:v>14.12798338223805</c:v>
                </c:pt>
                <c:pt idx="8">
                  <c:v>18.376715378698943</c:v>
                </c:pt>
                <c:pt idx="9">
                  <c:v>3.9824964389334703</c:v>
                </c:pt>
                <c:pt idx="10">
                  <c:v>2.9434137046758022</c:v>
                </c:pt>
                <c:pt idx="11">
                  <c:v>12.104819207080645</c:v>
                </c:pt>
                <c:pt idx="12">
                  <c:v>8.6274497118913658</c:v>
                </c:pt>
                <c:pt idx="13">
                  <c:v>7.3642576357863749</c:v>
                </c:pt>
                <c:pt idx="14">
                  <c:v>10.383010900142905</c:v>
                </c:pt>
                <c:pt idx="15">
                  <c:v>11.340032594005461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'19_g'!$AY$40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'19_g'!$AZ$37:$BO$37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'19_g'!$AZ$40:$BO$40</c:f>
              <c:numCache>
                <c:formatCode>_(* #,##0.00_);_(* \(#,##0.00\);_(* "-"??_);_(@_)</c:formatCode>
                <c:ptCount val="16"/>
                <c:pt idx="0">
                  <c:v>15.000038892043467</c:v>
                </c:pt>
                <c:pt idx="1">
                  <c:v>15.000038892043467</c:v>
                </c:pt>
                <c:pt idx="2">
                  <c:v>15.000038892043467</c:v>
                </c:pt>
                <c:pt idx="3">
                  <c:v>15.000038892043467</c:v>
                </c:pt>
                <c:pt idx="4">
                  <c:v>15.000038892043467</c:v>
                </c:pt>
                <c:pt idx="5">
                  <c:v>15.000038892043467</c:v>
                </c:pt>
                <c:pt idx="6">
                  <c:v>15.000038892043467</c:v>
                </c:pt>
                <c:pt idx="7">
                  <c:v>15.000038892043467</c:v>
                </c:pt>
                <c:pt idx="8">
                  <c:v>15.000038892043467</c:v>
                </c:pt>
                <c:pt idx="9">
                  <c:v>15.000038892043467</c:v>
                </c:pt>
                <c:pt idx="10">
                  <c:v>15.000038892043467</c:v>
                </c:pt>
                <c:pt idx="11">
                  <c:v>15.000038892043467</c:v>
                </c:pt>
                <c:pt idx="12">
                  <c:v>15.000038892043467</c:v>
                </c:pt>
                <c:pt idx="13">
                  <c:v>15.000038892043467</c:v>
                </c:pt>
                <c:pt idx="14">
                  <c:v>15.000038892043467</c:v>
                </c:pt>
                <c:pt idx="15">
                  <c:v>15.000038892043467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'19_g'!$AY$41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'19_g'!$AZ$37:$BO$37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'19_g'!$AZ$41:$BO$41</c:f>
              <c:numCache>
                <c:formatCode>_(* #,##0.00_);_(* \(#,##0.00\);_(* "-"??_);_(@_)</c:formatCode>
                <c:ptCount val="16"/>
                <c:pt idx="0">
                  <c:v>12.836082987586812</c:v>
                </c:pt>
                <c:pt idx="1">
                  <c:v>7.7923754801639822</c:v>
                </c:pt>
                <c:pt idx="2">
                  <c:v>13.409835381836494</c:v>
                </c:pt>
                <c:pt idx="3">
                  <c:v>11.405532989633599</c:v>
                </c:pt>
                <c:pt idx="4">
                  <c:v>8.7220127471822515</c:v>
                </c:pt>
                <c:pt idx="5">
                  <c:v>4.7504090724581332</c:v>
                </c:pt>
                <c:pt idx="6">
                  <c:v>22.475081022747005</c:v>
                </c:pt>
                <c:pt idx="7">
                  <c:v>11.995941130230953</c:v>
                </c:pt>
                <c:pt idx="8">
                  <c:v>3.7309693827910442</c:v>
                </c:pt>
                <c:pt idx="9">
                  <c:v>2.0654270532329253</c:v>
                </c:pt>
                <c:pt idx="10">
                  <c:v>1.0179851979878114</c:v>
                </c:pt>
                <c:pt idx="11">
                  <c:v>8.6107585523949659</c:v>
                </c:pt>
                <c:pt idx="12">
                  <c:v>17.926022268158633</c:v>
                </c:pt>
                <c:pt idx="13">
                  <c:v>14.19072038681262</c:v>
                </c:pt>
                <c:pt idx="14">
                  <c:v>8.4857774034740157</c:v>
                </c:pt>
                <c:pt idx="15">
                  <c:v>9.8842345210432985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5280"/>
        <c:axId val="246476736"/>
      </c:lineChart>
      <c:catAx>
        <c:axId val="249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6476736"/>
        <c:crosses val="autoZero"/>
        <c:auto val="1"/>
        <c:lblAlgn val="ctr"/>
        <c:lblOffset val="100"/>
        <c:noMultiLvlLbl val="0"/>
      </c:catAx>
      <c:valAx>
        <c:axId val="2464767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%</a:t>
                </a:r>
              </a:p>
            </c:rich>
          </c:tx>
          <c:layout>
            <c:manualLayout>
              <c:xMode val="edge"/>
              <c:yMode val="edge"/>
              <c:x val="5.097209474582548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18528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6819045778786856"/>
          <c:y val="2.2161373086791118E-2"/>
          <c:w val="0.95122116483905772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'19_g'!$A$64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'19_g'!$B$62:$M$62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'19_g'!$B$64:$M$64</c:f>
              <c:numCache>
                <c:formatCode>#,##0.00_ ;\-#,##0.00\ </c:formatCode>
                <c:ptCount val="12"/>
                <c:pt idx="0">
                  <c:v>1.6183363799999999</c:v>
                </c:pt>
                <c:pt idx="1">
                  <c:v>1.7661924199999999</c:v>
                </c:pt>
                <c:pt idx="2">
                  <c:v>1.6871085599999998</c:v>
                </c:pt>
                <c:pt idx="3">
                  <c:v>1.6885543999999999</c:v>
                </c:pt>
                <c:pt idx="4">
                  <c:v>1.6155154599999999</c:v>
                </c:pt>
                <c:pt idx="5">
                  <c:v>1.6607153099999998</c:v>
                </c:pt>
                <c:pt idx="6">
                  <c:v>1.9586018700000001</c:v>
                </c:pt>
                <c:pt idx="7">
                  <c:v>2.3086107500000002</c:v>
                </c:pt>
                <c:pt idx="8">
                  <c:v>2.0244199200000006</c:v>
                </c:pt>
                <c:pt idx="9">
                  <c:v>1.7779652399999997</c:v>
                </c:pt>
                <c:pt idx="10">
                  <c:v>1.6780304699999999</c:v>
                </c:pt>
                <c:pt idx="11">
                  <c:v>1.5367543299999995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'19_g'!$A$65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'19_g'!$B$62:$M$62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'19_g'!$B$65:$M$65</c:f>
              <c:numCache>
                <c:formatCode>#,##0.00_ ;\-#,##0.00\ </c:formatCode>
                <c:ptCount val="12"/>
                <c:pt idx="0">
                  <c:v>1.634428</c:v>
                </c:pt>
                <c:pt idx="1">
                  <c:v>1.7499910000000001</c:v>
                </c:pt>
                <c:pt idx="2">
                  <c:v>1.643092</c:v>
                </c:pt>
                <c:pt idx="3">
                  <c:v>1.6551450000000001</c:v>
                </c:pt>
                <c:pt idx="4">
                  <c:v>1.6613169999999999</c:v>
                </c:pt>
                <c:pt idx="5">
                  <c:v>1.662806</c:v>
                </c:pt>
                <c:pt idx="6">
                  <c:v>1.944834</c:v>
                </c:pt>
                <c:pt idx="7">
                  <c:v>2.1448610000000001</c:v>
                </c:pt>
                <c:pt idx="8">
                  <c:v>1.9978149999999999</c:v>
                </c:pt>
                <c:pt idx="9">
                  <c:v>1.774667</c:v>
                </c:pt>
                <c:pt idx="10">
                  <c:v>1.702801</c:v>
                </c:pt>
                <c:pt idx="11">
                  <c:v>1.688923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'19_g'!$A$66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'19_g'!$B$62:$M$62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'19_g'!$B$66:$M$66</c:f>
              <c:numCache>
                <c:formatCode>#,##0.00_ ;\-#,##0.00\ </c:formatCode>
                <c:ptCount val="12"/>
                <c:pt idx="0">
                  <c:v>1.5857750700000002</c:v>
                </c:pt>
                <c:pt idx="1">
                  <c:v>1.6465706099999999</c:v>
                </c:pt>
                <c:pt idx="2">
                  <c:v>1.6670553100000001</c:v>
                </c:pt>
                <c:pt idx="3">
                  <c:v>1.7860938400000004</c:v>
                </c:pt>
                <c:pt idx="4">
                  <c:v>1.7864424000000001</c:v>
                </c:pt>
                <c:pt idx="5">
                  <c:v>1.80374977</c:v>
                </c:pt>
                <c:pt idx="6">
                  <c:v>2.0868475499999999</c:v>
                </c:pt>
                <c:pt idx="7">
                  <c:v>2.0510691599999999</c:v>
                </c:pt>
                <c:pt idx="8">
                  <c:v>1.9300947099999999</c:v>
                </c:pt>
                <c:pt idx="9">
                  <c:v>1.6718734899999999</c:v>
                </c:pt>
                <c:pt idx="10">
                  <c:v>1.7831772799999999</c:v>
                </c:pt>
                <c:pt idx="11">
                  <c:v>1.69421519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5792"/>
        <c:axId val="246479040"/>
      </c:lineChart>
      <c:catAx>
        <c:axId val="2491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6479040"/>
        <c:crosses val="autoZero"/>
        <c:auto val="1"/>
        <c:lblAlgn val="ctr"/>
        <c:lblOffset val="100"/>
        <c:noMultiLvlLbl val="0"/>
      </c:catAx>
      <c:valAx>
        <c:axId val="2464790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1857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'19_g'!$B$85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'19_g'!$C$85:$N$85</c:f>
              <c:numCache>
                <c:formatCode>#,##0.00_ ;\-#,##0.00\ </c:formatCode>
                <c:ptCount val="12"/>
                <c:pt idx="0">
                  <c:v>1.6183363799999999</c:v>
                </c:pt>
                <c:pt idx="1">
                  <c:v>3.3845288</c:v>
                </c:pt>
                <c:pt idx="2">
                  <c:v>5.0716373599999995</c:v>
                </c:pt>
                <c:pt idx="3">
                  <c:v>6.7601917599999997</c:v>
                </c:pt>
                <c:pt idx="4">
                  <c:v>8.3757072199999989</c:v>
                </c:pt>
                <c:pt idx="5">
                  <c:v>10.036422529999999</c:v>
                </c:pt>
                <c:pt idx="6">
                  <c:v>11.9950244</c:v>
                </c:pt>
                <c:pt idx="7">
                  <c:v>14.30363515</c:v>
                </c:pt>
                <c:pt idx="8">
                  <c:v>16.328055070000001</c:v>
                </c:pt>
                <c:pt idx="9">
                  <c:v>18.106020310000002</c:v>
                </c:pt>
                <c:pt idx="10">
                  <c:v>19.784050780000001</c:v>
                </c:pt>
                <c:pt idx="11">
                  <c:v>21.320805110000002</c:v>
                </c:pt>
              </c:numCache>
            </c:numRef>
          </c:val>
        </c:ser>
        <c:ser>
          <c:idx val="0"/>
          <c:order val="2"/>
          <c:tx>
            <c:strRef>
              <c:f>'19_g'!$B$87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'19_g'!$C$87:$N$87</c:f>
              <c:numCache>
                <c:formatCode>#,##0.00_ ;\-#,##0.00\ </c:formatCode>
                <c:ptCount val="12"/>
                <c:pt idx="0">
                  <c:v>1.5857750700000002</c:v>
                </c:pt>
                <c:pt idx="1">
                  <c:v>3.2323456799999999</c:v>
                </c:pt>
                <c:pt idx="2">
                  <c:v>4.8994009900000002</c:v>
                </c:pt>
                <c:pt idx="3">
                  <c:v>6.6854948300000006</c:v>
                </c:pt>
                <c:pt idx="4">
                  <c:v>8.47193723</c:v>
                </c:pt>
                <c:pt idx="5">
                  <c:v>10.275687</c:v>
                </c:pt>
                <c:pt idx="6">
                  <c:v>12.362534549999999</c:v>
                </c:pt>
                <c:pt idx="7">
                  <c:v>14.41360371</c:v>
                </c:pt>
                <c:pt idx="8">
                  <c:v>16.343698419999999</c:v>
                </c:pt>
                <c:pt idx="9">
                  <c:v>18.015571909999998</c:v>
                </c:pt>
                <c:pt idx="10">
                  <c:v>19.798749189999999</c:v>
                </c:pt>
                <c:pt idx="11">
                  <c:v>21.49296438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9186304"/>
        <c:axId val="249102912"/>
      </c:barChart>
      <c:lineChart>
        <c:grouping val="standard"/>
        <c:varyColors val="0"/>
        <c:ser>
          <c:idx val="3"/>
          <c:order val="1"/>
          <c:tx>
            <c:strRef>
              <c:f>'19_g'!$B$86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'19_g'!$C$83:$N$83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'19_g'!$C$86:$N$86</c:f>
              <c:numCache>
                <c:formatCode>#,##0.00_ ;\-#,##0.00\ </c:formatCode>
                <c:ptCount val="12"/>
                <c:pt idx="0">
                  <c:v>1.634428</c:v>
                </c:pt>
                <c:pt idx="1">
                  <c:v>3.3844190000000003</c:v>
                </c:pt>
                <c:pt idx="2">
                  <c:v>5.0275110000000005</c:v>
                </c:pt>
                <c:pt idx="3">
                  <c:v>6.6826560000000006</c:v>
                </c:pt>
                <c:pt idx="4">
                  <c:v>8.3439730000000001</c:v>
                </c:pt>
                <c:pt idx="5">
                  <c:v>10.006779</c:v>
                </c:pt>
                <c:pt idx="6">
                  <c:v>11.951613</c:v>
                </c:pt>
                <c:pt idx="7">
                  <c:v>14.096474000000001</c:v>
                </c:pt>
                <c:pt idx="8">
                  <c:v>16.094289</c:v>
                </c:pt>
                <c:pt idx="9">
                  <c:v>17.868956000000001</c:v>
                </c:pt>
                <c:pt idx="10">
                  <c:v>19.571757000000002</c:v>
                </c:pt>
                <c:pt idx="11">
                  <c:v>21.260680000000001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6304"/>
        <c:axId val="249102912"/>
      </c:lineChart>
      <c:catAx>
        <c:axId val="2491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102912"/>
        <c:crosses val="autoZero"/>
        <c:auto val="1"/>
        <c:lblAlgn val="ctr"/>
        <c:lblOffset val="100"/>
        <c:noMultiLvlLbl val="0"/>
      </c:catAx>
      <c:valAx>
        <c:axId val="2491029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1863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'19_g'!$S$64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'19_g'!$T$62:$AE$62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'19_g'!$T$64:$AE$64</c:f>
              <c:numCache>
                <c:formatCode>#,##0.00_ ;\-#,##0.00\ </c:formatCode>
                <c:ptCount val="12"/>
                <c:pt idx="0">
                  <c:v>0.87869061000000015</c:v>
                </c:pt>
                <c:pt idx="1">
                  <c:v>0.92252042000000001</c:v>
                </c:pt>
                <c:pt idx="2">
                  <c:v>0.93329696000000006</c:v>
                </c:pt>
                <c:pt idx="3">
                  <c:v>0.85454890000000006</c:v>
                </c:pt>
                <c:pt idx="4">
                  <c:v>0.90385101000000001</c:v>
                </c:pt>
                <c:pt idx="5">
                  <c:v>0.86932840000000011</c:v>
                </c:pt>
                <c:pt idx="6">
                  <c:v>0.91338374</c:v>
                </c:pt>
                <c:pt idx="7">
                  <c:v>0.94869651999999993</c:v>
                </c:pt>
                <c:pt idx="8">
                  <c:v>0.93638054999999987</c:v>
                </c:pt>
                <c:pt idx="9">
                  <c:v>0.81420378999999998</c:v>
                </c:pt>
                <c:pt idx="10">
                  <c:v>0.95902466000000008</c:v>
                </c:pt>
                <c:pt idx="11">
                  <c:v>0.90344720999999972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'19_g'!$S$65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'19_g'!$T$62:$AE$62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'19_g'!$T$65:$AE$65</c:f>
              <c:numCache>
                <c:formatCode>#,##0.00_ ;\-#,##0.00\ </c:formatCode>
                <c:ptCount val="12"/>
                <c:pt idx="0">
                  <c:v>0.90275000000000005</c:v>
                </c:pt>
                <c:pt idx="1">
                  <c:v>0.90945699999999996</c:v>
                </c:pt>
                <c:pt idx="2">
                  <c:v>0.91732800000000003</c:v>
                </c:pt>
                <c:pt idx="3">
                  <c:v>0.89419800000000005</c:v>
                </c:pt>
                <c:pt idx="4">
                  <c:v>0.92661800000000005</c:v>
                </c:pt>
                <c:pt idx="5">
                  <c:v>0.95470299999999997</c:v>
                </c:pt>
                <c:pt idx="6">
                  <c:v>0.94011800000000001</c:v>
                </c:pt>
                <c:pt idx="7">
                  <c:v>1.001501</c:v>
                </c:pt>
                <c:pt idx="8">
                  <c:v>1.1912419999999999</c:v>
                </c:pt>
                <c:pt idx="9">
                  <c:v>0.89990400000000004</c:v>
                </c:pt>
                <c:pt idx="10">
                  <c:v>1.0303439999999999</c:v>
                </c:pt>
                <c:pt idx="11">
                  <c:v>1.012751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'19_g'!$S$66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'19_g'!$T$62:$AE$62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'19_g'!$T$66:$AE$66</c:f>
              <c:numCache>
                <c:formatCode>#,##0.00_ ;\-#,##0.00\ </c:formatCode>
                <c:ptCount val="12"/>
                <c:pt idx="0">
                  <c:v>0.9161184400000002</c:v>
                </c:pt>
                <c:pt idx="1">
                  <c:v>0.83542892000000002</c:v>
                </c:pt>
                <c:pt idx="2">
                  <c:v>1.1014691500000002</c:v>
                </c:pt>
                <c:pt idx="3">
                  <c:v>0.85185299000000014</c:v>
                </c:pt>
                <c:pt idx="4">
                  <c:v>0.78475335000000013</c:v>
                </c:pt>
                <c:pt idx="5">
                  <c:v>0.96170977999999996</c:v>
                </c:pt>
                <c:pt idx="6">
                  <c:v>0.85916722000000012</c:v>
                </c:pt>
                <c:pt idx="7">
                  <c:v>0.97103474000000012</c:v>
                </c:pt>
                <c:pt idx="8">
                  <c:v>0.93529273999999996</c:v>
                </c:pt>
                <c:pt idx="9">
                  <c:v>1.00981571</c:v>
                </c:pt>
                <c:pt idx="10">
                  <c:v>0.92973565000000002</c:v>
                </c:pt>
                <c:pt idx="11">
                  <c:v>1.03162924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478720"/>
        <c:axId val="249105216"/>
      </c:lineChart>
      <c:catAx>
        <c:axId val="24847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105216"/>
        <c:crosses val="autoZero"/>
        <c:auto val="1"/>
        <c:lblAlgn val="ctr"/>
        <c:lblOffset val="100"/>
        <c:noMultiLvlLbl val="0"/>
      </c:catAx>
      <c:valAx>
        <c:axId val="2491052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84787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'19_g'!$T$85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'19_g'!$U$85:$AF$85</c:f>
              <c:numCache>
                <c:formatCode>#,##0.00_ ;\-#,##0.00\ </c:formatCode>
                <c:ptCount val="12"/>
                <c:pt idx="0">
                  <c:v>0.87869061000000015</c:v>
                </c:pt>
                <c:pt idx="1">
                  <c:v>1.8012110300000002</c:v>
                </c:pt>
                <c:pt idx="2">
                  <c:v>2.73450799</c:v>
                </c:pt>
                <c:pt idx="3">
                  <c:v>3.5890568900000002</c:v>
                </c:pt>
                <c:pt idx="4">
                  <c:v>4.4929079000000005</c:v>
                </c:pt>
                <c:pt idx="5">
                  <c:v>5.3622363000000011</c:v>
                </c:pt>
                <c:pt idx="6">
                  <c:v>6.2756200400000015</c:v>
                </c:pt>
                <c:pt idx="7">
                  <c:v>7.2243165600000019</c:v>
                </c:pt>
                <c:pt idx="8">
                  <c:v>8.160697110000001</c:v>
                </c:pt>
                <c:pt idx="9">
                  <c:v>8.9749009000000015</c:v>
                </c:pt>
                <c:pt idx="10">
                  <c:v>9.9339255600000023</c:v>
                </c:pt>
                <c:pt idx="11">
                  <c:v>10.837372770000002</c:v>
                </c:pt>
              </c:numCache>
            </c:numRef>
          </c:val>
        </c:ser>
        <c:ser>
          <c:idx val="0"/>
          <c:order val="2"/>
          <c:tx>
            <c:strRef>
              <c:f>'19_g'!$T$87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'19_g'!$U$87:$AF$87</c:f>
              <c:numCache>
                <c:formatCode>#,##0.00_ ;\-#,##0.00\ </c:formatCode>
                <c:ptCount val="12"/>
                <c:pt idx="0">
                  <c:v>0.9161184400000002</c:v>
                </c:pt>
                <c:pt idx="1">
                  <c:v>1.7515473600000002</c:v>
                </c:pt>
                <c:pt idx="2">
                  <c:v>2.8530165100000007</c:v>
                </c:pt>
                <c:pt idx="3">
                  <c:v>3.7048695000000009</c:v>
                </c:pt>
                <c:pt idx="4">
                  <c:v>4.4896228500000008</c:v>
                </c:pt>
                <c:pt idx="5">
                  <c:v>5.4513326300000005</c:v>
                </c:pt>
                <c:pt idx="6">
                  <c:v>6.3104998500000002</c:v>
                </c:pt>
                <c:pt idx="7">
                  <c:v>7.2815345900000006</c:v>
                </c:pt>
                <c:pt idx="8">
                  <c:v>8.216827330000001</c:v>
                </c:pt>
                <c:pt idx="9">
                  <c:v>9.2266430400000008</c:v>
                </c:pt>
                <c:pt idx="10">
                  <c:v>10.15637869</c:v>
                </c:pt>
                <c:pt idx="11">
                  <c:v>11.188007930000001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9187840"/>
        <c:axId val="249107520"/>
      </c:barChart>
      <c:lineChart>
        <c:grouping val="standard"/>
        <c:varyColors val="0"/>
        <c:ser>
          <c:idx val="3"/>
          <c:order val="1"/>
          <c:tx>
            <c:strRef>
              <c:f>'19_g'!$T$86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'19_g'!$U$83:$AF$83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'19_g'!$U$86:$AF$86</c:f>
              <c:numCache>
                <c:formatCode>#,##0.00_ ;\-#,##0.00\ </c:formatCode>
                <c:ptCount val="12"/>
                <c:pt idx="0">
                  <c:v>0.90275000000000005</c:v>
                </c:pt>
                <c:pt idx="1">
                  <c:v>1.8122069999999999</c:v>
                </c:pt>
                <c:pt idx="2">
                  <c:v>2.7295349999999998</c:v>
                </c:pt>
                <c:pt idx="3">
                  <c:v>3.6237329999999996</c:v>
                </c:pt>
                <c:pt idx="4">
                  <c:v>4.550351</c:v>
                </c:pt>
                <c:pt idx="5">
                  <c:v>5.5050540000000003</c:v>
                </c:pt>
                <c:pt idx="6">
                  <c:v>6.4451720000000003</c:v>
                </c:pt>
                <c:pt idx="7">
                  <c:v>7.4466730000000005</c:v>
                </c:pt>
                <c:pt idx="8">
                  <c:v>8.6379149999999996</c:v>
                </c:pt>
                <c:pt idx="9">
                  <c:v>9.5378189999999989</c:v>
                </c:pt>
                <c:pt idx="10">
                  <c:v>10.568162999999998</c:v>
                </c:pt>
                <c:pt idx="11">
                  <c:v>11.580913999999998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7840"/>
        <c:axId val="249107520"/>
      </c:lineChart>
      <c:catAx>
        <c:axId val="24918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107520"/>
        <c:crosses val="autoZero"/>
        <c:auto val="1"/>
        <c:lblAlgn val="ctr"/>
        <c:lblOffset val="100"/>
        <c:noMultiLvlLbl val="0"/>
      </c:catAx>
      <c:valAx>
        <c:axId val="2491075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1878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'19_g'!$AI$64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'19_g'!$AJ$62:$AU$62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'19_g'!$AJ$64:$AU$64</c:f>
              <c:numCache>
                <c:formatCode>#,##0.00_ ;\-#,##0.00\ </c:formatCode>
                <c:ptCount val="12"/>
                <c:pt idx="0">
                  <c:v>0.73964576999999976</c:v>
                </c:pt>
                <c:pt idx="1">
                  <c:v>0.84367199999999987</c:v>
                </c:pt>
                <c:pt idx="2">
                  <c:v>0.75381159999999969</c:v>
                </c:pt>
                <c:pt idx="3">
                  <c:v>0.83400549999999984</c:v>
                </c:pt>
                <c:pt idx="4">
                  <c:v>0.71166444999999989</c:v>
                </c:pt>
                <c:pt idx="5">
                  <c:v>0.79138690999999972</c:v>
                </c:pt>
                <c:pt idx="6">
                  <c:v>1.0452181300000001</c:v>
                </c:pt>
                <c:pt idx="7">
                  <c:v>1.3599142300000002</c:v>
                </c:pt>
                <c:pt idx="8">
                  <c:v>1.0880393700000006</c:v>
                </c:pt>
                <c:pt idx="9">
                  <c:v>0.96376144999999969</c:v>
                </c:pt>
                <c:pt idx="10">
                  <c:v>0.71900580999999986</c:v>
                </c:pt>
                <c:pt idx="11">
                  <c:v>0.63330711999999978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'19_g'!$AI$65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'19_g'!$AJ$62:$AU$62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'19_g'!$AJ$65:$AU$65</c:f>
              <c:numCache>
                <c:formatCode>#,##0.00_ ;\-#,##0.00\ </c:formatCode>
                <c:ptCount val="12"/>
                <c:pt idx="0">
                  <c:v>0.73167799999999994</c:v>
                </c:pt>
                <c:pt idx="1">
                  <c:v>0.84053400000000011</c:v>
                </c:pt>
                <c:pt idx="2">
                  <c:v>0.72576399999999996</c:v>
                </c:pt>
                <c:pt idx="3">
                  <c:v>0.76094700000000004</c:v>
                </c:pt>
                <c:pt idx="4">
                  <c:v>0.73469899999999988</c:v>
                </c:pt>
                <c:pt idx="5">
                  <c:v>0.70810300000000004</c:v>
                </c:pt>
                <c:pt idx="6">
                  <c:v>1.0047159999999999</c:v>
                </c:pt>
                <c:pt idx="7">
                  <c:v>1.1433600000000002</c:v>
                </c:pt>
                <c:pt idx="8">
                  <c:v>0.80657299999999998</c:v>
                </c:pt>
                <c:pt idx="9">
                  <c:v>0.87476299999999996</c:v>
                </c:pt>
                <c:pt idx="10">
                  <c:v>0.67245700000000008</c:v>
                </c:pt>
                <c:pt idx="11">
                  <c:v>0.676172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'19_g'!$AI$66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'19_g'!$AJ$62:$AU$62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'19_g'!$AJ$66:$AU$66</c:f>
              <c:numCache>
                <c:formatCode>#,##0.00_ ;\-#,##0.00\ </c:formatCode>
                <c:ptCount val="12"/>
                <c:pt idx="0">
                  <c:v>0.66965662999999997</c:v>
                </c:pt>
                <c:pt idx="1">
                  <c:v>0.81114168999999992</c:v>
                </c:pt>
                <c:pt idx="2">
                  <c:v>0.56558615999999984</c:v>
                </c:pt>
                <c:pt idx="3">
                  <c:v>0.93424085000000023</c:v>
                </c:pt>
                <c:pt idx="4">
                  <c:v>1.00168905</c:v>
                </c:pt>
                <c:pt idx="5">
                  <c:v>0.84203999000000007</c:v>
                </c:pt>
                <c:pt idx="6">
                  <c:v>1.2276803299999997</c:v>
                </c:pt>
                <c:pt idx="7">
                  <c:v>1.0800344199999998</c:v>
                </c:pt>
                <c:pt idx="8">
                  <c:v>0.99480196999999992</c:v>
                </c:pt>
                <c:pt idx="9">
                  <c:v>0.66205777999999982</c:v>
                </c:pt>
                <c:pt idx="10">
                  <c:v>0.85344162999999984</c:v>
                </c:pt>
                <c:pt idx="11">
                  <c:v>0.66258594999999998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89600"/>
        <c:axId val="249109824"/>
      </c:lineChart>
      <c:catAx>
        <c:axId val="24968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109824"/>
        <c:crosses val="autoZero"/>
        <c:auto val="1"/>
        <c:lblAlgn val="ctr"/>
        <c:lblOffset val="100"/>
        <c:noMultiLvlLbl val="0"/>
      </c:catAx>
      <c:valAx>
        <c:axId val="2491098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369902587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6896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69257869611"/>
          <c:y val="2.2161373086791118E-2"/>
          <c:w val="0.4542923074213038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'19_g'!$AJ$85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'19_g'!$AK$85:$AV$85</c:f>
              <c:numCache>
                <c:formatCode>#,##0.00_ ;\-#,##0.00\ </c:formatCode>
                <c:ptCount val="12"/>
                <c:pt idx="0">
                  <c:v>0.73964576999999976</c:v>
                </c:pt>
                <c:pt idx="1">
                  <c:v>1.5833177699999996</c:v>
                </c:pt>
                <c:pt idx="2">
                  <c:v>2.3371293699999995</c:v>
                </c:pt>
                <c:pt idx="3">
                  <c:v>3.1711348699999995</c:v>
                </c:pt>
                <c:pt idx="4">
                  <c:v>3.8827993199999993</c:v>
                </c:pt>
                <c:pt idx="5">
                  <c:v>4.6741862299999992</c:v>
                </c:pt>
                <c:pt idx="6">
                  <c:v>5.7194043599999995</c:v>
                </c:pt>
                <c:pt idx="7">
                  <c:v>7.0793185899999997</c:v>
                </c:pt>
                <c:pt idx="8">
                  <c:v>8.1673579600000004</c:v>
                </c:pt>
                <c:pt idx="9">
                  <c:v>9.1311194100000002</c:v>
                </c:pt>
                <c:pt idx="10">
                  <c:v>9.8501252200000007</c:v>
                </c:pt>
                <c:pt idx="11">
                  <c:v>10.48343234</c:v>
                </c:pt>
              </c:numCache>
            </c:numRef>
          </c:val>
        </c:ser>
        <c:ser>
          <c:idx val="0"/>
          <c:order val="2"/>
          <c:tx>
            <c:strRef>
              <c:f>'19_g'!$AJ$87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'19_g'!$AK$83:$AV$83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'19_g'!$AK$87:$AV$87</c:f>
              <c:numCache>
                <c:formatCode>#,##0.00_ ;\-#,##0.00\ </c:formatCode>
                <c:ptCount val="12"/>
                <c:pt idx="0">
                  <c:v>0.66965662999999997</c:v>
                </c:pt>
                <c:pt idx="1">
                  <c:v>1.4807983199999999</c:v>
                </c:pt>
                <c:pt idx="2">
                  <c:v>2.0463844799999995</c:v>
                </c:pt>
                <c:pt idx="3">
                  <c:v>2.9806253299999996</c:v>
                </c:pt>
                <c:pt idx="4">
                  <c:v>3.9823143799999996</c:v>
                </c:pt>
                <c:pt idx="5">
                  <c:v>4.82435437</c:v>
                </c:pt>
                <c:pt idx="6">
                  <c:v>6.0520347000000001</c:v>
                </c:pt>
                <c:pt idx="7">
                  <c:v>7.1320691199999997</c:v>
                </c:pt>
                <c:pt idx="8">
                  <c:v>8.1268710899999999</c:v>
                </c:pt>
                <c:pt idx="9">
                  <c:v>8.7889288699999994</c:v>
                </c:pt>
                <c:pt idx="10">
                  <c:v>9.6423704999999984</c:v>
                </c:pt>
                <c:pt idx="11">
                  <c:v>10.304956449999999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49690112"/>
        <c:axId val="249415360"/>
      </c:barChart>
      <c:lineChart>
        <c:grouping val="standard"/>
        <c:varyColors val="0"/>
        <c:ser>
          <c:idx val="3"/>
          <c:order val="1"/>
          <c:tx>
            <c:strRef>
              <c:f>'19_g'!$AJ$86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'19_g'!$AK$83:$AV$83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'19_g'!$AK$86:$AV$86</c:f>
              <c:numCache>
                <c:formatCode>#,##0.00_ ;\-#,##0.00\ </c:formatCode>
                <c:ptCount val="12"/>
                <c:pt idx="0">
                  <c:v>0.73167799999999994</c:v>
                </c:pt>
                <c:pt idx="1">
                  <c:v>1.5722119999999999</c:v>
                </c:pt>
                <c:pt idx="2">
                  <c:v>2.2979759999999998</c:v>
                </c:pt>
                <c:pt idx="3">
                  <c:v>3.0589230000000001</c:v>
                </c:pt>
                <c:pt idx="4">
                  <c:v>3.793622</c:v>
                </c:pt>
                <c:pt idx="5">
                  <c:v>4.5017250000000004</c:v>
                </c:pt>
                <c:pt idx="6">
                  <c:v>5.5064410000000006</c:v>
                </c:pt>
                <c:pt idx="7">
                  <c:v>6.649801000000001</c:v>
                </c:pt>
                <c:pt idx="8">
                  <c:v>7.4563740000000012</c:v>
                </c:pt>
                <c:pt idx="9">
                  <c:v>8.3311370000000018</c:v>
                </c:pt>
                <c:pt idx="10">
                  <c:v>9.0035940000000014</c:v>
                </c:pt>
                <c:pt idx="11">
                  <c:v>9.6797660000000008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90112"/>
        <c:axId val="249415360"/>
      </c:lineChart>
      <c:catAx>
        <c:axId val="24969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415360"/>
        <c:crosses val="autoZero"/>
        <c:auto val="1"/>
        <c:lblAlgn val="ctr"/>
        <c:lblOffset val="100"/>
        <c:noMultiLvlLbl val="0"/>
      </c:catAx>
      <c:valAx>
        <c:axId val="2494153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52124565511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6901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46740441232"/>
          <c:y val="2.2161373086791118E-2"/>
          <c:w val="0.39103653259558768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'00_g'!$T$21:$U$21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'00_g'!$V$20:$AC$20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'00_g'!$V$21:$AC$21</c:f>
              <c:numCache>
                <c:formatCode>#,##0</c:formatCode>
                <c:ptCount val="8"/>
                <c:pt idx="0">
                  <c:v>4366.8471650113925</c:v>
                </c:pt>
                <c:pt idx="1">
                  <c:v>3996</c:v>
                </c:pt>
                <c:pt idx="2">
                  <c:v>9602.9499937979817</c:v>
                </c:pt>
                <c:pt idx="3">
                  <c:v>8298</c:v>
                </c:pt>
                <c:pt idx="4">
                  <c:v>15240.420353690672</c:v>
                </c:pt>
                <c:pt idx="5">
                  <c:v>12140</c:v>
                </c:pt>
                <c:pt idx="6">
                  <c:v>19900</c:v>
                </c:pt>
                <c:pt idx="7">
                  <c:v>17433</c:v>
                </c:pt>
              </c:numCache>
            </c:numRef>
          </c:val>
        </c:ser>
        <c:ser>
          <c:idx val="0"/>
          <c:order val="1"/>
          <c:tx>
            <c:strRef>
              <c:f>'00_g'!$T$22:$U$22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'00_g'!$V$20:$AC$20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'00_g'!$V$22:$AC$22</c:f>
              <c:numCache>
                <c:formatCode>#,##0</c:formatCode>
                <c:ptCount val="8"/>
                <c:pt idx="0">
                  <c:v>241</c:v>
                </c:pt>
                <c:pt idx="1">
                  <c:v>811</c:v>
                </c:pt>
                <c:pt idx="2">
                  <c:v>481</c:v>
                </c:pt>
                <c:pt idx="3">
                  <c:v>1075</c:v>
                </c:pt>
                <c:pt idx="4">
                  <c:v>881</c:v>
                </c:pt>
                <c:pt idx="5">
                  <c:v>1304</c:v>
                </c:pt>
                <c:pt idx="6">
                  <c:v>1600</c:v>
                </c:pt>
                <c:pt idx="7">
                  <c:v>1600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67328768"/>
        <c:axId val="171184064"/>
      </c:barChart>
      <c:catAx>
        <c:axId val="167328768"/>
        <c:scaling>
          <c:orientation val="minMax"/>
        </c:scaling>
        <c:delete val="1"/>
        <c:axPos val="b"/>
        <c:majorTickMark val="out"/>
        <c:minorTickMark val="none"/>
        <c:tickLblPos val="nextTo"/>
        <c:crossAx val="171184064"/>
        <c:crosses val="autoZero"/>
        <c:auto val="1"/>
        <c:lblAlgn val="ctr"/>
        <c:lblOffset val="100"/>
        <c:noMultiLvlLbl val="0"/>
      </c:catAx>
      <c:valAx>
        <c:axId val="171184064"/>
        <c:scaling>
          <c:orientation val="minMax"/>
          <c:max val="25000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167328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0584147286"/>
          <c:y val="4.8388807795892351E-2"/>
          <c:w val="0.21673894723555598"/>
          <c:h val="0.10625110503484714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'19_g'!$T$21:$U$21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'19_g'!$V$20:$AC$20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'19_g'!$V$21:$AC$21</c:f>
              <c:numCache>
                <c:formatCode>#,##0</c:formatCode>
                <c:ptCount val="8"/>
                <c:pt idx="0">
                  <c:v>33.724137931034484</c:v>
                </c:pt>
                <c:pt idx="1">
                  <c:v>25</c:v>
                </c:pt>
                <c:pt idx="2">
                  <c:v>71.581280788177338</c:v>
                </c:pt>
                <c:pt idx="3">
                  <c:v>106</c:v>
                </c:pt>
                <c:pt idx="4">
                  <c:v>123.32019704433498</c:v>
                </c:pt>
                <c:pt idx="5">
                  <c:v>181</c:v>
                </c:pt>
                <c:pt idx="6">
                  <c:v>155</c:v>
                </c:pt>
                <c:pt idx="7">
                  <c:v>224</c:v>
                </c:pt>
              </c:numCache>
            </c:numRef>
          </c:val>
        </c:ser>
        <c:ser>
          <c:idx val="0"/>
          <c:order val="1"/>
          <c:tx>
            <c:strRef>
              <c:f>'19_g'!$T$22:$U$22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'19_g'!$V$20:$AC$20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'19_g'!$V$22:$AC$22</c:f>
              <c:numCache>
                <c:formatCode>#,##0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15</c:v>
                </c:pt>
                <c:pt idx="4">
                  <c:v>2</c:v>
                </c:pt>
                <c:pt idx="5">
                  <c:v>15</c:v>
                </c:pt>
                <c:pt idx="6">
                  <c:v>4</c:v>
                </c:pt>
                <c:pt idx="7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49548800"/>
        <c:axId val="249417664"/>
      </c:barChart>
      <c:catAx>
        <c:axId val="249548800"/>
        <c:scaling>
          <c:orientation val="minMax"/>
        </c:scaling>
        <c:delete val="1"/>
        <c:axPos val="b"/>
        <c:majorTickMark val="out"/>
        <c:minorTickMark val="none"/>
        <c:tickLblPos val="nextTo"/>
        <c:crossAx val="249417664"/>
        <c:crosses val="autoZero"/>
        <c:auto val="1"/>
        <c:lblAlgn val="ctr"/>
        <c:lblOffset val="100"/>
        <c:noMultiLvlLbl val="0"/>
      </c:catAx>
      <c:valAx>
        <c:axId val="249417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4954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('20'!$A$9,'20'!$A$13,'20'!$A$17)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('20'!$B$9,'20'!$B$13,'20'!$B$17)</c:f>
              <c:numCache>
                <c:formatCode>_-* #,##0_-;\-* #,##0_-;_-* "-"??_-;_-@_-</c:formatCode>
                <c:ptCount val="3"/>
                <c:pt idx="0">
                  <c:v>12392</c:v>
                </c:pt>
                <c:pt idx="1">
                  <c:v>2314</c:v>
                </c:pt>
                <c:pt idx="2">
                  <c:v>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('20'!$A$9,'20'!$A$13,'20'!$A$17)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('20'!$G$9,'20'!$G$13,'20'!$G$17)</c:f>
              <c:numCache>
                <c:formatCode>_-* #,##0_-;\-* #,##0_-;_-* "-"??_-;_-@_-</c:formatCode>
                <c:ptCount val="3"/>
                <c:pt idx="0">
                  <c:v>12878</c:v>
                </c:pt>
                <c:pt idx="1">
                  <c:v>2291</c:v>
                </c:pt>
                <c:pt idx="2">
                  <c:v>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('20'!$A$9,'20'!$A$13,'20'!$A$17)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('20'!$C$9,'20'!$C$13,'20'!$C$17)</c:f>
              <c:numCache>
                <c:formatCode>_(* #,##0.00_);_(* \(#,##0.00\);_(* "-"??_);_(@_)</c:formatCode>
                <c:ptCount val="3"/>
                <c:pt idx="0">
                  <c:v>2.0429569999999999</c:v>
                </c:pt>
                <c:pt idx="1">
                  <c:v>0.87736700000000001</c:v>
                </c:pt>
                <c:pt idx="2">
                  <c:v>0.439882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('20'!$A$9,'20'!$A$13,'20'!$A$17)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('20'!$H$9,'20'!$H$13,'20'!$H$17)</c:f>
              <c:numCache>
                <c:formatCode>_(* #,##0.00_);_(* \(#,##0.00\);_(* "-"??_);_(@_)</c:formatCode>
                <c:ptCount val="3"/>
                <c:pt idx="0">
                  <c:v>2.0535060000000001</c:v>
                </c:pt>
                <c:pt idx="1">
                  <c:v>0.93105899999999997</c:v>
                </c:pt>
                <c:pt idx="2">
                  <c:v>0.48620200000000002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('20'!$A$9,'20'!$A$13,'20'!$A$17)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('20'!$E$9,'20'!$E$13,'20'!$E$17)</c:f>
              <c:numCache>
                <c:formatCode>_(* #,##0.00_);_(* \(#,##0.00\);_(* "-"??_);_(@_)</c:formatCode>
                <c:ptCount val="3"/>
                <c:pt idx="0">
                  <c:v>28.540527260000005</c:v>
                </c:pt>
                <c:pt idx="1">
                  <c:v>18.840500899999999</c:v>
                </c:pt>
                <c:pt idx="2">
                  <c:v>12.280150999999998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('20'!$A$9,'20'!$A$13,'20'!$A$17)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('20'!$J$9,'20'!$J$13,'20'!$J$17)</c:f>
              <c:numCache>
                <c:formatCode>_(* #,##0.00_);_(* \(#,##0.00\);_(* "-"??_);_(@_)</c:formatCode>
                <c:ptCount val="3"/>
                <c:pt idx="0">
                  <c:v>28.384496990000002</c:v>
                </c:pt>
                <c:pt idx="1">
                  <c:v>20.099567589999999</c:v>
                </c:pt>
                <c:pt idx="2">
                  <c:v>13.637468009999999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('20'!$A$9,'20'!$A$13,'20'!$A$17,'20'!$A$20)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('20'!$D$9,'20'!$D$13,'20'!$D$17,'20'!$D$20)</c:f>
              <c:numCache>
                <c:formatCode>_-* #,##0.000_-;\-* #,##0.000_-;_-* "-"??_-;_-@_-</c:formatCode>
                <c:ptCount val="4"/>
                <c:pt idx="0">
                  <c:v>0.4678906972416656</c:v>
                </c:pt>
                <c:pt idx="1">
                  <c:v>1.0524278482834728</c:v>
                </c:pt>
                <c:pt idx="2">
                  <c:v>1.6341100534014397</c:v>
                </c:pt>
                <c:pt idx="3">
                  <c:v>0.61439160675496785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('20'!$A$9,'20'!$A$13,'20'!$A$17,'20'!$A$20)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('20'!$I$9,'20'!$I$13,'20'!$I$17,'20'!$I$20)</c:f>
              <c:numCache>
                <c:formatCode>_-* #,##0.000_-;\-* #,##0.000_-;_-* "-"??_-;_-@_-</c:formatCode>
                <c:ptCount val="4"/>
                <c:pt idx="0">
                  <c:v>0.44527454179789772</c:v>
                </c:pt>
                <c:pt idx="1">
                  <c:v>1.1078595332649146</c:v>
                </c:pt>
                <c:pt idx="2">
                  <c:v>1.8695582792597933</c:v>
                </c:pt>
                <c:pt idx="3">
                  <c:v>0.60760068274322732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0119680"/>
        <c:axId val="247305280"/>
      </c:barChart>
      <c:catAx>
        <c:axId val="2501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305280"/>
        <c:crosses val="autoZero"/>
        <c:auto val="1"/>
        <c:lblAlgn val="ctr"/>
        <c:lblOffset val="100"/>
        <c:noMultiLvlLbl val="0"/>
      </c:catAx>
      <c:valAx>
        <c:axId val="2473052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119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('20'!$A$9,'20'!$A$13,'20'!$A$17,'20'!$A$20)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('20'!$F$9,'20'!$F$13,'20'!$F$17,'20'!$F$20)</c:f>
              <c:numCache>
                <c:formatCode>_(* #,##0.00_);_(* \(#,##0.00\);_(* "-"??_);_(@_)</c:formatCode>
                <c:ptCount val="4"/>
                <c:pt idx="0">
                  <c:v>13.970204590698682</c:v>
                </c:pt>
                <c:pt idx="1">
                  <c:v>21.473911031529564</c:v>
                </c:pt>
                <c:pt idx="2">
                  <c:v>27.916920901514494</c:v>
                </c:pt>
                <c:pt idx="3">
                  <c:v>17.755214757666643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('20'!$A$9,'20'!$A$13,'20'!$A$17,'20'!$A$20)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('20'!$K$9,'20'!$K$13,'20'!$K$17,'20'!$K$20)</c:f>
              <c:numCache>
                <c:formatCode>_(* #,##0.00_);_(* \(#,##0.00\);_(* "-"??_);_(@_)</c:formatCode>
                <c:ptCount val="4"/>
                <c:pt idx="0">
                  <c:v>13.822456321043134</c:v>
                </c:pt>
                <c:pt idx="1">
                  <c:v>21.587855968311352</c:v>
                </c:pt>
                <c:pt idx="2">
                  <c:v>28.048975549257303</c:v>
                </c:pt>
                <c:pt idx="3">
                  <c:v>17.898502720003965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0120704"/>
        <c:axId val="247307008"/>
      </c:barChart>
      <c:catAx>
        <c:axId val="25012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7307008"/>
        <c:crosses val="autoZero"/>
        <c:auto val="1"/>
        <c:lblAlgn val="ctr"/>
        <c:lblOffset val="100"/>
        <c:noMultiLvlLbl val="0"/>
      </c:catAx>
      <c:valAx>
        <c:axId val="2473070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120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'20_g'!$A$18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'20_g'!$B$16:$M$16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'20_g'!$B$18:$M$18</c:f>
              <c:numCache>
                <c:formatCode>#,##0_ ;\-#,##0\ </c:formatCode>
                <c:ptCount val="12"/>
                <c:pt idx="0">
                  <c:v>55</c:v>
                </c:pt>
                <c:pt idx="1">
                  <c:v>49</c:v>
                </c:pt>
                <c:pt idx="2">
                  <c:v>63</c:v>
                </c:pt>
                <c:pt idx="3">
                  <c:v>40</c:v>
                </c:pt>
                <c:pt idx="4">
                  <c:v>116</c:v>
                </c:pt>
                <c:pt idx="5">
                  <c:v>140</c:v>
                </c:pt>
                <c:pt idx="6">
                  <c:v>88</c:v>
                </c:pt>
                <c:pt idx="7">
                  <c:v>224</c:v>
                </c:pt>
                <c:pt idx="8">
                  <c:v>92</c:v>
                </c:pt>
                <c:pt idx="9">
                  <c:v>41</c:v>
                </c:pt>
                <c:pt idx="10">
                  <c:v>50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'20_g'!$A$19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'20_g'!$B$16:$M$16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'20_g'!$B$19:$M$19</c:f>
              <c:numCache>
                <c:formatCode>#,##0_ ;\-#,##0\ </c:formatCode>
                <c:ptCount val="12"/>
                <c:pt idx="0">
                  <c:v>37.222936074526167</c:v>
                </c:pt>
                <c:pt idx="1">
                  <c:v>57.460648891744285</c:v>
                </c:pt>
                <c:pt idx="2">
                  <c:v>57.82203662062318</c:v>
                </c:pt>
                <c:pt idx="3">
                  <c:v>60.351750722775442</c:v>
                </c:pt>
                <c:pt idx="4">
                  <c:v>191.53549630581426</c:v>
                </c:pt>
                <c:pt idx="5">
                  <c:v>160.81753935110822</c:v>
                </c:pt>
                <c:pt idx="6">
                  <c:v>125.76292964985541</c:v>
                </c:pt>
                <c:pt idx="7">
                  <c:v>184.66912945711528</c:v>
                </c:pt>
                <c:pt idx="8">
                  <c:v>70.831994860263379</c:v>
                </c:pt>
                <c:pt idx="9">
                  <c:v>62.158689367169913</c:v>
                </c:pt>
                <c:pt idx="10">
                  <c:v>46.980404754256334</c:v>
                </c:pt>
                <c:pt idx="11">
                  <c:v>69.386443944747811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'20_g'!$A$20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'20_g'!$B$16:$M$16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'20_g'!$B$20:$M$20</c:f>
              <c:numCache>
                <c:formatCode>#,##0_ ;\-#,##0\ </c:formatCode>
                <c:ptCount val="12"/>
                <c:pt idx="0">
                  <c:v>85</c:v>
                </c:pt>
                <c:pt idx="1">
                  <c:v>32</c:v>
                </c:pt>
                <c:pt idx="2">
                  <c:v>70</c:v>
                </c:pt>
                <c:pt idx="3">
                  <c:v>47</c:v>
                </c:pt>
                <c:pt idx="4">
                  <c:v>43</c:v>
                </c:pt>
                <c:pt idx="5">
                  <c:v>81</c:v>
                </c:pt>
                <c:pt idx="6">
                  <c:v>64</c:v>
                </c:pt>
                <c:pt idx="7">
                  <c:v>62</c:v>
                </c:pt>
                <c:pt idx="8">
                  <c:v>36</c:v>
                </c:pt>
                <c:pt idx="9">
                  <c:v>28</c:v>
                </c:pt>
                <c:pt idx="10">
                  <c:v>114</c:v>
                </c:pt>
                <c:pt idx="11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21056"/>
        <c:axId val="250520128"/>
      </c:lineChart>
      <c:catAx>
        <c:axId val="25022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520128"/>
        <c:crosses val="autoZero"/>
        <c:auto val="1"/>
        <c:lblAlgn val="ctr"/>
        <c:lblOffset val="100"/>
        <c:noMultiLvlLbl val="0"/>
      </c:catAx>
      <c:valAx>
        <c:axId val="2505201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2210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('11'!$A$9,'11'!$A$13,'11'!$A$17)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('11'!$B$9,'11'!$B$13,'11'!$B$17)</c:f>
              <c:numCache>
                <c:formatCode>_-* #,##0_-;\-* #,##0_-;_-* "-"??_-;_-@_-</c:formatCode>
                <c:ptCount val="3"/>
                <c:pt idx="0">
                  <c:v>79037</c:v>
                </c:pt>
                <c:pt idx="1">
                  <c:v>17259</c:v>
                </c:pt>
                <c:pt idx="2">
                  <c:v>9141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'20_g'!$B$39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'20_g'!$C$39:$N$39</c:f>
              <c:numCache>
                <c:formatCode>#,##0_ ;\-#,##0\ </c:formatCode>
                <c:ptCount val="12"/>
                <c:pt idx="0">
                  <c:v>55</c:v>
                </c:pt>
                <c:pt idx="1">
                  <c:v>104</c:v>
                </c:pt>
                <c:pt idx="2">
                  <c:v>167</c:v>
                </c:pt>
                <c:pt idx="3">
                  <c:v>207</c:v>
                </c:pt>
                <c:pt idx="4">
                  <c:v>323</c:v>
                </c:pt>
                <c:pt idx="5">
                  <c:v>463</c:v>
                </c:pt>
                <c:pt idx="6">
                  <c:v>551</c:v>
                </c:pt>
                <c:pt idx="7">
                  <c:v>775</c:v>
                </c:pt>
                <c:pt idx="8">
                  <c:v>867</c:v>
                </c:pt>
                <c:pt idx="9">
                  <c:v>908</c:v>
                </c:pt>
                <c:pt idx="10">
                  <c:v>958</c:v>
                </c:pt>
                <c:pt idx="11">
                  <c:v>1001</c:v>
                </c:pt>
              </c:numCache>
            </c:numRef>
          </c:val>
        </c:ser>
        <c:ser>
          <c:idx val="0"/>
          <c:order val="2"/>
          <c:tx>
            <c:strRef>
              <c:f>'20_g'!$B$41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'20_g'!$C$41:$N$41</c:f>
              <c:numCache>
                <c:formatCode>#,##0_ ;\-#,##0\ </c:formatCode>
                <c:ptCount val="12"/>
                <c:pt idx="0">
                  <c:v>85</c:v>
                </c:pt>
                <c:pt idx="1">
                  <c:v>117</c:v>
                </c:pt>
                <c:pt idx="2">
                  <c:v>187</c:v>
                </c:pt>
                <c:pt idx="3">
                  <c:v>234</c:v>
                </c:pt>
                <c:pt idx="4">
                  <c:v>277</c:v>
                </c:pt>
                <c:pt idx="5">
                  <c:v>358</c:v>
                </c:pt>
                <c:pt idx="6">
                  <c:v>422</c:v>
                </c:pt>
                <c:pt idx="7">
                  <c:v>484</c:v>
                </c:pt>
                <c:pt idx="8">
                  <c:v>520</c:v>
                </c:pt>
                <c:pt idx="9">
                  <c:v>548</c:v>
                </c:pt>
                <c:pt idx="10">
                  <c:v>662</c:v>
                </c:pt>
                <c:pt idx="11">
                  <c:v>743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0222592"/>
        <c:axId val="250522432"/>
      </c:barChart>
      <c:lineChart>
        <c:grouping val="standard"/>
        <c:varyColors val="0"/>
        <c:ser>
          <c:idx val="3"/>
          <c:order val="1"/>
          <c:tx>
            <c:strRef>
              <c:f>'20_g'!$B$40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'20_g'!$C$40:$N$40</c:f>
              <c:numCache>
                <c:formatCode>#,##0_ ;\-#,##0\ </c:formatCode>
                <c:ptCount val="12"/>
                <c:pt idx="0">
                  <c:v>37.222936074526167</c:v>
                </c:pt>
                <c:pt idx="1">
                  <c:v>94.683584966270445</c:v>
                </c:pt>
                <c:pt idx="2">
                  <c:v>152.50562158689362</c:v>
                </c:pt>
                <c:pt idx="3">
                  <c:v>212.85737230966907</c:v>
                </c:pt>
                <c:pt idx="4">
                  <c:v>404.39286861548334</c:v>
                </c:pt>
                <c:pt idx="5">
                  <c:v>565.21040796659156</c:v>
                </c:pt>
                <c:pt idx="6">
                  <c:v>690.973337616447</c:v>
                </c:pt>
                <c:pt idx="7">
                  <c:v>875.64246707356233</c:v>
                </c:pt>
                <c:pt idx="8">
                  <c:v>946.47446193382575</c:v>
                </c:pt>
                <c:pt idx="9">
                  <c:v>1008.6331513009957</c:v>
                </c:pt>
                <c:pt idx="10">
                  <c:v>1055.613556055252</c:v>
                </c:pt>
                <c:pt idx="11">
                  <c:v>1124.9999999999998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22592"/>
        <c:axId val="250522432"/>
      </c:lineChart>
      <c:catAx>
        <c:axId val="25022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522432"/>
        <c:crosses val="autoZero"/>
        <c:auto val="1"/>
        <c:lblAlgn val="ctr"/>
        <c:lblOffset val="100"/>
        <c:noMultiLvlLbl val="0"/>
      </c:catAx>
      <c:valAx>
        <c:axId val="2505224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2225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'20_g'!$AI$18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'20_g'!$AJ$16:$AU$16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'20_g'!$AJ$18:$AU$18</c:f>
              <c:numCache>
                <c:formatCode>#,##0.000_ ;\-#,##0.000\ </c:formatCode>
                <c:ptCount val="12"/>
                <c:pt idx="0">
                  <c:v>0.26220399999999999</c:v>
                </c:pt>
                <c:pt idx="1">
                  <c:v>0.27053199999999999</c:v>
                </c:pt>
                <c:pt idx="2">
                  <c:v>0.26494000000000001</c:v>
                </c:pt>
                <c:pt idx="3">
                  <c:v>0.26508100000000001</c:v>
                </c:pt>
                <c:pt idx="4">
                  <c:v>0.26327699999999998</c:v>
                </c:pt>
                <c:pt idx="5">
                  <c:v>0.25628699999999999</c:v>
                </c:pt>
                <c:pt idx="6">
                  <c:v>0.29874699999999998</c:v>
                </c:pt>
                <c:pt idx="7">
                  <c:v>0.33008599999999999</c:v>
                </c:pt>
                <c:pt idx="8">
                  <c:v>0.30914700000000001</c:v>
                </c:pt>
                <c:pt idx="9">
                  <c:v>0.284692</c:v>
                </c:pt>
                <c:pt idx="10">
                  <c:v>0.26987299999999997</c:v>
                </c:pt>
                <c:pt idx="11">
                  <c:v>0.28854400000000002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'20_g'!$AI$19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'20_g'!$AJ$16:$AU$16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'20_g'!$AJ$19:$AU$19</c:f>
              <c:numCache>
                <c:formatCode>#,##0.000_ ;\-#,##0.000\ </c:formatCode>
                <c:ptCount val="12"/>
                <c:pt idx="0">
                  <c:v>0.27740199999999998</c:v>
                </c:pt>
                <c:pt idx="1">
                  <c:v>0.28498600000000002</c:v>
                </c:pt>
                <c:pt idx="2">
                  <c:v>0.28166600000000003</c:v>
                </c:pt>
                <c:pt idx="3">
                  <c:v>0.27947</c:v>
                </c:pt>
                <c:pt idx="4">
                  <c:v>0.27507799999999999</c:v>
                </c:pt>
                <c:pt idx="5">
                  <c:v>0.27050200000000002</c:v>
                </c:pt>
                <c:pt idx="6">
                  <c:v>0.30612299999999998</c:v>
                </c:pt>
                <c:pt idx="7">
                  <c:v>0.34088400000000002</c:v>
                </c:pt>
                <c:pt idx="8">
                  <c:v>0.32481100000000002</c:v>
                </c:pt>
                <c:pt idx="9">
                  <c:v>0.30913499999999999</c:v>
                </c:pt>
                <c:pt idx="10">
                  <c:v>0.29838599999999998</c:v>
                </c:pt>
                <c:pt idx="11">
                  <c:v>0.30554500000000001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'20_g'!$AI$20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'20_g'!$AJ$16:$AU$16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'20_g'!$AJ$20:$AU$20</c:f>
              <c:numCache>
                <c:formatCode>#,##0.000_ ;\-#,##0.000\ </c:formatCode>
                <c:ptCount val="12"/>
                <c:pt idx="0">
                  <c:v>0.26950800000000003</c:v>
                </c:pt>
                <c:pt idx="1">
                  <c:v>0.26792199999999999</c:v>
                </c:pt>
                <c:pt idx="2">
                  <c:v>0.26750499999999999</c:v>
                </c:pt>
                <c:pt idx="3">
                  <c:v>0.28560799999999997</c:v>
                </c:pt>
                <c:pt idx="4">
                  <c:v>0.287831</c:v>
                </c:pt>
                <c:pt idx="5">
                  <c:v>0.27431299999999997</c:v>
                </c:pt>
                <c:pt idx="6">
                  <c:v>0.31587300000000001</c:v>
                </c:pt>
                <c:pt idx="7">
                  <c:v>0.32407399999999997</c:v>
                </c:pt>
                <c:pt idx="8">
                  <c:v>0.29863899999999999</c:v>
                </c:pt>
                <c:pt idx="9">
                  <c:v>0.28748899999999999</c:v>
                </c:pt>
                <c:pt idx="10">
                  <c:v>0.29763299999999998</c:v>
                </c:pt>
                <c:pt idx="11">
                  <c:v>0.29874200000000001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24128"/>
        <c:axId val="250524736"/>
      </c:lineChart>
      <c:catAx>
        <c:axId val="2502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524736"/>
        <c:crosses val="autoZero"/>
        <c:auto val="1"/>
        <c:lblAlgn val="ctr"/>
        <c:lblOffset val="100"/>
        <c:noMultiLvlLbl val="0"/>
      </c:catAx>
      <c:valAx>
        <c:axId val="2505247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9044762518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22412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833734373"/>
          <c:y val="2.2161373086791118E-2"/>
          <c:w val="0.3512889511479644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'20_g'!$AJ$39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'20_g'!$AK$39:$AV$39</c:f>
              <c:numCache>
                <c:formatCode>#,##0.000_ ;\-#,##0.000\ </c:formatCode>
                <c:ptCount val="12"/>
                <c:pt idx="0">
                  <c:v>0.26220399999999999</c:v>
                </c:pt>
                <c:pt idx="1">
                  <c:v>0.53273599999999999</c:v>
                </c:pt>
                <c:pt idx="2">
                  <c:v>0.79767600000000005</c:v>
                </c:pt>
                <c:pt idx="3">
                  <c:v>1.062757</c:v>
                </c:pt>
                <c:pt idx="4">
                  <c:v>1.3260339999999999</c:v>
                </c:pt>
                <c:pt idx="5">
                  <c:v>1.5823209999999999</c:v>
                </c:pt>
                <c:pt idx="6">
                  <c:v>1.881068</c:v>
                </c:pt>
                <c:pt idx="7">
                  <c:v>2.2111540000000001</c:v>
                </c:pt>
                <c:pt idx="8">
                  <c:v>2.5203009999999999</c:v>
                </c:pt>
                <c:pt idx="9">
                  <c:v>2.8049930000000001</c:v>
                </c:pt>
                <c:pt idx="10">
                  <c:v>3.0748660000000001</c:v>
                </c:pt>
                <c:pt idx="11">
                  <c:v>3.36341</c:v>
                </c:pt>
              </c:numCache>
            </c:numRef>
          </c:val>
        </c:ser>
        <c:ser>
          <c:idx val="0"/>
          <c:order val="2"/>
          <c:tx>
            <c:strRef>
              <c:f>'20_g'!$AJ$41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'20_g'!$AK$41:$AV$41</c:f>
              <c:numCache>
                <c:formatCode>#,##0.000_ ;\-#,##0.000\ </c:formatCode>
                <c:ptCount val="12"/>
                <c:pt idx="0">
                  <c:v>0.26950800000000003</c:v>
                </c:pt>
                <c:pt idx="1">
                  <c:v>0.53743000000000007</c:v>
                </c:pt>
                <c:pt idx="2">
                  <c:v>0.80493500000000007</c:v>
                </c:pt>
                <c:pt idx="3">
                  <c:v>1.090543</c:v>
                </c:pt>
                <c:pt idx="4">
                  <c:v>1.378374</c:v>
                </c:pt>
                <c:pt idx="5">
                  <c:v>1.652687</c:v>
                </c:pt>
                <c:pt idx="6">
                  <c:v>1.9685600000000001</c:v>
                </c:pt>
                <c:pt idx="7">
                  <c:v>2.2926340000000001</c:v>
                </c:pt>
                <c:pt idx="8">
                  <c:v>2.5912730000000002</c:v>
                </c:pt>
                <c:pt idx="9">
                  <c:v>2.878762</c:v>
                </c:pt>
                <c:pt idx="10">
                  <c:v>3.1763949999999999</c:v>
                </c:pt>
                <c:pt idx="11">
                  <c:v>3.4751369999999997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0400768"/>
        <c:axId val="250527040"/>
      </c:barChart>
      <c:lineChart>
        <c:grouping val="standard"/>
        <c:varyColors val="0"/>
        <c:ser>
          <c:idx val="3"/>
          <c:order val="1"/>
          <c:tx>
            <c:strRef>
              <c:f>'20_g'!$AJ$40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'20_g'!$AK$40:$AV$40</c:f>
              <c:numCache>
                <c:formatCode>#,##0.000_ ;\-#,##0.000\ </c:formatCode>
                <c:ptCount val="12"/>
                <c:pt idx="0">
                  <c:v>0.27740199999999998</c:v>
                </c:pt>
                <c:pt idx="1">
                  <c:v>0.562388</c:v>
                </c:pt>
                <c:pt idx="2">
                  <c:v>0.84405400000000008</c:v>
                </c:pt>
                <c:pt idx="3">
                  <c:v>1.1235240000000002</c:v>
                </c:pt>
                <c:pt idx="4">
                  <c:v>1.3986020000000001</c:v>
                </c:pt>
                <c:pt idx="5">
                  <c:v>1.6691040000000001</c:v>
                </c:pt>
                <c:pt idx="6">
                  <c:v>1.9752270000000001</c:v>
                </c:pt>
                <c:pt idx="7">
                  <c:v>2.3161110000000003</c:v>
                </c:pt>
                <c:pt idx="8">
                  <c:v>2.6409220000000002</c:v>
                </c:pt>
                <c:pt idx="9">
                  <c:v>2.9500570000000002</c:v>
                </c:pt>
                <c:pt idx="10">
                  <c:v>3.248443</c:v>
                </c:pt>
                <c:pt idx="11">
                  <c:v>3.5539879999999999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00768"/>
        <c:axId val="250527040"/>
      </c:lineChart>
      <c:catAx>
        <c:axId val="25040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527040"/>
        <c:crosses val="autoZero"/>
        <c:auto val="1"/>
        <c:lblAlgn val="ctr"/>
        <c:lblOffset val="100"/>
        <c:noMultiLvlLbl val="0"/>
      </c:catAx>
      <c:valAx>
        <c:axId val="2505270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71053618299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4007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7619047622"/>
          <c:y val="2.2161373086791118E-2"/>
          <c:w val="0.33180952380952378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'20_g'!$AY$18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'20_g'!$AZ$16:$BK$16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'20_g'!$AZ$18:$BK$18</c:f>
              <c:numCache>
                <c:formatCode>#,##0.000_ ;\-#,##0.000\ </c:formatCode>
                <c:ptCount val="12"/>
                <c:pt idx="0">
                  <c:v>9.2989000000000002E-2</c:v>
                </c:pt>
                <c:pt idx="1">
                  <c:v>9.5177999999999999E-2</c:v>
                </c:pt>
                <c:pt idx="2">
                  <c:v>9.2341999999999994E-2</c:v>
                </c:pt>
                <c:pt idx="3">
                  <c:v>9.0934000000000001E-2</c:v>
                </c:pt>
                <c:pt idx="4">
                  <c:v>9.0237999999999999E-2</c:v>
                </c:pt>
                <c:pt idx="5">
                  <c:v>8.9626999999999998E-2</c:v>
                </c:pt>
                <c:pt idx="6">
                  <c:v>8.1699999999999995E-2</c:v>
                </c:pt>
                <c:pt idx="7">
                  <c:v>7.4520000000000003E-2</c:v>
                </c:pt>
                <c:pt idx="8">
                  <c:v>7.0474999999999996E-2</c:v>
                </c:pt>
                <c:pt idx="9">
                  <c:v>0.113872</c:v>
                </c:pt>
                <c:pt idx="10">
                  <c:v>9.0914999999999996E-2</c:v>
                </c:pt>
                <c:pt idx="11">
                  <c:v>0.12895699999999999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'20_g'!$AY$19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'20_g'!$AZ$16:$BK$16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'20_g'!$AZ$19:$BK$19</c:f>
              <c:numCache>
                <c:formatCode>#,##0.000_ ;\-#,##0.000\ </c:formatCode>
                <c:ptCount val="12"/>
                <c:pt idx="0">
                  <c:v>0.10362399999999999</c:v>
                </c:pt>
                <c:pt idx="1">
                  <c:v>0.102782</c:v>
                </c:pt>
                <c:pt idx="2">
                  <c:v>0.102661</c:v>
                </c:pt>
                <c:pt idx="3">
                  <c:v>0.101229</c:v>
                </c:pt>
                <c:pt idx="4">
                  <c:v>9.8819000000000004E-2</c:v>
                </c:pt>
                <c:pt idx="5">
                  <c:v>9.7366999999999995E-2</c:v>
                </c:pt>
                <c:pt idx="6">
                  <c:v>9.7342999999999999E-2</c:v>
                </c:pt>
                <c:pt idx="7">
                  <c:v>9.2376E-2</c:v>
                </c:pt>
                <c:pt idx="8">
                  <c:v>8.2013000000000003E-2</c:v>
                </c:pt>
                <c:pt idx="9">
                  <c:v>0.103118</c:v>
                </c:pt>
                <c:pt idx="10">
                  <c:v>9.6114000000000005E-2</c:v>
                </c:pt>
                <c:pt idx="11">
                  <c:v>0.107215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'20_g'!$AY$20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'20_g'!$AZ$16:$BK$16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'20_g'!$AZ$20:$BK$20</c:f>
              <c:numCache>
                <c:formatCode>#,##0.000_ ;\-#,##0.000\ </c:formatCode>
                <c:ptCount val="12"/>
                <c:pt idx="0">
                  <c:v>9.8520999999999997E-2</c:v>
                </c:pt>
                <c:pt idx="1">
                  <c:v>9.8563999999999999E-2</c:v>
                </c:pt>
                <c:pt idx="2">
                  <c:v>0.100269</c:v>
                </c:pt>
                <c:pt idx="3">
                  <c:v>9.4239000000000003E-2</c:v>
                </c:pt>
                <c:pt idx="4">
                  <c:v>9.0033000000000002E-2</c:v>
                </c:pt>
                <c:pt idx="5">
                  <c:v>8.4287000000000001E-2</c:v>
                </c:pt>
                <c:pt idx="6">
                  <c:v>9.9019999999999997E-2</c:v>
                </c:pt>
                <c:pt idx="7">
                  <c:v>9.6767000000000006E-2</c:v>
                </c:pt>
                <c:pt idx="8">
                  <c:v>9.9975999999999995E-2</c:v>
                </c:pt>
                <c:pt idx="9">
                  <c:v>9.0958999999999998E-2</c:v>
                </c:pt>
                <c:pt idx="10">
                  <c:v>9.2517000000000002E-2</c:v>
                </c:pt>
                <c:pt idx="11">
                  <c:v>8.7941000000000005E-2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01792"/>
        <c:axId val="250660544"/>
      </c:lineChart>
      <c:catAx>
        <c:axId val="2504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660544"/>
        <c:crosses val="autoZero"/>
        <c:auto val="1"/>
        <c:lblAlgn val="ctr"/>
        <c:lblOffset val="100"/>
        <c:noMultiLvlLbl val="0"/>
      </c:catAx>
      <c:valAx>
        <c:axId val="2506605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86871749727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4017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6752090771"/>
          <c:y val="2.2161373086791118E-2"/>
          <c:w val="0.3530097324790922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'20_g'!$AY$39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'20_g'!$AZ$37:$BO$37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'20_g'!$AZ$39:$BO$39</c:f>
              <c:numCache>
                <c:formatCode>_(* #,##0.00_);_(* \(#,##0.00\);_(* "-"??_);_(@_)</c:formatCode>
                <c:ptCount val="16"/>
                <c:pt idx="0">
                  <c:v>26.179851517344094</c:v>
                </c:pt>
                <c:pt idx="1">
                  <c:v>26.025539361789395</c:v>
                </c:pt>
                <c:pt idx="2">
                  <c:v>25.84330352769965</c:v>
                </c:pt>
                <c:pt idx="3">
                  <c:v>26.015981925733016</c:v>
                </c:pt>
                <c:pt idx="4">
                  <c:v>25.542182211423675</c:v>
                </c:pt>
                <c:pt idx="5">
                  <c:v>25.525932421537984</c:v>
                </c:pt>
                <c:pt idx="6">
                  <c:v>25.910197332284902</c:v>
                </c:pt>
                <c:pt idx="7">
                  <c:v>25.838581743500143</c:v>
                </c:pt>
                <c:pt idx="8">
                  <c:v>21.474738925527078</c:v>
                </c:pt>
                <c:pt idx="9">
                  <c:v>18.40836330579819</c:v>
                </c:pt>
                <c:pt idx="10">
                  <c:v>18.563932629848747</c:v>
                </c:pt>
                <c:pt idx="11">
                  <c:v>23.586147769374442</c:v>
                </c:pt>
                <c:pt idx="12">
                  <c:v>28.570568340341829</c:v>
                </c:pt>
                <c:pt idx="13">
                  <c:v>25.199008836214066</c:v>
                </c:pt>
                <c:pt idx="14">
                  <c:v>30.887830208789918</c:v>
                </c:pt>
                <c:pt idx="15">
                  <c:v>24.841221322193352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'20_g'!$AY$40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'20_g'!$AZ$37:$BO$37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'20_g'!$AZ$40:$BO$40</c:f>
              <c:numCache>
                <c:formatCode>_(* #,##0.00_);_(* \(#,##0.00\);_(* "-"??_);_(@_)</c:formatCode>
                <c:ptCount val="16"/>
                <c:pt idx="0">
                  <c:v>24.999968345414832</c:v>
                </c:pt>
                <c:pt idx="1">
                  <c:v>24.999968345414832</c:v>
                </c:pt>
                <c:pt idx="2">
                  <c:v>24.999968345414832</c:v>
                </c:pt>
                <c:pt idx="3">
                  <c:v>24.999968345414832</c:v>
                </c:pt>
                <c:pt idx="4">
                  <c:v>24.999968345414832</c:v>
                </c:pt>
                <c:pt idx="5">
                  <c:v>24.999968345414832</c:v>
                </c:pt>
                <c:pt idx="6">
                  <c:v>24.999968345414832</c:v>
                </c:pt>
                <c:pt idx="7">
                  <c:v>24.999968345414832</c:v>
                </c:pt>
                <c:pt idx="8">
                  <c:v>24.999968345414832</c:v>
                </c:pt>
                <c:pt idx="9">
                  <c:v>24.999968345414832</c:v>
                </c:pt>
                <c:pt idx="10">
                  <c:v>24.999968345414832</c:v>
                </c:pt>
                <c:pt idx="11">
                  <c:v>24.999968345414832</c:v>
                </c:pt>
                <c:pt idx="12">
                  <c:v>24.999968345414832</c:v>
                </c:pt>
                <c:pt idx="13">
                  <c:v>24.999968345414832</c:v>
                </c:pt>
                <c:pt idx="14">
                  <c:v>24.999968345414832</c:v>
                </c:pt>
                <c:pt idx="15">
                  <c:v>24.999968345414832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'20_g'!$AY$41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'20_g'!$AZ$37:$BO$37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'20_g'!$AZ$41:$BO$41</c:f>
              <c:numCache>
                <c:formatCode>_(* #,##0.00_);_(* \(#,##0.00\);_(* "-"??_);_(@_)</c:formatCode>
                <c:ptCount val="16"/>
                <c:pt idx="0">
                  <c:v>26.76990128495309</c:v>
                </c:pt>
                <c:pt idx="1">
                  <c:v>26.894342485115391</c:v>
                </c:pt>
                <c:pt idx="2">
                  <c:v>27.263754370890819</c:v>
                </c:pt>
                <c:pt idx="3">
                  <c:v>26.9760471165003</c:v>
                </c:pt>
                <c:pt idx="4">
                  <c:v>24.809726021266457</c:v>
                </c:pt>
                <c:pt idx="5">
                  <c:v>23.826826583109266</c:v>
                </c:pt>
                <c:pt idx="6">
                  <c:v>23.504461795872839</c:v>
                </c:pt>
                <c:pt idx="7">
                  <c:v>25.507662489858468</c:v>
                </c:pt>
                <c:pt idx="8">
                  <c:v>23.857424063182904</c:v>
                </c:pt>
                <c:pt idx="9">
                  <c:v>22.960384575230393</c:v>
                </c:pt>
                <c:pt idx="10">
                  <c:v>25.022024667627747</c:v>
                </c:pt>
                <c:pt idx="11">
                  <c:v>24.942476132914074</c:v>
                </c:pt>
                <c:pt idx="12">
                  <c:v>24.002712737463487</c:v>
                </c:pt>
                <c:pt idx="13">
                  <c:v>23.66024504952394</c:v>
                </c:pt>
                <c:pt idx="14">
                  <c:v>22.742401398561611</c:v>
                </c:pt>
                <c:pt idx="15">
                  <c:v>24.57203069321703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02304"/>
        <c:axId val="250662848"/>
      </c:lineChart>
      <c:catAx>
        <c:axId val="2504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662848"/>
        <c:crosses val="autoZero"/>
        <c:auto val="1"/>
        <c:lblAlgn val="ctr"/>
        <c:lblOffset val="100"/>
        <c:noMultiLvlLbl val="0"/>
      </c:catAx>
      <c:valAx>
        <c:axId val="2506628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4.8974084550110847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4023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0531304947"/>
          <c:y val="2.2161373086791118E-2"/>
          <c:w val="0.2830307315954437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'20_g'!$A$64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'20_g'!$B$62:$M$62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'20_g'!$B$64:$M$64</c:f>
              <c:numCache>
                <c:formatCode>#,##0.00_ ;\-#,##0.00\ </c:formatCode>
                <c:ptCount val="12"/>
                <c:pt idx="0">
                  <c:v>5.1921678699999996</c:v>
                </c:pt>
                <c:pt idx="1">
                  <c:v>5.3375255100000008</c:v>
                </c:pt>
                <c:pt idx="2">
                  <c:v>5.2917031099999994</c:v>
                </c:pt>
                <c:pt idx="3">
                  <c:v>5.1477178999999991</c:v>
                </c:pt>
                <c:pt idx="4">
                  <c:v>5.4986887600000003</c:v>
                </c:pt>
                <c:pt idx="5">
                  <c:v>5.0076202500000004</c:v>
                </c:pt>
                <c:pt idx="6">
                  <c:v>5.9326230299999994</c:v>
                </c:pt>
                <c:pt idx="7">
                  <c:v>6.6030480100000002</c:v>
                </c:pt>
                <c:pt idx="8">
                  <c:v>6.1734626899999991</c:v>
                </c:pt>
                <c:pt idx="9">
                  <c:v>5.5809518699999998</c:v>
                </c:pt>
                <c:pt idx="10">
                  <c:v>5.6301456999999999</c:v>
                </c:pt>
                <c:pt idx="11">
                  <c:v>5.7354674400000007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'20_g'!$A$65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'20_g'!$B$62:$M$62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'20_g'!$B$65:$M$65</c:f>
              <c:numCache>
                <c:formatCode>#,##0.00_ ;\-#,##0.00\ </c:formatCode>
                <c:ptCount val="12"/>
                <c:pt idx="0">
                  <c:v>5.5014099999999999</c:v>
                </c:pt>
                <c:pt idx="1">
                  <c:v>5.6507250000000004</c:v>
                </c:pt>
                <c:pt idx="2">
                  <c:v>5.5749219999999999</c:v>
                </c:pt>
                <c:pt idx="3">
                  <c:v>5.4707869999999996</c:v>
                </c:pt>
                <c:pt idx="4">
                  <c:v>5.5895039999999998</c:v>
                </c:pt>
                <c:pt idx="5">
                  <c:v>5.4349100000000004</c:v>
                </c:pt>
                <c:pt idx="6">
                  <c:v>6.0202689999999999</c:v>
                </c:pt>
                <c:pt idx="7">
                  <c:v>6.777965</c:v>
                </c:pt>
                <c:pt idx="8">
                  <c:v>6.4930690000000002</c:v>
                </c:pt>
                <c:pt idx="9">
                  <c:v>6.0665620000000002</c:v>
                </c:pt>
                <c:pt idx="10">
                  <c:v>5.9774039999999999</c:v>
                </c:pt>
                <c:pt idx="11">
                  <c:v>6.1194269999999999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'20_g'!$A$66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'20_g'!$B$62:$M$62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'20_g'!$B$66:$M$66</c:f>
              <c:numCache>
                <c:formatCode>#,##0.00_ ;\-#,##0.00\ </c:formatCode>
                <c:ptCount val="12"/>
                <c:pt idx="0">
                  <c:v>5.4477426300000005</c:v>
                </c:pt>
                <c:pt idx="1">
                  <c:v>5.4814596000000009</c:v>
                </c:pt>
                <c:pt idx="2">
                  <c:v>5.4408992399999994</c:v>
                </c:pt>
                <c:pt idx="3">
                  <c:v>5.8138520499999995</c:v>
                </c:pt>
                <c:pt idx="4">
                  <c:v>5.7922599999999997</c:v>
                </c:pt>
                <c:pt idx="5">
                  <c:v>6.064232360000001</c:v>
                </c:pt>
                <c:pt idx="6">
                  <c:v>6.3263233699999999</c:v>
                </c:pt>
                <c:pt idx="7">
                  <c:v>6.6688039600000009</c:v>
                </c:pt>
                <c:pt idx="8">
                  <c:v>6.0644080699999989</c:v>
                </c:pt>
                <c:pt idx="9">
                  <c:v>5.8135632400000006</c:v>
                </c:pt>
                <c:pt idx="10">
                  <c:v>5.9992015300000006</c:v>
                </c:pt>
                <c:pt idx="11">
                  <c:v>6.0802845999999997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02816"/>
        <c:axId val="250665152"/>
      </c:lineChart>
      <c:catAx>
        <c:axId val="25040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665152"/>
        <c:crosses val="autoZero"/>
        <c:auto val="1"/>
        <c:lblAlgn val="ctr"/>
        <c:lblOffset val="100"/>
        <c:noMultiLvlLbl val="0"/>
      </c:catAx>
      <c:valAx>
        <c:axId val="250665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4028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'20_g'!$B$85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'20_g'!$C$85:$N$85</c:f>
              <c:numCache>
                <c:formatCode>#,##0.00_ ;\-#,##0.00\ </c:formatCode>
                <c:ptCount val="12"/>
                <c:pt idx="0">
                  <c:v>5.1921678699999996</c:v>
                </c:pt>
                <c:pt idx="1">
                  <c:v>10.529693380000001</c:v>
                </c:pt>
                <c:pt idx="2">
                  <c:v>15.821396490000001</c:v>
                </c:pt>
                <c:pt idx="3">
                  <c:v>20.969114390000001</c:v>
                </c:pt>
                <c:pt idx="4">
                  <c:v>26.467803150000002</c:v>
                </c:pt>
                <c:pt idx="5">
                  <c:v>31.475423400000004</c:v>
                </c:pt>
                <c:pt idx="6">
                  <c:v>37.408046430000006</c:v>
                </c:pt>
                <c:pt idx="7">
                  <c:v>44.011094440000008</c:v>
                </c:pt>
                <c:pt idx="8">
                  <c:v>50.184557130000009</c:v>
                </c:pt>
                <c:pt idx="9">
                  <c:v>55.765509000000009</c:v>
                </c:pt>
                <c:pt idx="10">
                  <c:v>61.395654700000009</c:v>
                </c:pt>
                <c:pt idx="11">
                  <c:v>67.131122140000002</c:v>
                </c:pt>
              </c:numCache>
            </c:numRef>
          </c:val>
        </c:ser>
        <c:ser>
          <c:idx val="0"/>
          <c:order val="2"/>
          <c:tx>
            <c:strRef>
              <c:f>'20_g'!$B$87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'20_g'!$C$87:$N$87</c:f>
              <c:numCache>
                <c:formatCode>#,##0.00_ ;\-#,##0.00\ </c:formatCode>
                <c:ptCount val="12"/>
                <c:pt idx="0">
                  <c:v>5.4477426300000005</c:v>
                </c:pt>
                <c:pt idx="1">
                  <c:v>10.929202230000001</c:v>
                </c:pt>
                <c:pt idx="2">
                  <c:v>16.370101470000002</c:v>
                </c:pt>
                <c:pt idx="3">
                  <c:v>22.183953520000003</c:v>
                </c:pt>
                <c:pt idx="4">
                  <c:v>27.976213520000002</c:v>
                </c:pt>
                <c:pt idx="5">
                  <c:v>34.04044588</c:v>
                </c:pt>
                <c:pt idx="6">
                  <c:v>40.366769249999997</c:v>
                </c:pt>
                <c:pt idx="7">
                  <c:v>47.035573209999995</c:v>
                </c:pt>
                <c:pt idx="8">
                  <c:v>53.099981279999994</c:v>
                </c:pt>
                <c:pt idx="9">
                  <c:v>58.913544519999995</c:v>
                </c:pt>
                <c:pt idx="10">
                  <c:v>64.912746049999996</c:v>
                </c:pt>
                <c:pt idx="11">
                  <c:v>70.993030649999994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0403328"/>
        <c:axId val="235618880"/>
      </c:barChart>
      <c:lineChart>
        <c:grouping val="standard"/>
        <c:varyColors val="0"/>
        <c:ser>
          <c:idx val="3"/>
          <c:order val="1"/>
          <c:tx>
            <c:strRef>
              <c:f>'20_g'!$B$86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'20_g'!$C$86:$N$86</c:f>
              <c:numCache>
                <c:formatCode>#,##0.00_ ;\-#,##0.00\ </c:formatCode>
                <c:ptCount val="12"/>
                <c:pt idx="0">
                  <c:v>5.5014099999999999</c:v>
                </c:pt>
                <c:pt idx="1">
                  <c:v>11.152135000000001</c:v>
                </c:pt>
                <c:pt idx="2">
                  <c:v>16.727057000000002</c:v>
                </c:pt>
                <c:pt idx="3">
                  <c:v>22.197844000000003</c:v>
                </c:pt>
                <c:pt idx="4">
                  <c:v>27.787348000000001</c:v>
                </c:pt>
                <c:pt idx="5">
                  <c:v>33.222258000000004</c:v>
                </c:pt>
                <c:pt idx="6">
                  <c:v>39.242527000000003</c:v>
                </c:pt>
                <c:pt idx="7">
                  <c:v>46.020492000000004</c:v>
                </c:pt>
                <c:pt idx="8">
                  <c:v>52.513561000000003</c:v>
                </c:pt>
                <c:pt idx="9">
                  <c:v>58.580123</c:v>
                </c:pt>
                <c:pt idx="10">
                  <c:v>64.557526999999993</c:v>
                </c:pt>
                <c:pt idx="11">
                  <c:v>70.676953999999995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03328"/>
        <c:axId val="235618880"/>
      </c:lineChart>
      <c:catAx>
        <c:axId val="2504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618880"/>
        <c:crosses val="autoZero"/>
        <c:auto val="1"/>
        <c:lblAlgn val="ctr"/>
        <c:lblOffset val="100"/>
        <c:noMultiLvlLbl val="0"/>
      </c:catAx>
      <c:valAx>
        <c:axId val="2356188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40332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'20_g'!$S$64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'20_g'!$T$62:$AE$62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'20_g'!$T$64:$AE$64</c:f>
              <c:numCache>
                <c:formatCode>#,##0.00_ ;\-#,##0.00\ </c:formatCode>
                <c:ptCount val="12"/>
                <c:pt idx="0">
                  <c:v>1.8628759300000004</c:v>
                </c:pt>
                <c:pt idx="1">
                  <c:v>1.98391647</c:v>
                </c:pt>
                <c:pt idx="2">
                  <c:v>2.0314326</c:v>
                </c:pt>
                <c:pt idx="3">
                  <c:v>1.8752655200000004</c:v>
                </c:pt>
                <c:pt idx="4">
                  <c:v>1.93540991</c:v>
                </c:pt>
                <c:pt idx="5">
                  <c:v>2.0899681600000002</c:v>
                </c:pt>
                <c:pt idx="6">
                  <c:v>2.1669449300000005</c:v>
                </c:pt>
                <c:pt idx="7">
                  <c:v>2.3610808400000001</c:v>
                </c:pt>
                <c:pt idx="8">
                  <c:v>1.7384858999999999</c:v>
                </c:pt>
                <c:pt idx="9">
                  <c:v>1.8983431300000002</c:v>
                </c:pt>
                <c:pt idx="10">
                  <c:v>2.0618028699999997</c:v>
                </c:pt>
                <c:pt idx="11">
                  <c:v>1.8022456900000003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'20_g'!$S$65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'20_g'!$T$62:$AE$62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'20_g'!$T$65:$AE$65</c:f>
              <c:numCache>
                <c:formatCode>#,##0.00_ ;\-#,##0.00\ </c:formatCode>
                <c:ptCount val="12"/>
                <c:pt idx="0">
                  <c:v>1.9860640000000001</c:v>
                </c:pt>
                <c:pt idx="1">
                  <c:v>2.0621529999999999</c:v>
                </c:pt>
                <c:pt idx="2">
                  <c:v>1.9961409999999999</c:v>
                </c:pt>
                <c:pt idx="3">
                  <c:v>1.9947569999999999</c:v>
                </c:pt>
                <c:pt idx="4">
                  <c:v>2.0190619999999999</c:v>
                </c:pt>
                <c:pt idx="5">
                  <c:v>2.09091</c:v>
                </c:pt>
                <c:pt idx="6">
                  <c:v>2.0422189999999998</c:v>
                </c:pt>
                <c:pt idx="7">
                  <c:v>2.1559919999999999</c:v>
                </c:pt>
                <c:pt idx="8">
                  <c:v>1.9292389999999999</c:v>
                </c:pt>
                <c:pt idx="9">
                  <c:v>2.058135</c:v>
                </c:pt>
                <c:pt idx="10">
                  <c:v>2.1090179999999998</c:v>
                </c:pt>
                <c:pt idx="11">
                  <c:v>2.533083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'20_g'!$S$66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'20_g'!$T$62:$AE$62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'20_g'!$T$66:$AE$66</c:f>
              <c:numCache>
                <c:formatCode>#,##0.00_ ;\-#,##0.00\ </c:formatCode>
                <c:ptCount val="12"/>
                <c:pt idx="0">
                  <c:v>1.8631266799999999</c:v>
                </c:pt>
                <c:pt idx="1">
                  <c:v>2.2994842800000002</c:v>
                </c:pt>
                <c:pt idx="2">
                  <c:v>2.2898876100000001</c:v>
                </c:pt>
                <c:pt idx="3">
                  <c:v>1.7501095800000002</c:v>
                </c:pt>
                <c:pt idx="4">
                  <c:v>2.1700848799999992</c:v>
                </c:pt>
                <c:pt idx="5">
                  <c:v>2.26665721</c:v>
                </c:pt>
                <c:pt idx="6">
                  <c:v>2.0158747699999995</c:v>
                </c:pt>
                <c:pt idx="7">
                  <c:v>2.27943271</c:v>
                </c:pt>
                <c:pt idx="8">
                  <c:v>2.0482590999999997</c:v>
                </c:pt>
                <c:pt idx="9">
                  <c:v>2.4127286799999998</c:v>
                </c:pt>
                <c:pt idx="10">
                  <c:v>2.3041844899999999</c:v>
                </c:pt>
                <c:pt idx="11">
                  <c:v>2.48675172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20544"/>
        <c:axId val="235621184"/>
      </c:lineChart>
      <c:catAx>
        <c:axId val="2502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621184"/>
        <c:crosses val="autoZero"/>
        <c:auto val="1"/>
        <c:lblAlgn val="ctr"/>
        <c:lblOffset val="100"/>
        <c:noMultiLvlLbl val="0"/>
      </c:catAx>
      <c:valAx>
        <c:axId val="2356211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2205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'20_g'!$T$85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'20_g'!$U$85:$AF$85</c:f>
              <c:numCache>
                <c:formatCode>#,##0.00_ ;\-#,##0.00\ </c:formatCode>
                <c:ptCount val="12"/>
                <c:pt idx="0">
                  <c:v>1.8628759300000004</c:v>
                </c:pt>
                <c:pt idx="1">
                  <c:v>3.8467924000000004</c:v>
                </c:pt>
                <c:pt idx="2">
                  <c:v>5.8782250000000005</c:v>
                </c:pt>
                <c:pt idx="3">
                  <c:v>7.7534905200000006</c:v>
                </c:pt>
                <c:pt idx="4">
                  <c:v>9.6889004300000003</c:v>
                </c:pt>
                <c:pt idx="5">
                  <c:v>11.77886859</c:v>
                </c:pt>
                <c:pt idx="6">
                  <c:v>13.945813520000002</c:v>
                </c:pt>
                <c:pt idx="7">
                  <c:v>16.306894360000001</c:v>
                </c:pt>
                <c:pt idx="8">
                  <c:v>18.045380260000002</c:v>
                </c:pt>
                <c:pt idx="9">
                  <c:v>19.943723390000002</c:v>
                </c:pt>
                <c:pt idx="10">
                  <c:v>22.005526260000003</c:v>
                </c:pt>
                <c:pt idx="11">
                  <c:v>23.807771950000003</c:v>
                </c:pt>
              </c:numCache>
            </c:numRef>
          </c:val>
        </c:ser>
        <c:ser>
          <c:idx val="0"/>
          <c:order val="2"/>
          <c:tx>
            <c:strRef>
              <c:f>'20_g'!$T$87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'20_g'!$U$87:$AF$87</c:f>
              <c:numCache>
                <c:formatCode>#,##0.00_ ;\-#,##0.00\ </c:formatCode>
                <c:ptCount val="12"/>
                <c:pt idx="0">
                  <c:v>1.8631266799999999</c:v>
                </c:pt>
                <c:pt idx="1">
                  <c:v>4.1626109600000003</c:v>
                </c:pt>
                <c:pt idx="2">
                  <c:v>6.4524985700000004</c:v>
                </c:pt>
                <c:pt idx="3">
                  <c:v>8.2026081499999997</c:v>
                </c:pt>
                <c:pt idx="4">
                  <c:v>10.372693029999999</c:v>
                </c:pt>
                <c:pt idx="5">
                  <c:v>12.639350239999999</c:v>
                </c:pt>
                <c:pt idx="6">
                  <c:v>14.655225009999999</c:v>
                </c:pt>
                <c:pt idx="7">
                  <c:v>16.934657719999997</c:v>
                </c:pt>
                <c:pt idx="8">
                  <c:v>18.982916819999996</c:v>
                </c:pt>
                <c:pt idx="9">
                  <c:v>21.395645499999997</c:v>
                </c:pt>
                <c:pt idx="10">
                  <c:v>23.699829989999998</c:v>
                </c:pt>
                <c:pt idx="11">
                  <c:v>26.186581709999999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0404352"/>
        <c:axId val="235623488"/>
      </c:barChart>
      <c:lineChart>
        <c:grouping val="standard"/>
        <c:varyColors val="0"/>
        <c:ser>
          <c:idx val="3"/>
          <c:order val="1"/>
          <c:tx>
            <c:strRef>
              <c:f>'20_g'!$T$86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'20_g'!$U$86:$AF$86</c:f>
              <c:numCache>
                <c:formatCode>#,##0.00_ ;\-#,##0.00\ </c:formatCode>
                <c:ptCount val="12"/>
                <c:pt idx="0">
                  <c:v>1.9860640000000001</c:v>
                </c:pt>
                <c:pt idx="1">
                  <c:v>4.0482170000000002</c:v>
                </c:pt>
                <c:pt idx="2">
                  <c:v>6.0443579999999999</c:v>
                </c:pt>
                <c:pt idx="3">
                  <c:v>8.0391149999999989</c:v>
                </c:pt>
                <c:pt idx="4">
                  <c:v>10.058176999999999</c:v>
                </c:pt>
                <c:pt idx="5">
                  <c:v>12.149086999999998</c:v>
                </c:pt>
                <c:pt idx="6">
                  <c:v>14.191305999999997</c:v>
                </c:pt>
                <c:pt idx="7">
                  <c:v>16.347297999999999</c:v>
                </c:pt>
                <c:pt idx="8">
                  <c:v>18.276536999999998</c:v>
                </c:pt>
                <c:pt idx="9">
                  <c:v>20.334671999999998</c:v>
                </c:pt>
                <c:pt idx="10">
                  <c:v>22.443689999999997</c:v>
                </c:pt>
                <c:pt idx="11">
                  <c:v>24.976772999999998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04352"/>
        <c:axId val="235623488"/>
      </c:lineChart>
      <c:catAx>
        <c:axId val="25040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623488"/>
        <c:crosses val="autoZero"/>
        <c:auto val="1"/>
        <c:lblAlgn val="ctr"/>
        <c:lblOffset val="100"/>
        <c:noMultiLvlLbl val="0"/>
      </c:catAx>
      <c:valAx>
        <c:axId val="2356234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04043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'20_g'!$AI$64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'20_g'!$AJ$62:$AU$62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'20_g'!$AJ$64:$AU$64</c:f>
              <c:numCache>
                <c:formatCode>#,##0.00_ ;\-#,##0.00\ </c:formatCode>
                <c:ptCount val="12"/>
                <c:pt idx="0">
                  <c:v>3.3292919399999992</c:v>
                </c:pt>
                <c:pt idx="1">
                  <c:v>3.3536090400000007</c:v>
                </c:pt>
                <c:pt idx="2">
                  <c:v>3.2602705099999993</c:v>
                </c:pt>
                <c:pt idx="3">
                  <c:v>3.2724523799999989</c:v>
                </c:pt>
                <c:pt idx="4">
                  <c:v>3.5632788500000006</c:v>
                </c:pt>
                <c:pt idx="5">
                  <c:v>2.9176520900000003</c:v>
                </c:pt>
                <c:pt idx="6">
                  <c:v>3.7656780999999988</c:v>
                </c:pt>
                <c:pt idx="7">
                  <c:v>4.2419671700000006</c:v>
                </c:pt>
                <c:pt idx="8">
                  <c:v>4.4349767899999994</c:v>
                </c:pt>
                <c:pt idx="9">
                  <c:v>3.6826087399999996</c:v>
                </c:pt>
                <c:pt idx="10">
                  <c:v>3.5683428300000002</c:v>
                </c:pt>
                <c:pt idx="11">
                  <c:v>3.9332217500000004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'20_g'!$AI$65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'20_g'!$AJ$62:$AU$62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'20_g'!$AJ$65:$AU$65</c:f>
              <c:numCache>
                <c:formatCode>#,##0.00_ ;\-#,##0.00\ </c:formatCode>
                <c:ptCount val="12"/>
                <c:pt idx="0">
                  <c:v>3.5153460000000001</c:v>
                </c:pt>
                <c:pt idx="1">
                  <c:v>3.5885720000000005</c:v>
                </c:pt>
                <c:pt idx="2">
                  <c:v>3.5787810000000002</c:v>
                </c:pt>
                <c:pt idx="3">
                  <c:v>3.4760299999999997</c:v>
                </c:pt>
                <c:pt idx="4">
                  <c:v>3.5704419999999999</c:v>
                </c:pt>
                <c:pt idx="5">
                  <c:v>3.3440000000000003</c:v>
                </c:pt>
                <c:pt idx="6">
                  <c:v>3.9780500000000001</c:v>
                </c:pt>
                <c:pt idx="7">
                  <c:v>4.6219730000000006</c:v>
                </c:pt>
                <c:pt idx="8">
                  <c:v>4.5638300000000003</c:v>
                </c:pt>
                <c:pt idx="9">
                  <c:v>4.0084270000000002</c:v>
                </c:pt>
                <c:pt idx="10">
                  <c:v>3.8683860000000001</c:v>
                </c:pt>
                <c:pt idx="11">
                  <c:v>3.586344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'20_g'!$AI$66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'20_g'!$AJ$62:$AU$62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'20_g'!$AJ$66:$AU$66</c:f>
              <c:numCache>
                <c:formatCode>#,##0.00_ ;\-#,##0.00\ </c:formatCode>
                <c:ptCount val="12"/>
                <c:pt idx="0">
                  <c:v>3.5846159500000008</c:v>
                </c:pt>
                <c:pt idx="1">
                  <c:v>3.1819753200000007</c:v>
                </c:pt>
                <c:pt idx="2">
                  <c:v>3.1510116299999993</c:v>
                </c:pt>
                <c:pt idx="3">
                  <c:v>4.0637424699999993</c:v>
                </c:pt>
                <c:pt idx="4">
                  <c:v>3.6221751200000005</c:v>
                </c:pt>
                <c:pt idx="5">
                  <c:v>3.797575150000001</c:v>
                </c:pt>
                <c:pt idx="6">
                  <c:v>4.3104486000000009</c:v>
                </c:pt>
                <c:pt idx="7">
                  <c:v>4.3893712500000008</c:v>
                </c:pt>
                <c:pt idx="8">
                  <c:v>4.0161489699999997</c:v>
                </c:pt>
                <c:pt idx="9">
                  <c:v>3.4008345600000007</c:v>
                </c:pt>
                <c:pt idx="10">
                  <c:v>3.6950170400000006</c:v>
                </c:pt>
                <c:pt idx="11">
                  <c:v>3.5935328799999997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11712"/>
        <c:axId val="235625792"/>
      </c:lineChart>
      <c:catAx>
        <c:axId val="25221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625792"/>
        <c:crosses val="autoZero"/>
        <c:auto val="1"/>
        <c:lblAlgn val="ctr"/>
        <c:lblOffset val="100"/>
        <c:noMultiLvlLbl val="0"/>
      </c:catAx>
      <c:valAx>
        <c:axId val="235625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300805348049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22117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72670510204"/>
          <c:y val="2.2161373086791118E-2"/>
          <c:w val="0.4542922732948979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('11'!$A$9,'11'!$A$13,'11'!$A$17)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('11'!$G$9,'11'!$G$13,'11'!$G$17)</c:f>
              <c:numCache>
                <c:formatCode>_-* #,##0_-;\-* #,##0_-;_-* "-"??_-;_-@_-</c:formatCode>
                <c:ptCount val="3"/>
                <c:pt idx="0">
                  <c:v>83393</c:v>
                </c:pt>
                <c:pt idx="1">
                  <c:v>17957</c:v>
                </c:pt>
                <c:pt idx="2">
                  <c:v>9113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'20_g'!$AJ$85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'20_g'!$AK$85:$AV$85</c:f>
              <c:numCache>
                <c:formatCode>#,##0.00_ ;\-#,##0.00\ </c:formatCode>
                <c:ptCount val="12"/>
                <c:pt idx="0">
                  <c:v>3.3292919399999992</c:v>
                </c:pt>
                <c:pt idx="1">
                  <c:v>6.6829009799999994</c:v>
                </c:pt>
                <c:pt idx="2">
                  <c:v>9.9431714899999992</c:v>
                </c:pt>
                <c:pt idx="3">
                  <c:v>13.215623869999998</c:v>
                </c:pt>
                <c:pt idx="4">
                  <c:v>16.778902719999998</c:v>
                </c:pt>
                <c:pt idx="5">
                  <c:v>19.696554809999999</c:v>
                </c:pt>
                <c:pt idx="6">
                  <c:v>23.462232909999997</c:v>
                </c:pt>
                <c:pt idx="7">
                  <c:v>27.70420008</c:v>
                </c:pt>
                <c:pt idx="8">
                  <c:v>32.13917687</c:v>
                </c:pt>
                <c:pt idx="9">
                  <c:v>35.821785609999999</c:v>
                </c:pt>
                <c:pt idx="10">
                  <c:v>39.390128439999998</c:v>
                </c:pt>
                <c:pt idx="11">
                  <c:v>43.323350189999999</c:v>
                </c:pt>
              </c:numCache>
            </c:numRef>
          </c:val>
        </c:ser>
        <c:ser>
          <c:idx val="0"/>
          <c:order val="2"/>
          <c:tx>
            <c:strRef>
              <c:f>'20_g'!$AJ$87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'20_g'!$AK$87:$AV$87</c:f>
              <c:numCache>
                <c:formatCode>#,##0.00_ ;\-#,##0.00\ </c:formatCode>
                <c:ptCount val="12"/>
                <c:pt idx="0">
                  <c:v>3.5846159500000008</c:v>
                </c:pt>
                <c:pt idx="1">
                  <c:v>6.766591270000001</c:v>
                </c:pt>
                <c:pt idx="2">
                  <c:v>9.9176029000000003</c:v>
                </c:pt>
                <c:pt idx="3">
                  <c:v>13.98134537</c:v>
                </c:pt>
                <c:pt idx="4">
                  <c:v>17.603520490000001</c:v>
                </c:pt>
                <c:pt idx="5">
                  <c:v>21.401095640000001</c:v>
                </c:pt>
                <c:pt idx="6">
                  <c:v>25.711544240000002</c:v>
                </c:pt>
                <c:pt idx="7">
                  <c:v>30.100915490000002</c:v>
                </c:pt>
                <c:pt idx="8">
                  <c:v>34.117064460000002</c:v>
                </c:pt>
                <c:pt idx="9">
                  <c:v>37.517899020000002</c:v>
                </c:pt>
                <c:pt idx="10">
                  <c:v>41.212916060000005</c:v>
                </c:pt>
                <c:pt idx="11">
                  <c:v>44.806448940000003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2212224"/>
        <c:axId val="251094720"/>
      </c:barChart>
      <c:lineChart>
        <c:grouping val="standard"/>
        <c:varyColors val="0"/>
        <c:ser>
          <c:idx val="3"/>
          <c:order val="1"/>
          <c:tx>
            <c:strRef>
              <c:f>'20_g'!$AJ$86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'20_g'!$AK$86:$AV$86</c:f>
              <c:numCache>
                <c:formatCode>#,##0.00_ ;\-#,##0.00\ </c:formatCode>
                <c:ptCount val="12"/>
                <c:pt idx="0">
                  <c:v>3.5153460000000001</c:v>
                </c:pt>
                <c:pt idx="1">
                  <c:v>7.1039180000000002</c:v>
                </c:pt>
                <c:pt idx="2">
                  <c:v>10.682699</c:v>
                </c:pt>
                <c:pt idx="3">
                  <c:v>14.158728999999999</c:v>
                </c:pt>
                <c:pt idx="4">
                  <c:v>17.729171000000001</c:v>
                </c:pt>
                <c:pt idx="5">
                  <c:v>21.073171000000002</c:v>
                </c:pt>
                <c:pt idx="6">
                  <c:v>25.051221000000002</c:v>
                </c:pt>
                <c:pt idx="7">
                  <c:v>29.673194000000002</c:v>
                </c:pt>
                <c:pt idx="8">
                  <c:v>34.237024000000005</c:v>
                </c:pt>
                <c:pt idx="9">
                  <c:v>38.245451000000003</c:v>
                </c:pt>
                <c:pt idx="10">
                  <c:v>42.113837000000004</c:v>
                </c:pt>
                <c:pt idx="11">
                  <c:v>45.700181000000001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12224"/>
        <c:axId val="251094720"/>
      </c:lineChart>
      <c:catAx>
        <c:axId val="25221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094720"/>
        <c:crosses val="autoZero"/>
        <c:auto val="1"/>
        <c:lblAlgn val="ctr"/>
        <c:lblOffset val="100"/>
        <c:noMultiLvlLbl val="0"/>
      </c:catAx>
      <c:valAx>
        <c:axId val="2510947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132772196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22122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91"/>
          <c:y val="2.2161373086791118E-2"/>
          <c:w val="0.3910367454068240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'20_g'!$T$21:$U$21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'20_g'!$V$20:$AC$20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'20_g'!$V$21:$AC$21</c:f>
              <c:numCache>
                <c:formatCode>#,##0</c:formatCode>
                <c:ptCount val="8"/>
                <c:pt idx="0">
                  <c:v>142.50562158689362</c:v>
                </c:pt>
                <c:pt idx="1">
                  <c:v>158</c:v>
                </c:pt>
                <c:pt idx="2">
                  <c:v>545.21040796659156</c:v>
                </c:pt>
                <c:pt idx="3">
                  <c:v>301</c:v>
                </c:pt>
                <c:pt idx="4">
                  <c:v>910.47446193382575</c:v>
                </c:pt>
                <c:pt idx="5">
                  <c:v>459</c:v>
                </c:pt>
                <c:pt idx="6">
                  <c:v>1059.9999999999998</c:v>
                </c:pt>
                <c:pt idx="7">
                  <c:v>682</c:v>
                </c:pt>
              </c:numCache>
            </c:numRef>
          </c:val>
        </c:ser>
        <c:ser>
          <c:idx val="0"/>
          <c:order val="1"/>
          <c:tx>
            <c:strRef>
              <c:f>'20_g'!$T$22:$U$22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'20_g'!$V$20:$AC$20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'20_g'!$V$22:$AC$22</c:f>
              <c:numCache>
                <c:formatCode>#,##0</c:formatCode>
                <c:ptCount val="8"/>
                <c:pt idx="0">
                  <c:v>10</c:v>
                </c:pt>
                <c:pt idx="1">
                  <c:v>29</c:v>
                </c:pt>
                <c:pt idx="2">
                  <c:v>20</c:v>
                </c:pt>
                <c:pt idx="3">
                  <c:v>57</c:v>
                </c:pt>
                <c:pt idx="4">
                  <c:v>36</c:v>
                </c:pt>
                <c:pt idx="5">
                  <c:v>61</c:v>
                </c:pt>
                <c:pt idx="6">
                  <c:v>65</c:v>
                </c:pt>
                <c:pt idx="7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52212736"/>
        <c:axId val="251097024"/>
      </c:barChart>
      <c:catAx>
        <c:axId val="25221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251097024"/>
        <c:crosses val="autoZero"/>
        <c:auto val="1"/>
        <c:lblAlgn val="ctr"/>
        <c:lblOffset val="100"/>
        <c:noMultiLvlLbl val="0"/>
      </c:catAx>
      <c:valAx>
        <c:axId val="251097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5221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('21'!$A$9,'21'!$A$13,'21'!$A$17)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('21'!$B$9,'21'!$B$13,'21'!$B$17)</c:f>
              <c:numCache>
                <c:formatCode>_-* #,##0_-;\-* #,##0_-;_-* "-"??_-;_-@_-</c:formatCode>
                <c:ptCount val="3"/>
                <c:pt idx="0">
                  <c:v>806</c:v>
                </c:pt>
                <c:pt idx="1">
                  <c:v>190</c:v>
                </c:pt>
                <c:pt idx="2">
                  <c:v>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('21'!$A$9,'21'!$A$13,'21'!$A$17)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('21'!$G$9,'21'!$G$13,'21'!$G$17)</c:f>
              <c:numCache>
                <c:formatCode>_-* #,##0_-;\-* #,##0_-;_-* "-"??_-;_-@_-</c:formatCode>
                <c:ptCount val="3"/>
                <c:pt idx="0">
                  <c:v>843</c:v>
                </c:pt>
                <c:pt idx="1">
                  <c:v>256</c:v>
                </c:pt>
                <c:pt idx="2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('21'!$A$9,'21'!$A$13,'21'!$A$17)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('21'!$C$9,'21'!$C$13,'21'!$C$17)</c:f>
              <c:numCache>
                <c:formatCode>_(* #,##0.00_);_(* \(#,##0.00\);_(* "-"??_);_(@_)</c:formatCode>
                <c:ptCount val="3"/>
                <c:pt idx="0">
                  <c:v>0.106973</c:v>
                </c:pt>
                <c:pt idx="1">
                  <c:v>4.7673E-2</c:v>
                </c:pt>
                <c:pt idx="2">
                  <c:v>3.8279000000000001E-2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('21'!$A$9,'21'!$A$13,'21'!$A$17)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('21'!$H$9,'21'!$H$13,'21'!$H$17)</c:f>
              <c:numCache>
                <c:formatCode>_(* #,##0.00_);_(* \(#,##0.00\);_(* "-"??_);_(@_)</c:formatCode>
                <c:ptCount val="3"/>
                <c:pt idx="0">
                  <c:v>0.10134</c:v>
                </c:pt>
                <c:pt idx="1">
                  <c:v>6.5959000000000004E-2</c:v>
                </c:pt>
                <c:pt idx="2">
                  <c:v>3.2176999999999997E-2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('21'!$A$9,'21'!$A$13,'21'!$A$17)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('21'!$E$9,'21'!$E$13,'21'!$E$17)</c:f>
              <c:numCache>
                <c:formatCode>_(* #,##0.00_);_(* \(#,##0.00\);_(* "-"??_);_(@_)</c:formatCode>
                <c:ptCount val="3"/>
                <c:pt idx="0">
                  <c:v>1.4380096599999999</c:v>
                </c:pt>
                <c:pt idx="1">
                  <c:v>1.0185564000000003</c:v>
                </c:pt>
                <c:pt idx="2">
                  <c:v>1.0727132500000001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('21'!$A$9,'21'!$A$13,'21'!$A$17)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('21'!$J$9,'21'!$J$13,'21'!$J$17)</c:f>
              <c:numCache>
                <c:formatCode>_(* #,##0.00_);_(* \(#,##0.00\);_(* "-"??_);_(@_)</c:formatCode>
                <c:ptCount val="3"/>
                <c:pt idx="0">
                  <c:v>1.3268710599999998</c:v>
                </c:pt>
                <c:pt idx="1">
                  <c:v>1.4089838499999998</c:v>
                </c:pt>
                <c:pt idx="2">
                  <c:v>0.90761065000000007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('21'!$A$9,'21'!$A$13,'21'!$A$17,'21'!$A$20)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('21'!$D$9,'21'!$D$13,'21'!$D$17,'21'!$D$20)</c:f>
              <c:numCache>
                <c:formatCode>_-* #,##0.000_-;\-* #,##0.000_-;_-* "-"??_-;_-@_-</c:formatCode>
                <c:ptCount val="4"/>
                <c:pt idx="0">
                  <c:v>0.37549867050450625</c:v>
                </c:pt>
                <c:pt idx="1">
                  <c:v>0.75936604014017206</c:v>
                </c:pt>
                <c:pt idx="2">
                  <c:v>1.5310068993100689</c:v>
                </c:pt>
                <c:pt idx="3">
                  <c:v>0.51769015067151458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('21'!$A$9,'21'!$A$13,'21'!$A$17,'21'!$A$20)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('21'!$I$9,'21'!$I$13,'21'!$I$17,'21'!$I$20)</c:f>
              <c:numCache>
                <c:formatCode>_-* #,##0.000_-;\-* #,##0.000_-;_-* "-"??_-;_-@_-</c:formatCode>
                <c:ptCount val="4"/>
                <c:pt idx="0">
                  <c:v>0.33674206866760265</c:v>
                </c:pt>
                <c:pt idx="1">
                  <c:v>0.81035690152957796</c:v>
                </c:pt>
                <c:pt idx="2">
                  <c:v>1.3157636475158454</c:v>
                </c:pt>
                <c:pt idx="3">
                  <c:v>0.49036302291708916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2966912"/>
        <c:axId val="252843072"/>
      </c:barChart>
      <c:catAx>
        <c:axId val="25296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2843072"/>
        <c:crosses val="autoZero"/>
        <c:auto val="1"/>
        <c:lblAlgn val="ctr"/>
        <c:lblOffset val="100"/>
        <c:noMultiLvlLbl val="0"/>
      </c:catAx>
      <c:valAx>
        <c:axId val="2528430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2966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('21'!$A$9,'21'!$A$13,'21'!$A$17,'21'!$A$20)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('21'!$F$9,'21'!$F$13,'21'!$F$17,'21'!$F$20)</c:f>
              <c:numCache>
                <c:formatCode>_(* #,##0.00_);_(* \(#,##0.00\);_(* "-"??_);_(@_)</c:formatCode>
                <c:ptCount val="4"/>
                <c:pt idx="0">
                  <c:v>13.442734708758284</c:v>
                </c:pt>
                <c:pt idx="1">
                  <c:v>21.365477314203012</c:v>
                </c:pt>
                <c:pt idx="2">
                  <c:v>28.023544240967635</c:v>
                </c:pt>
                <c:pt idx="3">
                  <c:v>18.29353018012181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('21'!$A$9,'21'!$A$13,'21'!$A$17,'21'!$A$20)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('21'!$K$9,'21'!$K$13,'21'!$K$17,'21'!$K$20)</c:f>
              <c:numCache>
                <c:formatCode>_(* #,##0.00_);_(* \(#,##0.00\);_(* "-"??_);_(@_)</c:formatCode>
                <c:ptCount val="4"/>
                <c:pt idx="0">
                  <c:v>13.0932609038879</c:v>
                </c:pt>
                <c:pt idx="1">
                  <c:v>21.361510180566711</c:v>
                </c:pt>
                <c:pt idx="2">
                  <c:v>28.206813873263517</c:v>
                </c:pt>
                <c:pt idx="3">
                  <c:v>18.265182578355294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2967936"/>
        <c:axId val="252844800"/>
      </c:barChart>
      <c:catAx>
        <c:axId val="25296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2844800"/>
        <c:crosses val="autoZero"/>
        <c:auto val="1"/>
        <c:lblAlgn val="ctr"/>
        <c:lblOffset val="100"/>
        <c:noMultiLvlLbl val="0"/>
      </c:catAx>
      <c:valAx>
        <c:axId val="2528448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2967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('11'!$A$9,'11'!$A$13,'11'!$A$17)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('11'!$C$9,'11'!$C$13,'11'!$C$17)</c:f>
              <c:numCache>
                <c:formatCode>_(* #,##0.00_);_(* \(#,##0.00\);_(* "-"??_);_(@_)</c:formatCode>
                <c:ptCount val="3"/>
                <c:pt idx="0">
                  <c:v>15.374689</c:v>
                </c:pt>
                <c:pt idx="1">
                  <c:v>8.3145989999999994</c:v>
                </c:pt>
                <c:pt idx="2">
                  <c:v>9.5283309999999997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'21_g'!$A$18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'21_g'!$B$16:$M$16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'21_g'!$B$18:$M$18</c:f>
              <c:numCache>
                <c:formatCode>#,##0_ ;\-#,##0\ 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2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23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19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'21_g'!$A$19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'21_g'!$B$16:$M$16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'21_g'!$B$19:$M$19</c:f>
              <c:numCache>
                <c:formatCode>#,##0_ ;\-#,##0\ </c:formatCode>
                <c:ptCount val="12"/>
                <c:pt idx="0">
                  <c:v>1.5609756097560972</c:v>
                </c:pt>
                <c:pt idx="1">
                  <c:v>1.5609756097560972</c:v>
                </c:pt>
                <c:pt idx="2">
                  <c:v>2.7317073170731705</c:v>
                </c:pt>
                <c:pt idx="3">
                  <c:v>4.48780487804878</c:v>
                </c:pt>
                <c:pt idx="4">
                  <c:v>5.6585365853658516</c:v>
                </c:pt>
                <c:pt idx="5">
                  <c:v>4.0975609756097553</c:v>
                </c:pt>
                <c:pt idx="6">
                  <c:v>4.0975609756097553</c:v>
                </c:pt>
                <c:pt idx="7">
                  <c:v>4.6829268292682915</c:v>
                </c:pt>
                <c:pt idx="8">
                  <c:v>2.7317073170731705</c:v>
                </c:pt>
                <c:pt idx="9">
                  <c:v>1.7560975609756095</c:v>
                </c:pt>
                <c:pt idx="10">
                  <c:v>1.9512195121951217</c:v>
                </c:pt>
                <c:pt idx="11">
                  <c:v>4.6829268292682915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'21_g'!$A$20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'21_g'!$B$16:$M$16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'21_g'!$B$20:$M$20</c:f>
              <c:numCache>
                <c:formatCode>#,##0_ ;\-#,##0\ 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20</c:v>
                </c:pt>
                <c:pt idx="4">
                  <c:v>13</c:v>
                </c:pt>
                <c:pt idx="5">
                  <c:v>11</c:v>
                </c:pt>
                <c:pt idx="6">
                  <c:v>0</c:v>
                </c:pt>
                <c:pt idx="7">
                  <c:v>1</c:v>
                </c:pt>
                <c:pt idx="8">
                  <c:v>12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08576"/>
        <c:axId val="253116992"/>
      </c:lineChart>
      <c:catAx>
        <c:axId val="25320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116992"/>
        <c:crosses val="autoZero"/>
        <c:auto val="1"/>
        <c:lblAlgn val="ctr"/>
        <c:lblOffset val="100"/>
        <c:noMultiLvlLbl val="0"/>
      </c:catAx>
      <c:valAx>
        <c:axId val="2531169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2085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'21_g'!$B$39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'21_g'!$C$39:$N$39</c:f>
              <c:numCache>
                <c:formatCode>#,##0_ ;\-#,##0\ </c:formatCode>
                <c:ptCount val="12"/>
                <c:pt idx="0">
                  <c:v>4</c:v>
                </c:pt>
                <c:pt idx="1">
                  <c:v>9</c:v>
                </c:pt>
                <c:pt idx="2">
                  <c:v>17</c:v>
                </c:pt>
                <c:pt idx="3">
                  <c:v>19</c:v>
                </c:pt>
                <c:pt idx="4">
                  <c:v>31</c:v>
                </c:pt>
                <c:pt idx="5">
                  <c:v>45</c:v>
                </c:pt>
                <c:pt idx="6">
                  <c:v>61</c:v>
                </c:pt>
                <c:pt idx="7">
                  <c:v>84</c:v>
                </c:pt>
                <c:pt idx="8">
                  <c:v>87</c:v>
                </c:pt>
                <c:pt idx="9">
                  <c:v>92</c:v>
                </c:pt>
                <c:pt idx="10">
                  <c:v>97</c:v>
                </c:pt>
                <c:pt idx="11">
                  <c:v>116</c:v>
                </c:pt>
              </c:numCache>
            </c:numRef>
          </c:val>
        </c:ser>
        <c:ser>
          <c:idx val="0"/>
          <c:order val="2"/>
          <c:tx>
            <c:strRef>
              <c:f>'21_g'!$B$41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'21_g'!$C$41:$N$41</c:f>
              <c:numCache>
                <c:formatCode>#,##0_ ;\-#,##0\ </c:formatCode>
                <c:ptCount val="12"/>
                <c:pt idx="0">
                  <c:v>4</c:v>
                </c:pt>
                <c:pt idx="1">
                  <c:v>6</c:v>
                </c:pt>
                <c:pt idx="2">
                  <c:v>12</c:v>
                </c:pt>
                <c:pt idx="3">
                  <c:v>32</c:v>
                </c:pt>
                <c:pt idx="4">
                  <c:v>45</c:v>
                </c:pt>
                <c:pt idx="5">
                  <c:v>56</c:v>
                </c:pt>
                <c:pt idx="6">
                  <c:v>56</c:v>
                </c:pt>
                <c:pt idx="7">
                  <c:v>57</c:v>
                </c:pt>
                <c:pt idx="8">
                  <c:v>69</c:v>
                </c:pt>
                <c:pt idx="9">
                  <c:v>73</c:v>
                </c:pt>
                <c:pt idx="10">
                  <c:v>79</c:v>
                </c:pt>
                <c:pt idx="11">
                  <c:v>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3209600"/>
        <c:axId val="253119296"/>
      </c:barChart>
      <c:lineChart>
        <c:grouping val="standard"/>
        <c:varyColors val="0"/>
        <c:ser>
          <c:idx val="3"/>
          <c:order val="1"/>
          <c:tx>
            <c:strRef>
              <c:f>'21_g'!$B$40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'21_g'!$C$37:$N$37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'21_g'!$C$40:$N$40</c:f>
              <c:numCache>
                <c:formatCode>#,##0_ ;\-#,##0\ </c:formatCode>
                <c:ptCount val="12"/>
                <c:pt idx="0">
                  <c:v>1.5609756097560972</c:v>
                </c:pt>
                <c:pt idx="1">
                  <c:v>3.1219512195121943</c:v>
                </c:pt>
                <c:pt idx="2">
                  <c:v>5.8536585365853648</c:v>
                </c:pt>
                <c:pt idx="3">
                  <c:v>10.341463414634145</c:v>
                </c:pt>
                <c:pt idx="4">
                  <c:v>15.999999999999996</c:v>
                </c:pt>
                <c:pt idx="5">
                  <c:v>20.097560975609753</c:v>
                </c:pt>
                <c:pt idx="6">
                  <c:v>24.195121951219509</c:v>
                </c:pt>
                <c:pt idx="7">
                  <c:v>28.878048780487802</c:v>
                </c:pt>
                <c:pt idx="8">
                  <c:v>31.609756097560972</c:v>
                </c:pt>
                <c:pt idx="9">
                  <c:v>33.365853658536579</c:v>
                </c:pt>
                <c:pt idx="10">
                  <c:v>35.317073170731703</c:v>
                </c:pt>
                <c:pt idx="11">
                  <c:v>39.999999999999993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09600"/>
        <c:axId val="253119296"/>
      </c:lineChart>
      <c:catAx>
        <c:axId val="2532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119296"/>
        <c:crosses val="autoZero"/>
        <c:auto val="1"/>
        <c:lblAlgn val="ctr"/>
        <c:lblOffset val="100"/>
        <c:noMultiLvlLbl val="0"/>
      </c:catAx>
      <c:valAx>
        <c:axId val="2531192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2096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'21_g'!$AI$18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'21_g'!$AJ$16:$AU$16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'21_g'!$AJ$18:$AU$18</c:f>
              <c:numCache>
                <c:formatCode>#,##0.000_ ;\-#,##0.000\ </c:formatCode>
                <c:ptCount val="12"/>
                <c:pt idx="0">
                  <c:v>1.332E-2</c:v>
                </c:pt>
                <c:pt idx="1">
                  <c:v>1.3984999999999999E-2</c:v>
                </c:pt>
                <c:pt idx="2">
                  <c:v>1.4978999999999999E-2</c:v>
                </c:pt>
                <c:pt idx="3">
                  <c:v>1.4609E-2</c:v>
                </c:pt>
                <c:pt idx="4">
                  <c:v>1.3882E-2</c:v>
                </c:pt>
                <c:pt idx="5">
                  <c:v>1.4596E-2</c:v>
                </c:pt>
                <c:pt idx="6">
                  <c:v>1.9675999999999999E-2</c:v>
                </c:pt>
                <c:pt idx="7">
                  <c:v>2.1694000000000001E-2</c:v>
                </c:pt>
                <c:pt idx="8">
                  <c:v>1.9997999999999998E-2</c:v>
                </c:pt>
                <c:pt idx="9">
                  <c:v>1.4822E-2</c:v>
                </c:pt>
                <c:pt idx="10">
                  <c:v>1.4978E-2</c:v>
                </c:pt>
                <c:pt idx="11">
                  <c:v>1.6389999999999998E-2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'21_g'!$AI$19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'21_g'!$AJ$16:$AU$16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'21_g'!$AJ$19:$AU$19</c:f>
              <c:numCache>
                <c:formatCode>#,##0.000_ ;\-#,##0.000\ </c:formatCode>
                <c:ptCount val="12"/>
                <c:pt idx="0">
                  <c:v>1.3631000000000001E-2</c:v>
                </c:pt>
                <c:pt idx="1">
                  <c:v>1.5637000000000002E-2</c:v>
                </c:pt>
                <c:pt idx="2">
                  <c:v>1.4796999999999999E-2</c:v>
                </c:pt>
                <c:pt idx="3">
                  <c:v>1.5474E-2</c:v>
                </c:pt>
                <c:pt idx="4">
                  <c:v>1.4754E-2</c:v>
                </c:pt>
                <c:pt idx="5">
                  <c:v>1.5386E-2</c:v>
                </c:pt>
                <c:pt idx="6">
                  <c:v>2.0004999999999998E-2</c:v>
                </c:pt>
                <c:pt idx="7">
                  <c:v>1.9585000000000002E-2</c:v>
                </c:pt>
                <c:pt idx="8">
                  <c:v>1.9292E-2</c:v>
                </c:pt>
                <c:pt idx="9">
                  <c:v>1.7606E-2</c:v>
                </c:pt>
                <c:pt idx="10">
                  <c:v>1.6618999999999998E-2</c:v>
                </c:pt>
                <c:pt idx="11">
                  <c:v>1.6653999999999999E-2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'21_g'!$AI$20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'21_g'!$AJ$16:$AU$16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'21_g'!$AJ$20:$AU$20</c:f>
              <c:numCache>
                <c:formatCode>#,##0.000_ ;\-#,##0.000\ </c:formatCode>
                <c:ptCount val="12"/>
                <c:pt idx="0">
                  <c:v>1.5394E-2</c:v>
                </c:pt>
                <c:pt idx="1">
                  <c:v>1.5424999999999999E-2</c:v>
                </c:pt>
                <c:pt idx="2">
                  <c:v>1.4383999999999999E-2</c:v>
                </c:pt>
                <c:pt idx="3">
                  <c:v>1.5949999999999999E-2</c:v>
                </c:pt>
                <c:pt idx="4">
                  <c:v>1.5245E-2</c:v>
                </c:pt>
                <c:pt idx="5">
                  <c:v>1.5461000000000001E-2</c:v>
                </c:pt>
                <c:pt idx="6">
                  <c:v>2.1388999999999998E-2</c:v>
                </c:pt>
                <c:pt idx="7">
                  <c:v>1.9012999999999999E-2</c:v>
                </c:pt>
                <c:pt idx="8">
                  <c:v>1.7194999999999998E-2</c:v>
                </c:pt>
                <c:pt idx="9">
                  <c:v>1.6733000000000001E-2</c:v>
                </c:pt>
                <c:pt idx="10">
                  <c:v>1.6348000000000001E-2</c:v>
                </c:pt>
                <c:pt idx="11">
                  <c:v>1.6938999999999999E-2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10112"/>
        <c:axId val="253121600"/>
      </c:lineChart>
      <c:catAx>
        <c:axId val="2532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121600"/>
        <c:crosses val="autoZero"/>
        <c:auto val="1"/>
        <c:lblAlgn val="ctr"/>
        <c:lblOffset val="100"/>
        <c:noMultiLvlLbl val="0"/>
      </c:catAx>
      <c:valAx>
        <c:axId val="2531216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9044762518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2101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833734373"/>
          <c:y val="2.2161373086791118E-2"/>
          <c:w val="0.3512889511479644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'21_g'!$AJ$39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'21_g'!$AK$39:$AV$39</c:f>
              <c:numCache>
                <c:formatCode>#,##0.000_ ;\-#,##0.000\ </c:formatCode>
                <c:ptCount val="12"/>
                <c:pt idx="0">
                  <c:v>1.332E-2</c:v>
                </c:pt>
                <c:pt idx="1">
                  <c:v>2.7304999999999999E-2</c:v>
                </c:pt>
                <c:pt idx="2">
                  <c:v>4.2284000000000002E-2</c:v>
                </c:pt>
                <c:pt idx="3">
                  <c:v>5.6892999999999999E-2</c:v>
                </c:pt>
                <c:pt idx="4">
                  <c:v>7.0775000000000005E-2</c:v>
                </c:pt>
                <c:pt idx="5">
                  <c:v>8.5371000000000002E-2</c:v>
                </c:pt>
                <c:pt idx="6">
                  <c:v>0.105047</c:v>
                </c:pt>
                <c:pt idx="7">
                  <c:v>0.12674099999999999</c:v>
                </c:pt>
                <c:pt idx="8">
                  <c:v>0.14673899999999998</c:v>
                </c:pt>
                <c:pt idx="9">
                  <c:v>0.16156099999999998</c:v>
                </c:pt>
                <c:pt idx="10">
                  <c:v>0.17653899999999997</c:v>
                </c:pt>
                <c:pt idx="11">
                  <c:v>0.19292899999999996</c:v>
                </c:pt>
              </c:numCache>
            </c:numRef>
          </c:val>
        </c:ser>
        <c:ser>
          <c:idx val="0"/>
          <c:order val="2"/>
          <c:tx>
            <c:strRef>
              <c:f>'21_g'!$AJ$41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'21_g'!$AK$41:$AV$41</c:f>
              <c:numCache>
                <c:formatCode>#,##0.000_ ;\-#,##0.000\ </c:formatCode>
                <c:ptCount val="12"/>
                <c:pt idx="0">
                  <c:v>1.5394E-2</c:v>
                </c:pt>
                <c:pt idx="1">
                  <c:v>3.0818999999999999E-2</c:v>
                </c:pt>
                <c:pt idx="2">
                  <c:v>4.5203E-2</c:v>
                </c:pt>
                <c:pt idx="3">
                  <c:v>6.1152999999999999E-2</c:v>
                </c:pt>
                <c:pt idx="4">
                  <c:v>7.6397999999999994E-2</c:v>
                </c:pt>
                <c:pt idx="5">
                  <c:v>9.1858999999999996E-2</c:v>
                </c:pt>
                <c:pt idx="6">
                  <c:v>0.11324799999999999</c:v>
                </c:pt>
                <c:pt idx="7">
                  <c:v>0.13226099999999999</c:v>
                </c:pt>
                <c:pt idx="8">
                  <c:v>0.14945599999999998</c:v>
                </c:pt>
                <c:pt idx="9">
                  <c:v>0.16618899999999998</c:v>
                </c:pt>
                <c:pt idx="10">
                  <c:v>0.18253699999999998</c:v>
                </c:pt>
                <c:pt idx="11">
                  <c:v>0.19947599999999999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3267968"/>
        <c:axId val="253123904"/>
      </c:barChart>
      <c:lineChart>
        <c:grouping val="standard"/>
        <c:varyColors val="0"/>
        <c:ser>
          <c:idx val="3"/>
          <c:order val="1"/>
          <c:tx>
            <c:strRef>
              <c:f>'21_g'!$AJ$40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'21_g'!$AK$37:$AV$37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'21_g'!$AK$40:$AV$40</c:f>
              <c:numCache>
                <c:formatCode>#,##0.000_ ;\-#,##0.000\ </c:formatCode>
                <c:ptCount val="12"/>
                <c:pt idx="0">
                  <c:v>1.3631000000000001E-2</c:v>
                </c:pt>
                <c:pt idx="1">
                  <c:v>2.9268000000000002E-2</c:v>
                </c:pt>
                <c:pt idx="2">
                  <c:v>4.4065E-2</c:v>
                </c:pt>
                <c:pt idx="3">
                  <c:v>5.9539000000000002E-2</c:v>
                </c:pt>
                <c:pt idx="4">
                  <c:v>7.4292999999999998E-2</c:v>
                </c:pt>
                <c:pt idx="5">
                  <c:v>8.9678999999999995E-2</c:v>
                </c:pt>
                <c:pt idx="6">
                  <c:v>0.10968399999999999</c:v>
                </c:pt>
                <c:pt idx="7">
                  <c:v>0.129269</c:v>
                </c:pt>
                <c:pt idx="8">
                  <c:v>0.148561</c:v>
                </c:pt>
                <c:pt idx="9">
                  <c:v>0.16616700000000001</c:v>
                </c:pt>
                <c:pt idx="10">
                  <c:v>0.182786</c:v>
                </c:pt>
                <c:pt idx="11">
                  <c:v>0.19944000000000001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67968"/>
        <c:axId val="253123904"/>
      </c:lineChart>
      <c:catAx>
        <c:axId val="25326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123904"/>
        <c:crosses val="autoZero"/>
        <c:auto val="1"/>
        <c:lblAlgn val="ctr"/>
        <c:lblOffset val="100"/>
        <c:noMultiLvlLbl val="0"/>
      </c:catAx>
      <c:valAx>
        <c:axId val="2531239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73193151143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2679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39916729384"/>
          <c:y val="2.2161373086791118E-2"/>
          <c:w val="0.33180960083270616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'21_g'!$AY$18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'21_g'!$AZ$16:$BK$16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'21_g'!$AZ$18:$BK$18</c:f>
              <c:numCache>
                <c:formatCode>#,##0.000_ ;\-#,##0.000\ </c:formatCode>
                <c:ptCount val="12"/>
                <c:pt idx="0">
                  <c:v>4.3899999999999998E-3</c:v>
                </c:pt>
                <c:pt idx="1">
                  <c:v>4.5250000000000004E-3</c:v>
                </c:pt>
                <c:pt idx="2">
                  <c:v>4.8260000000000004E-3</c:v>
                </c:pt>
                <c:pt idx="3">
                  <c:v>4.7159999999999997E-3</c:v>
                </c:pt>
                <c:pt idx="4">
                  <c:v>4.5799999999999999E-3</c:v>
                </c:pt>
                <c:pt idx="5">
                  <c:v>4.8840000000000003E-3</c:v>
                </c:pt>
                <c:pt idx="6">
                  <c:v>6.1659999999999996E-3</c:v>
                </c:pt>
                <c:pt idx="7">
                  <c:v>6.4559999999999999E-3</c:v>
                </c:pt>
                <c:pt idx="8">
                  <c:v>5.9020000000000001E-3</c:v>
                </c:pt>
                <c:pt idx="9">
                  <c:v>4.1780000000000003E-3</c:v>
                </c:pt>
                <c:pt idx="10">
                  <c:v>4.1320000000000003E-3</c:v>
                </c:pt>
                <c:pt idx="11">
                  <c:v>4.4099999999999999E-3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'21_g'!$AY$19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'21_g'!$AZ$16:$BK$16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'21_g'!$AZ$19:$BK$19</c:f>
              <c:numCache>
                <c:formatCode>#,##0.000_ ;\-#,##0.000\ </c:formatCode>
                <c:ptCount val="12"/>
                <c:pt idx="0">
                  <c:v>4.3940000000000003E-3</c:v>
                </c:pt>
                <c:pt idx="1">
                  <c:v>4.862E-3</c:v>
                </c:pt>
                <c:pt idx="2">
                  <c:v>4.627E-3</c:v>
                </c:pt>
                <c:pt idx="3">
                  <c:v>4.8719999999999996E-3</c:v>
                </c:pt>
                <c:pt idx="4">
                  <c:v>4.6210000000000001E-3</c:v>
                </c:pt>
                <c:pt idx="5">
                  <c:v>4.8180000000000002E-3</c:v>
                </c:pt>
                <c:pt idx="6">
                  <c:v>5.9820000000000003E-3</c:v>
                </c:pt>
                <c:pt idx="7">
                  <c:v>5.6270000000000001E-3</c:v>
                </c:pt>
                <c:pt idx="8">
                  <c:v>5.4980000000000003E-3</c:v>
                </c:pt>
                <c:pt idx="9">
                  <c:v>4.9870000000000001E-3</c:v>
                </c:pt>
                <c:pt idx="10">
                  <c:v>4.6430000000000004E-3</c:v>
                </c:pt>
                <c:pt idx="11">
                  <c:v>4.6389999999999999E-3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'21_g'!$AY$20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'21_g'!$AZ$16:$BK$16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'21_g'!$AZ$20:$BK$20</c:f>
              <c:numCache>
                <c:formatCode>#,##0.000_ ;\-#,##0.000\ </c:formatCode>
                <c:ptCount val="12"/>
                <c:pt idx="0">
                  <c:v>4.4060000000000002E-3</c:v>
                </c:pt>
                <c:pt idx="1">
                  <c:v>4.4250000000000001E-3</c:v>
                </c:pt>
                <c:pt idx="2">
                  <c:v>4.346E-3</c:v>
                </c:pt>
                <c:pt idx="3">
                  <c:v>4.6299999999999996E-3</c:v>
                </c:pt>
                <c:pt idx="4">
                  <c:v>4.5050000000000003E-3</c:v>
                </c:pt>
                <c:pt idx="5">
                  <c:v>4.8890000000000001E-3</c:v>
                </c:pt>
                <c:pt idx="6">
                  <c:v>7.4110000000000001E-3</c:v>
                </c:pt>
                <c:pt idx="7">
                  <c:v>6.6280000000000002E-3</c:v>
                </c:pt>
                <c:pt idx="8">
                  <c:v>5.855E-3</c:v>
                </c:pt>
                <c:pt idx="9">
                  <c:v>5.6670000000000002E-3</c:v>
                </c:pt>
                <c:pt idx="10">
                  <c:v>5.2519999999999997E-3</c:v>
                </c:pt>
                <c:pt idx="11">
                  <c:v>5.3610000000000003E-3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69504"/>
        <c:axId val="253691584"/>
      </c:lineChart>
      <c:catAx>
        <c:axId val="25326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691584"/>
        <c:crosses val="autoZero"/>
        <c:auto val="1"/>
        <c:lblAlgn val="ctr"/>
        <c:lblOffset val="100"/>
        <c:noMultiLvlLbl val="0"/>
      </c:catAx>
      <c:valAx>
        <c:axId val="2536915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78424866704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2695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1112926924"/>
          <c:y val="2.2161373086791118E-2"/>
          <c:w val="0.3530097888707307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'21_g'!$AY$39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'21_g'!$AZ$37:$BO$37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'21_g'!$AZ$39:$BO$39</c:f>
              <c:numCache>
                <c:formatCode>_(* #,##0.00_);_(* \(#,##0.00\);_(* "-"??_);_(@_)</c:formatCode>
                <c:ptCount val="16"/>
                <c:pt idx="0">
                  <c:v>24.788255223037829</c:v>
                </c:pt>
                <c:pt idx="1">
                  <c:v>24.4462452728255</c:v>
                </c:pt>
                <c:pt idx="2">
                  <c:v>24.367583943448622</c:v>
                </c:pt>
                <c:pt idx="3">
                  <c:v>24.526550647032575</c:v>
                </c:pt>
                <c:pt idx="4">
                  <c:v>24.403622250970248</c:v>
                </c:pt>
                <c:pt idx="5">
                  <c:v>24.80771314050482</c:v>
                </c:pt>
                <c:pt idx="6">
                  <c:v>25.071868583162214</c:v>
                </c:pt>
                <c:pt idx="7">
                  <c:v>24.645164707128483</c:v>
                </c:pt>
                <c:pt idx="8">
                  <c:v>23.843774168600156</c:v>
                </c:pt>
                <c:pt idx="9">
                  <c:v>22.934280639431616</c:v>
                </c:pt>
                <c:pt idx="10">
                  <c:v>22.787644787644787</c:v>
                </c:pt>
                <c:pt idx="11">
                  <c:v>24.039606215256569</c:v>
                </c:pt>
                <c:pt idx="12">
                  <c:v>21.989473684210527</c:v>
                </c:pt>
                <c:pt idx="13">
                  <c:v>21.622187336473051</c:v>
                </c:pt>
                <c:pt idx="14">
                  <c:v>21.201923076923077</c:v>
                </c:pt>
                <c:pt idx="15">
                  <c:v>23.467744494510377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'21_g'!$AY$40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'21_g'!$AZ$37:$BO$37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'21_g'!$AZ$40:$BO$40</c:f>
              <c:numCache>
                <c:formatCode>_(* #,##0.00_);_(* \(#,##0.00\);_(* "-"??_);_(@_)</c:formatCode>
                <c:ptCount val="16"/>
                <c:pt idx="0">
                  <c:v>22.999112003397553</c:v>
                </c:pt>
                <c:pt idx="1">
                  <c:v>22.999112003397553</c:v>
                </c:pt>
                <c:pt idx="2">
                  <c:v>22.999112003397553</c:v>
                </c:pt>
                <c:pt idx="3">
                  <c:v>22.999112003397553</c:v>
                </c:pt>
                <c:pt idx="4">
                  <c:v>22.999112003397553</c:v>
                </c:pt>
                <c:pt idx="5">
                  <c:v>22.999112003397553</c:v>
                </c:pt>
                <c:pt idx="6">
                  <c:v>22.999112003397553</c:v>
                </c:pt>
                <c:pt idx="7">
                  <c:v>22.999112003397553</c:v>
                </c:pt>
                <c:pt idx="8">
                  <c:v>22.999112003397553</c:v>
                </c:pt>
                <c:pt idx="9">
                  <c:v>22.999112003397553</c:v>
                </c:pt>
                <c:pt idx="10">
                  <c:v>22.999112003397553</c:v>
                </c:pt>
                <c:pt idx="11">
                  <c:v>22.999112003397553</c:v>
                </c:pt>
                <c:pt idx="12">
                  <c:v>22.999112003397553</c:v>
                </c:pt>
                <c:pt idx="13">
                  <c:v>22.999112003397553</c:v>
                </c:pt>
                <c:pt idx="14">
                  <c:v>22.999112003397553</c:v>
                </c:pt>
                <c:pt idx="15">
                  <c:v>22.999112003397553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'21_g'!$AY$41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'21_g'!$AZ$37:$BO$37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'21_g'!$AZ$41:$BO$41</c:f>
              <c:numCache>
                <c:formatCode>_(* #,##0.00_);_(* \(#,##0.00\);_(* "-"??_);_(@_)</c:formatCode>
                <c:ptCount val="16"/>
                <c:pt idx="0">
                  <c:v>22.252525252525253</c:v>
                </c:pt>
                <c:pt idx="1">
                  <c:v>22.292191435768263</c:v>
                </c:pt>
                <c:pt idx="2">
                  <c:v>23.203416978109985</c:v>
                </c:pt>
                <c:pt idx="3">
                  <c:v>22.571085988352174</c:v>
                </c:pt>
                <c:pt idx="4">
                  <c:v>22.497570456754129</c:v>
                </c:pt>
                <c:pt idx="5">
                  <c:v>22.810126582278482</c:v>
                </c:pt>
                <c:pt idx="6">
                  <c:v>24.024570024570025</c:v>
                </c:pt>
                <c:pt idx="7">
                  <c:v>22.846463967747354</c:v>
                </c:pt>
                <c:pt idx="8">
                  <c:v>25.732638888888886</c:v>
                </c:pt>
                <c:pt idx="9">
                  <c:v>25.840155945419102</c:v>
                </c:pt>
                <c:pt idx="10">
                  <c:v>25.401301518438181</c:v>
                </c:pt>
                <c:pt idx="11">
                  <c:v>23.959605209605208</c:v>
                </c:pt>
                <c:pt idx="12">
                  <c:v>25.299107142857142</c:v>
                </c:pt>
                <c:pt idx="13">
                  <c:v>24.314814814814813</c:v>
                </c:pt>
                <c:pt idx="14">
                  <c:v>24.04035874439462</c:v>
                </c:pt>
                <c:pt idx="15">
                  <c:v>24.109792284866469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70016"/>
        <c:axId val="253693888"/>
      </c:lineChart>
      <c:catAx>
        <c:axId val="25327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693888"/>
        <c:crosses val="autoZero"/>
        <c:auto val="1"/>
        <c:lblAlgn val="ctr"/>
        <c:lblOffset val="100"/>
        <c:noMultiLvlLbl val="0"/>
      </c:catAx>
      <c:valAx>
        <c:axId val="2536938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7633005492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2700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6509445257"/>
          <c:y val="2.2161373086791118E-2"/>
          <c:w val="0.2830307678864432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'21_g'!$A$64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'21_g'!$B$62:$M$62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'21_g'!$B$64:$M$64</c:f>
              <c:numCache>
                <c:formatCode>#,##0.00_ ;\-#,##0.00\ </c:formatCode>
                <c:ptCount val="12"/>
                <c:pt idx="0">
                  <c:v>0.27400146000000003</c:v>
                </c:pt>
                <c:pt idx="1">
                  <c:v>0.28583059999999999</c:v>
                </c:pt>
                <c:pt idx="2">
                  <c:v>0.31488501999999996</c:v>
                </c:pt>
                <c:pt idx="3">
                  <c:v>0.29579028999999996</c:v>
                </c:pt>
                <c:pt idx="4">
                  <c:v>0.29470255000000006</c:v>
                </c:pt>
                <c:pt idx="5">
                  <c:v>0.31575351000000002</c:v>
                </c:pt>
                <c:pt idx="6">
                  <c:v>0.42450643999999993</c:v>
                </c:pt>
                <c:pt idx="7">
                  <c:v>0.45464505999999999</c:v>
                </c:pt>
                <c:pt idx="8">
                  <c:v>0.40904619999999997</c:v>
                </c:pt>
                <c:pt idx="9">
                  <c:v>0.30923938999999995</c:v>
                </c:pt>
                <c:pt idx="10">
                  <c:v>0.30254153</c:v>
                </c:pt>
                <c:pt idx="11">
                  <c:v>0.35749402999999991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'21_g'!$A$65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'21_g'!$B$62:$M$62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'21_g'!$B$65:$M$65</c:f>
              <c:numCache>
                <c:formatCode>#,##0.00_ ;\-#,##0.00\ </c:formatCode>
                <c:ptCount val="12"/>
                <c:pt idx="0">
                  <c:v>0.28898299999999999</c:v>
                </c:pt>
                <c:pt idx="1">
                  <c:v>0.31544699999999998</c:v>
                </c:pt>
                <c:pt idx="2">
                  <c:v>0.311722</c:v>
                </c:pt>
                <c:pt idx="3">
                  <c:v>0.31923099999999999</c:v>
                </c:pt>
                <c:pt idx="4">
                  <c:v>0.30587300000000001</c:v>
                </c:pt>
                <c:pt idx="5">
                  <c:v>0.31915300000000002</c:v>
                </c:pt>
                <c:pt idx="6">
                  <c:v>0.40540199999999998</c:v>
                </c:pt>
                <c:pt idx="7">
                  <c:v>0.39544200000000002</c:v>
                </c:pt>
                <c:pt idx="8">
                  <c:v>0.39924599999999999</c:v>
                </c:pt>
                <c:pt idx="9">
                  <c:v>0.35936400000000002</c:v>
                </c:pt>
                <c:pt idx="10">
                  <c:v>0.34016099999999999</c:v>
                </c:pt>
                <c:pt idx="11">
                  <c:v>0.34264600000000001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'21_g'!$A$66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'21_g'!$B$62:$M$62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'21_g'!$B$66:$M$66</c:f>
              <c:numCache>
                <c:formatCode>#,##0.00_ ;\-#,##0.00\ </c:formatCode>
                <c:ptCount val="12"/>
                <c:pt idx="0">
                  <c:v>0.32004014000000003</c:v>
                </c:pt>
                <c:pt idx="1">
                  <c:v>0.31536668000000001</c:v>
                </c:pt>
                <c:pt idx="2">
                  <c:v>0.30585413</c:v>
                </c:pt>
                <c:pt idx="3">
                  <c:v>0.34626844000000001</c:v>
                </c:pt>
                <c:pt idx="4">
                  <c:v>0.33090036</c:v>
                </c:pt>
                <c:pt idx="5">
                  <c:v>0.3305787</c:v>
                </c:pt>
                <c:pt idx="6">
                  <c:v>0.42908170000000001</c:v>
                </c:pt>
                <c:pt idx="7">
                  <c:v>0.38064826000000002</c:v>
                </c:pt>
                <c:pt idx="8">
                  <c:v>0.37470166000000005</c:v>
                </c:pt>
                <c:pt idx="9">
                  <c:v>0.35006639000000001</c:v>
                </c:pt>
                <c:pt idx="10">
                  <c:v>0.33752599</c:v>
                </c:pt>
                <c:pt idx="11">
                  <c:v>0.35287771000000001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70528"/>
        <c:axId val="253696192"/>
      </c:lineChart>
      <c:catAx>
        <c:axId val="25327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696192"/>
        <c:crosses val="autoZero"/>
        <c:auto val="1"/>
        <c:lblAlgn val="ctr"/>
        <c:lblOffset val="100"/>
        <c:noMultiLvlLbl val="0"/>
      </c:catAx>
      <c:valAx>
        <c:axId val="2536961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27052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'21_g'!$B$85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'21_g'!$C$85:$N$85</c:f>
              <c:numCache>
                <c:formatCode>#,##0.00_ ;\-#,##0.00\ </c:formatCode>
                <c:ptCount val="12"/>
                <c:pt idx="0">
                  <c:v>0.27400146000000003</c:v>
                </c:pt>
                <c:pt idx="1">
                  <c:v>0.55983205999999996</c:v>
                </c:pt>
                <c:pt idx="2">
                  <c:v>0.87471707999999992</c:v>
                </c:pt>
                <c:pt idx="3">
                  <c:v>1.1705073699999999</c:v>
                </c:pt>
                <c:pt idx="4">
                  <c:v>1.4652099199999999</c:v>
                </c:pt>
                <c:pt idx="5">
                  <c:v>1.7809634299999999</c:v>
                </c:pt>
                <c:pt idx="6">
                  <c:v>2.2054698699999999</c:v>
                </c:pt>
                <c:pt idx="7">
                  <c:v>2.6601149299999998</c:v>
                </c:pt>
                <c:pt idx="8">
                  <c:v>3.0691611299999999</c:v>
                </c:pt>
                <c:pt idx="9">
                  <c:v>3.37840052</c:v>
                </c:pt>
                <c:pt idx="10">
                  <c:v>3.6809420500000001</c:v>
                </c:pt>
                <c:pt idx="11">
                  <c:v>4.0384360800000003</c:v>
                </c:pt>
              </c:numCache>
            </c:numRef>
          </c:val>
        </c:ser>
        <c:ser>
          <c:idx val="0"/>
          <c:order val="2"/>
          <c:tx>
            <c:strRef>
              <c:f>'21_g'!$B$87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'21_g'!$C$87:$N$87</c:f>
              <c:numCache>
                <c:formatCode>#,##0.00_ ;\-#,##0.00\ </c:formatCode>
                <c:ptCount val="12"/>
                <c:pt idx="0">
                  <c:v>0.32004014000000003</c:v>
                </c:pt>
                <c:pt idx="1">
                  <c:v>0.63540682000000004</c:v>
                </c:pt>
                <c:pt idx="2">
                  <c:v>0.94126094999999999</c:v>
                </c:pt>
                <c:pt idx="3">
                  <c:v>1.28752939</c:v>
                </c:pt>
                <c:pt idx="4">
                  <c:v>1.61842975</c:v>
                </c:pt>
                <c:pt idx="5">
                  <c:v>1.94900845</c:v>
                </c:pt>
                <c:pt idx="6">
                  <c:v>2.3780901500000002</c:v>
                </c:pt>
                <c:pt idx="7">
                  <c:v>2.7587384100000003</c:v>
                </c:pt>
                <c:pt idx="8">
                  <c:v>3.1334400700000002</c:v>
                </c:pt>
                <c:pt idx="9">
                  <c:v>3.4835064600000001</c:v>
                </c:pt>
                <c:pt idx="10">
                  <c:v>3.8210324500000001</c:v>
                </c:pt>
                <c:pt idx="11">
                  <c:v>4.1739101600000001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3271040"/>
        <c:axId val="253895232"/>
      </c:barChart>
      <c:lineChart>
        <c:grouping val="standard"/>
        <c:varyColors val="0"/>
        <c:ser>
          <c:idx val="3"/>
          <c:order val="1"/>
          <c:tx>
            <c:strRef>
              <c:f>'21_g'!$B$86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'21_g'!$C$83:$N$83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'21_g'!$C$86:$N$86</c:f>
              <c:numCache>
                <c:formatCode>#,##0.00_ ;\-#,##0.00\ </c:formatCode>
                <c:ptCount val="12"/>
                <c:pt idx="0">
                  <c:v>0.28898299999999999</c:v>
                </c:pt>
                <c:pt idx="1">
                  <c:v>0.60443000000000002</c:v>
                </c:pt>
                <c:pt idx="2">
                  <c:v>0.91615200000000008</c:v>
                </c:pt>
                <c:pt idx="3">
                  <c:v>1.2353830000000001</c:v>
                </c:pt>
                <c:pt idx="4">
                  <c:v>1.5412560000000002</c:v>
                </c:pt>
                <c:pt idx="5">
                  <c:v>1.8604090000000002</c:v>
                </c:pt>
                <c:pt idx="6">
                  <c:v>2.2658110000000002</c:v>
                </c:pt>
                <c:pt idx="7">
                  <c:v>2.6612530000000003</c:v>
                </c:pt>
                <c:pt idx="8">
                  <c:v>3.0604990000000001</c:v>
                </c:pt>
                <c:pt idx="9">
                  <c:v>3.4198630000000003</c:v>
                </c:pt>
                <c:pt idx="10">
                  <c:v>3.7600240000000005</c:v>
                </c:pt>
                <c:pt idx="11">
                  <c:v>4.1026700000000007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71040"/>
        <c:axId val="253895232"/>
      </c:lineChart>
      <c:catAx>
        <c:axId val="25327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895232"/>
        <c:crosses val="autoZero"/>
        <c:auto val="1"/>
        <c:lblAlgn val="ctr"/>
        <c:lblOffset val="100"/>
        <c:noMultiLvlLbl val="0"/>
      </c:catAx>
      <c:valAx>
        <c:axId val="2538952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2710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'21_g'!$S$64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'21_g'!$T$62:$AE$62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'21_g'!$T$64:$AE$64</c:f>
              <c:numCache>
                <c:formatCode>#,##0.00_ ;\-#,##0.00\ </c:formatCode>
                <c:ptCount val="12"/>
                <c:pt idx="0">
                  <c:v>0.36397334999999997</c:v>
                </c:pt>
                <c:pt idx="1">
                  <c:v>0.48737103000000004</c:v>
                </c:pt>
                <c:pt idx="2">
                  <c:v>0.41725390999999995</c:v>
                </c:pt>
                <c:pt idx="3">
                  <c:v>0.38719904999999999</c:v>
                </c:pt>
                <c:pt idx="4">
                  <c:v>0.38970068999999996</c:v>
                </c:pt>
                <c:pt idx="5">
                  <c:v>0.41612479999999996</c:v>
                </c:pt>
                <c:pt idx="6">
                  <c:v>0.36057385999999997</c:v>
                </c:pt>
                <c:pt idx="7">
                  <c:v>0.34982587999999998</c:v>
                </c:pt>
                <c:pt idx="8">
                  <c:v>0.42294643000000004</c:v>
                </c:pt>
                <c:pt idx="9">
                  <c:v>0.38620521000000002</c:v>
                </c:pt>
                <c:pt idx="10">
                  <c:v>0.38803984000000002</c:v>
                </c:pt>
                <c:pt idx="11">
                  <c:v>0.41429508000000004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'21_g'!$S$65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'21_g'!$T$62:$AE$62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'21_g'!$T$65:$AE$65</c:f>
              <c:numCache>
                <c:formatCode>#,##0.00_ ;\-#,##0.00\ </c:formatCode>
                <c:ptCount val="12"/>
                <c:pt idx="0">
                  <c:v>0.33571899999999999</c:v>
                </c:pt>
                <c:pt idx="1">
                  <c:v>0.57530000000000003</c:v>
                </c:pt>
                <c:pt idx="2">
                  <c:v>0.394592</c:v>
                </c:pt>
                <c:pt idx="3">
                  <c:v>0.36883500000000002</c:v>
                </c:pt>
                <c:pt idx="4">
                  <c:v>0.39964499999999997</c:v>
                </c:pt>
                <c:pt idx="5">
                  <c:v>0.39297900000000002</c:v>
                </c:pt>
                <c:pt idx="6">
                  <c:v>0.34385500000000002</c:v>
                </c:pt>
                <c:pt idx="7">
                  <c:v>0.35621399999999998</c:v>
                </c:pt>
                <c:pt idx="8">
                  <c:v>0.39479500000000001</c:v>
                </c:pt>
                <c:pt idx="9">
                  <c:v>0.367844</c:v>
                </c:pt>
                <c:pt idx="10">
                  <c:v>0.40697100000000003</c:v>
                </c:pt>
                <c:pt idx="11">
                  <c:v>0.41926200000000002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'21_g'!$S$66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'21_g'!$T$62:$AE$62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'21_g'!$T$66:$AE$66</c:f>
              <c:numCache>
                <c:formatCode>#,##0.00_ ;\-#,##0.00\ </c:formatCode>
                <c:ptCount val="12"/>
                <c:pt idx="0">
                  <c:v>0.29691940999999999</c:v>
                </c:pt>
                <c:pt idx="1">
                  <c:v>0.29194260999999999</c:v>
                </c:pt>
                <c:pt idx="2">
                  <c:v>0.46194679</c:v>
                </c:pt>
                <c:pt idx="3">
                  <c:v>0.29239462999999993</c:v>
                </c:pt>
                <c:pt idx="4">
                  <c:v>0.33233063000000002</c:v>
                </c:pt>
                <c:pt idx="5">
                  <c:v>0.38847378999999999</c:v>
                </c:pt>
                <c:pt idx="6">
                  <c:v>0.38975214000000002</c:v>
                </c:pt>
                <c:pt idx="7">
                  <c:v>0.39856014999999995</c:v>
                </c:pt>
                <c:pt idx="8">
                  <c:v>0.36807790000000001</c:v>
                </c:pt>
                <c:pt idx="9">
                  <c:v>0.37191096999999995</c:v>
                </c:pt>
                <c:pt idx="10">
                  <c:v>0.38370525999999994</c:v>
                </c:pt>
                <c:pt idx="11">
                  <c:v>0.48950298999999997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71552"/>
        <c:axId val="253897536"/>
      </c:lineChart>
      <c:catAx>
        <c:axId val="25327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897536"/>
        <c:crosses val="autoZero"/>
        <c:auto val="1"/>
        <c:lblAlgn val="ctr"/>
        <c:lblOffset val="100"/>
        <c:noMultiLvlLbl val="0"/>
      </c:catAx>
      <c:valAx>
        <c:axId val="2538975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2715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'21_g'!$T$85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'21_g'!$U$85:$AF$85</c:f>
              <c:numCache>
                <c:formatCode>#,##0.00_ ;\-#,##0.00\ </c:formatCode>
                <c:ptCount val="12"/>
                <c:pt idx="0">
                  <c:v>0.36397334999999997</c:v>
                </c:pt>
                <c:pt idx="1">
                  <c:v>0.85134438000000001</c:v>
                </c:pt>
                <c:pt idx="2">
                  <c:v>1.2685982899999999</c:v>
                </c:pt>
                <c:pt idx="3">
                  <c:v>1.6557973399999999</c:v>
                </c:pt>
                <c:pt idx="4">
                  <c:v>2.0454980300000001</c:v>
                </c:pt>
                <c:pt idx="5">
                  <c:v>2.46162283</c:v>
                </c:pt>
                <c:pt idx="6">
                  <c:v>2.8221966900000002</c:v>
                </c:pt>
                <c:pt idx="7">
                  <c:v>3.1720225700000002</c:v>
                </c:pt>
                <c:pt idx="8">
                  <c:v>3.5949690000000003</c:v>
                </c:pt>
                <c:pt idx="9">
                  <c:v>3.9811742100000003</c:v>
                </c:pt>
                <c:pt idx="10">
                  <c:v>4.3692140500000001</c:v>
                </c:pt>
                <c:pt idx="11">
                  <c:v>4.7835091300000006</c:v>
                </c:pt>
              </c:numCache>
            </c:numRef>
          </c:val>
        </c:ser>
        <c:ser>
          <c:idx val="0"/>
          <c:order val="2"/>
          <c:tx>
            <c:strRef>
              <c:f>'21_g'!$T$87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'21_g'!$U$87:$AF$87</c:f>
              <c:numCache>
                <c:formatCode>#,##0.00_ ;\-#,##0.00\ </c:formatCode>
                <c:ptCount val="12"/>
                <c:pt idx="0">
                  <c:v>0.29691940999999999</c:v>
                </c:pt>
                <c:pt idx="1">
                  <c:v>0.58886201999999999</c:v>
                </c:pt>
                <c:pt idx="2">
                  <c:v>1.0508088099999999</c:v>
                </c:pt>
                <c:pt idx="3">
                  <c:v>1.3432034399999999</c:v>
                </c:pt>
                <c:pt idx="4">
                  <c:v>1.6755340699999999</c:v>
                </c:pt>
                <c:pt idx="5">
                  <c:v>2.0640078599999998</c:v>
                </c:pt>
                <c:pt idx="6">
                  <c:v>2.4537599999999999</c:v>
                </c:pt>
                <c:pt idx="7">
                  <c:v>2.8523201499999997</c:v>
                </c:pt>
                <c:pt idx="8">
                  <c:v>3.2203980499999996</c:v>
                </c:pt>
                <c:pt idx="9">
                  <c:v>3.5923090199999996</c:v>
                </c:pt>
                <c:pt idx="10">
                  <c:v>3.9760142799999993</c:v>
                </c:pt>
                <c:pt idx="11">
                  <c:v>4.4655172699999994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4345216"/>
        <c:axId val="253899840"/>
      </c:barChart>
      <c:lineChart>
        <c:grouping val="standard"/>
        <c:varyColors val="0"/>
        <c:ser>
          <c:idx val="3"/>
          <c:order val="1"/>
          <c:tx>
            <c:strRef>
              <c:f>'21_g'!$T$86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'21_g'!$U$83:$AF$83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'21_g'!$U$86:$AF$86</c:f>
              <c:numCache>
                <c:formatCode>#,##0.00_ ;\-#,##0.00\ </c:formatCode>
                <c:ptCount val="12"/>
                <c:pt idx="0">
                  <c:v>0.33571899999999999</c:v>
                </c:pt>
                <c:pt idx="1">
                  <c:v>0.91101900000000002</c:v>
                </c:pt>
                <c:pt idx="2">
                  <c:v>1.3056110000000001</c:v>
                </c:pt>
                <c:pt idx="3">
                  <c:v>1.6744460000000001</c:v>
                </c:pt>
                <c:pt idx="4">
                  <c:v>2.0740910000000001</c:v>
                </c:pt>
                <c:pt idx="5">
                  <c:v>2.4670700000000001</c:v>
                </c:pt>
                <c:pt idx="6">
                  <c:v>2.8109250000000001</c:v>
                </c:pt>
                <c:pt idx="7">
                  <c:v>3.1671390000000001</c:v>
                </c:pt>
                <c:pt idx="8">
                  <c:v>3.5619339999999999</c:v>
                </c:pt>
                <c:pt idx="9">
                  <c:v>3.9297779999999998</c:v>
                </c:pt>
                <c:pt idx="10">
                  <c:v>4.3367490000000002</c:v>
                </c:pt>
                <c:pt idx="11">
                  <c:v>4.756011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345216"/>
        <c:axId val="253899840"/>
      </c:lineChart>
      <c:catAx>
        <c:axId val="2543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899840"/>
        <c:crosses val="autoZero"/>
        <c:auto val="1"/>
        <c:lblAlgn val="ctr"/>
        <c:lblOffset val="100"/>
        <c:noMultiLvlLbl val="0"/>
      </c:catAx>
      <c:valAx>
        <c:axId val="2538998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3452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('11'!$A$9,'11'!$A$13,'11'!$A$17)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('11'!$H$9,'11'!$H$13,'11'!$H$17)</c:f>
              <c:numCache>
                <c:formatCode>_(* #,##0.00_);_(* \(#,##0.00\);_(* "-"??_);_(@_)</c:formatCode>
                <c:ptCount val="3"/>
                <c:pt idx="0">
                  <c:v>15.69181</c:v>
                </c:pt>
                <c:pt idx="1">
                  <c:v>8.7077270000000002</c:v>
                </c:pt>
                <c:pt idx="2">
                  <c:v>9.4888180000000002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'21_g'!$AI$64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'21_g'!$AJ$62:$AU$62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'21_g'!$AJ$64:$AU$64</c:f>
              <c:numCache>
                <c:formatCode>#,##0.00_ ;\-#,##0.00\ </c:formatCode>
                <c:ptCount val="12"/>
                <c:pt idx="0">
                  <c:v>-8.9971889999999943E-2</c:v>
                </c:pt>
                <c:pt idx="1">
                  <c:v>-0.20154043000000005</c:v>
                </c:pt>
                <c:pt idx="2">
                  <c:v>-0.10236888999999999</c:v>
                </c:pt>
                <c:pt idx="3">
                  <c:v>-9.1408760000000033E-2</c:v>
                </c:pt>
                <c:pt idx="4">
                  <c:v>-9.4998139999999898E-2</c:v>
                </c:pt>
                <c:pt idx="5">
                  <c:v>-0.10037128999999995</c:v>
                </c:pt>
                <c:pt idx="6">
                  <c:v>6.3932579999999961E-2</c:v>
                </c:pt>
                <c:pt idx="7">
                  <c:v>0.10481918000000001</c:v>
                </c:pt>
                <c:pt idx="8">
                  <c:v>-1.3900230000000069E-2</c:v>
                </c:pt>
                <c:pt idx="9">
                  <c:v>-7.6965820000000074E-2</c:v>
                </c:pt>
                <c:pt idx="10">
                  <c:v>-8.5498310000000022E-2</c:v>
                </c:pt>
                <c:pt idx="11">
                  <c:v>-5.6801050000000131E-2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'21_g'!$AI$65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'21_g'!$AJ$62:$AU$62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'21_g'!$AJ$65:$AU$65</c:f>
              <c:numCache>
                <c:formatCode>#,##0.00_ ;\-#,##0.00\ </c:formatCode>
                <c:ptCount val="12"/>
                <c:pt idx="0">
                  <c:v>-4.6736E-2</c:v>
                </c:pt>
                <c:pt idx="1">
                  <c:v>-0.25985300000000006</c:v>
                </c:pt>
                <c:pt idx="2">
                  <c:v>-8.2869999999999999E-2</c:v>
                </c:pt>
                <c:pt idx="3">
                  <c:v>-4.9604000000000037E-2</c:v>
                </c:pt>
                <c:pt idx="4">
                  <c:v>-9.3771999999999966E-2</c:v>
                </c:pt>
                <c:pt idx="5">
                  <c:v>-7.3826000000000003E-2</c:v>
                </c:pt>
                <c:pt idx="6">
                  <c:v>6.1546999999999963E-2</c:v>
                </c:pt>
                <c:pt idx="7">
                  <c:v>3.9228000000000041E-2</c:v>
                </c:pt>
                <c:pt idx="8">
                  <c:v>4.4509999999999827E-3</c:v>
                </c:pt>
                <c:pt idx="9">
                  <c:v>-8.4799999999999875E-3</c:v>
                </c:pt>
                <c:pt idx="10">
                  <c:v>-6.6810000000000036E-2</c:v>
                </c:pt>
                <c:pt idx="11">
                  <c:v>-7.6616000000000017E-2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'21_g'!$AI$66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'21_g'!$AJ$62:$AU$62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'21_g'!$AJ$66:$AU$66</c:f>
              <c:numCache>
                <c:formatCode>#,##0.00_ ;\-#,##0.00\ </c:formatCode>
                <c:ptCount val="12"/>
                <c:pt idx="0">
                  <c:v>2.3120730000000034E-2</c:v>
                </c:pt>
                <c:pt idx="1">
                  <c:v>2.3424070000000019E-2</c:v>
                </c:pt>
                <c:pt idx="2">
                  <c:v>-0.15609265999999999</c:v>
                </c:pt>
                <c:pt idx="3">
                  <c:v>5.3873810000000077E-2</c:v>
                </c:pt>
                <c:pt idx="4">
                  <c:v>-1.4302700000000113E-3</c:v>
                </c:pt>
                <c:pt idx="5">
                  <c:v>-5.7895089999999982E-2</c:v>
                </c:pt>
                <c:pt idx="6">
                  <c:v>3.9329559999999986E-2</c:v>
                </c:pt>
                <c:pt idx="7">
                  <c:v>-1.791188999999993E-2</c:v>
                </c:pt>
                <c:pt idx="8">
                  <c:v>6.6237600000000341E-3</c:v>
                </c:pt>
                <c:pt idx="9">
                  <c:v>-2.1844579999999947E-2</c:v>
                </c:pt>
                <c:pt idx="10">
                  <c:v>-4.6179269999999939E-2</c:v>
                </c:pt>
                <c:pt idx="11">
                  <c:v>-0.13662527999999996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346240"/>
        <c:axId val="253902144"/>
      </c:lineChart>
      <c:catAx>
        <c:axId val="25434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902144"/>
        <c:crosses val="autoZero"/>
        <c:auto val="1"/>
        <c:lblAlgn val="ctr"/>
        <c:lblOffset val="100"/>
        <c:noMultiLvlLbl val="0"/>
      </c:catAx>
      <c:valAx>
        <c:axId val="2539021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300805348049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3462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2670510204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'21_g'!$AJ$85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'21_g'!$AK$85:$AV$85</c:f>
              <c:numCache>
                <c:formatCode>#,##0.00_ ;\-#,##0.00\ </c:formatCode>
                <c:ptCount val="12"/>
                <c:pt idx="0">
                  <c:v>-8.9971889999999943E-2</c:v>
                </c:pt>
                <c:pt idx="1">
                  <c:v>-0.29151231999999999</c:v>
                </c:pt>
                <c:pt idx="2">
                  <c:v>-0.39388120999999998</c:v>
                </c:pt>
                <c:pt idx="3">
                  <c:v>-0.48528997000000001</c:v>
                </c:pt>
                <c:pt idx="4">
                  <c:v>-0.58028810999999991</c:v>
                </c:pt>
                <c:pt idx="5">
                  <c:v>-0.68065939999999991</c:v>
                </c:pt>
                <c:pt idx="6">
                  <c:v>-0.61672682000000001</c:v>
                </c:pt>
                <c:pt idx="7">
                  <c:v>-0.51190764</c:v>
                </c:pt>
                <c:pt idx="8">
                  <c:v>-0.52580787000000007</c:v>
                </c:pt>
                <c:pt idx="9">
                  <c:v>-0.60277369000000014</c:v>
                </c:pt>
                <c:pt idx="10">
                  <c:v>-0.68827200000000022</c:v>
                </c:pt>
                <c:pt idx="11">
                  <c:v>-0.74507305000000035</c:v>
                </c:pt>
              </c:numCache>
            </c:numRef>
          </c:val>
        </c:ser>
        <c:ser>
          <c:idx val="0"/>
          <c:order val="2"/>
          <c:tx>
            <c:strRef>
              <c:f>'21_g'!$AJ$87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'21_g'!$AK$83:$AV$83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'21_g'!$AK$87:$AV$87</c:f>
              <c:numCache>
                <c:formatCode>#,##0.00_ ;\-#,##0.00\ </c:formatCode>
                <c:ptCount val="12"/>
                <c:pt idx="0">
                  <c:v>2.3120730000000034E-2</c:v>
                </c:pt>
                <c:pt idx="1">
                  <c:v>4.6544800000000053E-2</c:v>
                </c:pt>
                <c:pt idx="2">
                  <c:v>-0.10954785999999994</c:v>
                </c:pt>
                <c:pt idx="3">
                  <c:v>-5.5674049999999864E-2</c:v>
                </c:pt>
                <c:pt idx="4">
                  <c:v>-5.7104319999999875E-2</c:v>
                </c:pt>
                <c:pt idx="5">
                  <c:v>-0.11499940999999986</c:v>
                </c:pt>
                <c:pt idx="6">
                  <c:v>-7.5669849999999872E-2</c:v>
                </c:pt>
                <c:pt idx="7">
                  <c:v>-9.3581739999999802E-2</c:v>
                </c:pt>
                <c:pt idx="8">
                  <c:v>-8.6957979999999768E-2</c:v>
                </c:pt>
                <c:pt idx="9">
                  <c:v>-0.10880255999999972</c:v>
                </c:pt>
                <c:pt idx="10">
                  <c:v>-0.15498182999999965</c:v>
                </c:pt>
                <c:pt idx="11">
                  <c:v>-0.29160710999999961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4346752"/>
        <c:axId val="254518976"/>
      </c:barChart>
      <c:lineChart>
        <c:grouping val="standard"/>
        <c:varyColors val="0"/>
        <c:ser>
          <c:idx val="3"/>
          <c:order val="1"/>
          <c:tx>
            <c:strRef>
              <c:f>'21_g'!$AJ$86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'21_g'!$AK$83:$AV$83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'21_g'!$AK$86:$AV$86</c:f>
              <c:numCache>
                <c:formatCode>#,##0.00_ ;\-#,##0.00\ </c:formatCode>
                <c:ptCount val="12"/>
                <c:pt idx="0">
                  <c:v>-4.6736E-2</c:v>
                </c:pt>
                <c:pt idx="1">
                  <c:v>-0.30658900000000006</c:v>
                </c:pt>
                <c:pt idx="2">
                  <c:v>-0.38945900000000006</c:v>
                </c:pt>
                <c:pt idx="3">
                  <c:v>-0.43906300000000009</c:v>
                </c:pt>
                <c:pt idx="4">
                  <c:v>-0.53283500000000006</c:v>
                </c:pt>
                <c:pt idx="5">
                  <c:v>-0.60666100000000012</c:v>
                </c:pt>
                <c:pt idx="6">
                  <c:v>-0.5451140000000001</c:v>
                </c:pt>
                <c:pt idx="7">
                  <c:v>-0.50588600000000006</c:v>
                </c:pt>
                <c:pt idx="8">
                  <c:v>-0.50143500000000008</c:v>
                </c:pt>
                <c:pt idx="9">
                  <c:v>-0.50991500000000012</c:v>
                </c:pt>
                <c:pt idx="10">
                  <c:v>-0.57672500000000015</c:v>
                </c:pt>
                <c:pt idx="11">
                  <c:v>-0.65334100000000017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346752"/>
        <c:axId val="254518976"/>
      </c:lineChart>
      <c:catAx>
        <c:axId val="25434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518976"/>
        <c:crosses val="autoZero"/>
        <c:auto val="1"/>
        <c:lblAlgn val="ctr"/>
        <c:lblOffset val="100"/>
        <c:noMultiLvlLbl val="0"/>
      </c:catAx>
      <c:valAx>
        <c:axId val="2545189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152249799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3467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34873492319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'21_g'!$T$21:$U$21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'21_g'!$V$20:$AC$20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'21_g'!$V$21:$AC$21</c:f>
              <c:numCache>
                <c:formatCode>#,##0</c:formatCode>
                <c:ptCount val="8"/>
                <c:pt idx="0">
                  <c:v>4.8536585365853648</c:v>
                </c:pt>
                <c:pt idx="1">
                  <c:v>10</c:v>
                </c:pt>
                <c:pt idx="2">
                  <c:v>18.097560975609753</c:v>
                </c:pt>
                <c:pt idx="3">
                  <c:v>53</c:v>
                </c:pt>
                <c:pt idx="4">
                  <c:v>28.609756097560972</c:v>
                </c:pt>
                <c:pt idx="5">
                  <c:v>66</c:v>
                </c:pt>
                <c:pt idx="6">
                  <c:v>34.999999999999993</c:v>
                </c:pt>
                <c:pt idx="7">
                  <c:v>79</c:v>
                </c:pt>
              </c:numCache>
            </c:numRef>
          </c:val>
        </c:ser>
        <c:ser>
          <c:idx val="0"/>
          <c:order val="1"/>
          <c:tx>
            <c:strRef>
              <c:f>'21_g'!$T$22:$U$22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'21_g'!$V$20:$AC$20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'21_g'!$V$22:$AC$22</c:f>
              <c:numCache>
                <c:formatCode>#,##0</c:formatCode>
                <c:ptCount val="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54347776"/>
        <c:axId val="254521280"/>
      </c:barChart>
      <c:catAx>
        <c:axId val="254347776"/>
        <c:scaling>
          <c:orientation val="minMax"/>
        </c:scaling>
        <c:delete val="1"/>
        <c:axPos val="b"/>
        <c:majorTickMark val="out"/>
        <c:minorTickMark val="none"/>
        <c:tickLblPos val="nextTo"/>
        <c:crossAx val="254521280"/>
        <c:crosses val="autoZero"/>
        <c:auto val="1"/>
        <c:lblAlgn val="ctr"/>
        <c:lblOffset val="100"/>
        <c:noMultiLvlLbl val="0"/>
      </c:catAx>
      <c:valAx>
        <c:axId val="254521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54347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('22'!$A$9,'22'!$A$13,'22'!$A$17)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('22'!$B$9,'22'!$B$13,'22'!$B$17)</c:f>
              <c:numCache>
                <c:formatCode>_-* #,##0_-;\-* #,##0_-;_-* "-"??_-;_-@_-</c:formatCode>
                <c:ptCount val="3"/>
                <c:pt idx="0">
                  <c:v>31182</c:v>
                </c:pt>
                <c:pt idx="1">
                  <c:v>5132</c:v>
                </c:pt>
                <c:pt idx="2">
                  <c:v>2087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('22'!$A$9,'22'!$A$13,'22'!$A$17)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('22'!$G$9,'22'!$G$13,'22'!$G$17)</c:f>
              <c:numCache>
                <c:formatCode>_-* #,##0_-;\-* #,##0_-;_-* "-"??_-;_-@_-</c:formatCode>
                <c:ptCount val="3"/>
                <c:pt idx="0">
                  <c:v>32186</c:v>
                </c:pt>
                <c:pt idx="1">
                  <c:v>5357</c:v>
                </c:pt>
                <c:pt idx="2">
                  <c:v>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('22'!$A$9,'22'!$A$13,'22'!$A$17)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('22'!$C$9,'22'!$C$13,'22'!$C$17)</c:f>
              <c:numCache>
                <c:formatCode>_(* #,##0.00_);_(* \(#,##0.00\);_(* "-"??_);_(@_)</c:formatCode>
                <c:ptCount val="3"/>
                <c:pt idx="0">
                  <c:v>5.0695009999999998</c:v>
                </c:pt>
                <c:pt idx="1">
                  <c:v>2.4938600000000002</c:v>
                </c:pt>
                <c:pt idx="2">
                  <c:v>1.219706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('22'!$A$9,'22'!$A$13,'22'!$A$17)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('22'!$H$9,'22'!$H$13,'22'!$H$17)</c:f>
              <c:numCache>
                <c:formatCode>_(* #,##0.00_);_(* \(#,##0.00\);_(* "-"??_);_(@_)</c:formatCode>
                <c:ptCount val="3"/>
                <c:pt idx="0">
                  <c:v>4.9969330000000003</c:v>
                </c:pt>
                <c:pt idx="1">
                  <c:v>2.3097829999999999</c:v>
                </c:pt>
                <c:pt idx="2">
                  <c:v>1.3137700000000001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('22'!$A$9,'22'!$A$13,'22'!$A$17)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('22'!$E$9,'22'!$E$13,'22'!$E$17)</c:f>
              <c:numCache>
                <c:formatCode>_(* #,##0.00_);_(* \(#,##0.00\);_(* "-"??_);_(@_)</c:formatCode>
                <c:ptCount val="3"/>
                <c:pt idx="0">
                  <c:v>68.989183480000008</c:v>
                </c:pt>
                <c:pt idx="1">
                  <c:v>53.204532749999998</c:v>
                </c:pt>
                <c:pt idx="2">
                  <c:v>33.065551840000005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('22'!$A$9,'22'!$A$13,'22'!$A$17)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('22'!$J$9,'22'!$J$13,'22'!$J$17)</c:f>
              <c:numCache>
                <c:formatCode>_(* #,##0.00_);_(* \(#,##0.00\);_(* "-"??_);_(@_)</c:formatCode>
                <c:ptCount val="3"/>
                <c:pt idx="0">
                  <c:v>67.296252519999996</c:v>
                </c:pt>
                <c:pt idx="1">
                  <c:v>49.087861399999994</c:v>
                </c:pt>
                <c:pt idx="2">
                  <c:v>35.835341499999991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('22'!$A$9,'22'!$A$13,'22'!$A$17,'22'!$A$20)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('22'!$D$9,'22'!$D$13,'22'!$D$17,'22'!$D$20)</c:f>
              <c:numCache>
                <c:formatCode>_-* #,##0.000_-;\-* #,##0.000_-;_-* "-"??_-;_-@_-</c:formatCode>
                <c:ptCount val="4"/>
                <c:pt idx="0">
                  <c:v>0.45298730751170663</c:v>
                </c:pt>
                <c:pt idx="1">
                  <c:v>1.3685514573229707</c:v>
                </c:pt>
                <c:pt idx="2">
                  <c:v>1.5829750231987696</c:v>
                </c:pt>
                <c:pt idx="3">
                  <c:v>0.6371909401759317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('22'!$A$9,'22'!$A$13,'22'!$A$17,'22'!$A$20)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('22'!$I$9,'22'!$I$13,'22'!$I$17,'22'!$I$20)</c:f>
              <c:numCache>
                <c:formatCode>_-* #,##0.000_-;\-* #,##0.000_-;_-* "-"??_-;_-@_-</c:formatCode>
                <c:ptCount val="4"/>
                <c:pt idx="0">
                  <c:v>0.43208645995645351</c:v>
                </c:pt>
                <c:pt idx="1">
                  <c:v>1.2066302989302558</c:v>
                </c:pt>
                <c:pt idx="2">
                  <c:v>1.710320676176621</c:v>
                </c:pt>
                <c:pt idx="3">
                  <c:v>0.60507185876088687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3523968"/>
        <c:axId val="249918528"/>
      </c:barChart>
      <c:catAx>
        <c:axId val="2535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918528"/>
        <c:crosses val="autoZero"/>
        <c:auto val="1"/>
        <c:lblAlgn val="ctr"/>
        <c:lblOffset val="100"/>
        <c:noMultiLvlLbl val="0"/>
      </c:catAx>
      <c:valAx>
        <c:axId val="2499185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5239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('11'!$A$9,'11'!$A$13,'11'!$A$17)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('11'!$E$9,'11'!$E$13,'11'!$E$17)</c:f>
              <c:numCache>
                <c:formatCode>_(* #,##0.00_);_(* \(#,##0.00\);_(* "-"??_);_(@_)</c:formatCode>
                <c:ptCount val="3"/>
                <c:pt idx="0">
                  <c:v>226.27889827999996</c:v>
                </c:pt>
                <c:pt idx="1">
                  <c:v>184.37208121999996</c:v>
                </c:pt>
                <c:pt idx="2">
                  <c:v>266.54165098000004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('22'!$A$9,'22'!$A$13,'22'!$A$17,'22'!$A$20)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('22'!$F$9,'22'!$F$13,'22'!$F$17,'22'!$F$20)</c:f>
              <c:numCache>
                <c:formatCode>_(* #,##0.00_);_(* \(#,##0.00\);_(* "-"??_);_(@_)</c:formatCode>
                <c:ptCount val="4"/>
                <c:pt idx="0">
                  <c:v>13.608673413813314</c:v>
                </c:pt>
                <c:pt idx="1">
                  <c:v>21.334209919562444</c:v>
                </c:pt>
                <c:pt idx="2">
                  <c:v>27.109444275915678</c:v>
                </c:pt>
                <c:pt idx="3">
                  <c:v>17.677113025552462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('22'!$A$9,'22'!$A$13,'22'!$A$17,'22'!$A$20)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('22'!$K$9,'22'!$K$13,'22'!$K$17,'22'!$K$20)</c:f>
              <c:numCache>
                <c:formatCode>_(* #,##0.00_);_(* \(#,##0.00\);_(* "-"??_);_(@_)</c:formatCode>
                <c:ptCount val="4"/>
                <c:pt idx="0">
                  <c:v>13.467511475539094</c:v>
                </c:pt>
                <c:pt idx="1">
                  <c:v>21.252152864576455</c:v>
                </c:pt>
                <c:pt idx="2">
                  <c:v>27.276723855773835</c:v>
                </c:pt>
                <c:pt idx="3">
                  <c:v>17.657873978334862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3525504"/>
        <c:axId val="249920256"/>
      </c:barChart>
      <c:catAx>
        <c:axId val="25352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49920256"/>
        <c:crosses val="autoZero"/>
        <c:auto val="1"/>
        <c:lblAlgn val="ctr"/>
        <c:lblOffset val="100"/>
        <c:noMultiLvlLbl val="0"/>
      </c:catAx>
      <c:valAx>
        <c:axId val="2499202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3525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'22_g'!$A$18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'22_g'!$B$16:$M$16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'22_g'!$B$18:$M$18</c:f>
              <c:numCache>
                <c:formatCode>#,##0_ ;\-#,##0\ </c:formatCode>
                <c:ptCount val="12"/>
                <c:pt idx="0">
                  <c:v>109</c:v>
                </c:pt>
                <c:pt idx="1">
                  <c:v>103</c:v>
                </c:pt>
                <c:pt idx="2">
                  <c:v>81</c:v>
                </c:pt>
                <c:pt idx="3">
                  <c:v>120</c:v>
                </c:pt>
                <c:pt idx="4">
                  <c:v>61</c:v>
                </c:pt>
                <c:pt idx="5">
                  <c:v>127</c:v>
                </c:pt>
                <c:pt idx="6">
                  <c:v>154</c:v>
                </c:pt>
                <c:pt idx="7">
                  <c:v>180</c:v>
                </c:pt>
                <c:pt idx="8">
                  <c:v>160</c:v>
                </c:pt>
                <c:pt idx="9">
                  <c:v>95</c:v>
                </c:pt>
                <c:pt idx="10">
                  <c:v>168</c:v>
                </c:pt>
                <c:pt idx="11">
                  <c:v>166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'22_g'!$A$19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'22_g'!$B$16:$M$16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'22_g'!$B$19:$M$19</c:f>
              <c:numCache>
                <c:formatCode>#,##0_ ;\-#,##0\ </c:formatCode>
                <c:ptCount val="12"/>
                <c:pt idx="0">
                  <c:v>100.82386363636363</c:v>
                </c:pt>
                <c:pt idx="1">
                  <c:v>124.58948863636363</c:v>
                </c:pt>
                <c:pt idx="2">
                  <c:v>87.50071022727272</c:v>
                </c:pt>
                <c:pt idx="3">
                  <c:v>124.22940340909092</c:v>
                </c:pt>
                <c:pt idx="4">
                  <c:v>94.342329545454533</c:v>
                </c:pt>
                <c:pt idx="5">
                  <c:v>124.94957386363637</c:v>
                </c:pt>
                <c:pt idx="6">
                  <c:v>174.28125</c:v>
                </c:pt>
                <c:pt idx="7">
                  <c:v>191.56534090909091</c:v>
                </c:pt>
                <c:pt idx="8">
                  <c:v>147.27485795454547</c:v>
                </c:pt>
                <c:pt idx="9">
                  <c:v>115.58735795454545</c:v>
                </c:pt>
                <c:pt idx="10">
                  <c:v>102.984375</c:v>
                </c:pt>
                <c:pt idx="11">
                  <c:v>132.87144886363637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'22_g'!$A$20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'22_g'!$B$16:$M$16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'22_g'!$B$20:$M$20</c:f>
              <c:numCache>
                <c:formatCode>#,##0_ ;\-#,##0\ </c:formatCode>
                <c:ptCount val="12"/>
                <c:pt idx="0">
                  <c:v>86</c:v>
                </c:pt>
                <c:pt idx="1">
                  <c:v>123</c:v>
                </c:pt>
                <c:pt idx="2">
                  <c:v>76</c:v>
                </c:pt>
                <c:pt idx="3">
                  <c:v>59</c:v>
                </c:pt>
                <c:pt idx="4">
                  <c:v>97</c:v>
                </c:pt>
                <c:pt idx="5">
                  <c:v>111</c:v>
                </c:pt>
                <c:pt idx="6">
                  <c:v>75</c:v>
                </c:pt>
                <c:pt idx="7">
                  <c:v>79</c:v>
                </c:pt>
                <c:pt idx="8">
                  <c:v>149</c:v>
                </c:pt>
                <c:pt idx="9">
                  <c:v>228</c:v>
                </c:pt>
                <c:pt idx="10">
                  <c:v>279</c:v>
                </c:pt>
                <c:pt idx="11">
                  <c:v>222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87744"/>
        <c:axId val="255574592"/>
      </c:lineChart>
      <c:catAx>
        <c:axId val="2546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574592"/>
        <c:crosses val="autoZero"/>
        <c:auto val="1"/>
        <c:lblAlgn val="ctr"/>
        <c:lblOffset val="100"/>
        <c:noMultiLvlLbl val="0"/>
      </c:catAx>
      <c:valAx>
        <c:axId val="255574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6877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'22_g'!$B$39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'22_g'!$C$39:$N$39</c:f>
              <c:numCache>
                <c:formatCode>#,##0_ ;\-#,##0\ </c:formatCode>
                <c:ptCount val="12"/>
                <c:pt idx="0">
                  <c:v>109</c:v>
                </c:pt>
                <c:pt idx="1">
                  <c:v>212</c:v>
                </c:pt>
                <c:pt idx="2">
                  <c:v>293</c:v>
                </c:pt>
                <c:pt idx="3">
                  <c:v>413</c:v>
                </c:pt>
                <c:pt idx="4">
                  <c:v>474</c:v>
                </c:pt>
                <c:pt idx="5">
                  <c:v>601</c:v>
                </c:pt>
                <c:pt idx="6">
                  <c:v>755</c:v>
                </c:pt>
                <c:pt idx="7">
                  <c:v>935</c:v>
                </c:pt>
                <c:pt idx="8">
                  <c:v>1095</c:v>
                </c:pt>
                <c:pt idx="9">
                  <c:v>1190</c:v>
                </c:pt>
                <c:pt idx="10">
                  <c:v>1358</c:v>
                </c:pt>
                <c:pt idx="11">
                  <c:v>1524</c:v>
                </c:pt>
              </c:numCache>
            </c:numRef>
          </c:val>
        </c:ser>
        <c:ser>
          <c:idx val="0"/>
          <c:order val="2"/>
          <c:tx>
            <c:strRef>
              <c:f>'22_g'!$B$41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'22_g'!$C$41:$N$41</c:f>
              <c:numCache>
                <c:formatCode>#,##0_ ;\-#,##0\ </c:formatCode>
                <c:ptCount val="12"/>
                <c:pt idx="0">
                  <c:v>86</c:v>
                </c:pt>
                <c:pt idx="1">
                  <c:v>209</c:v>
                </c:pt>
                <c:pt idx="2">
                  <c:v>285</c:v>
                </c:pt>
                <c:pt idx="3">
                  <c:v>344</c:v>
                </c:pt>
                <c:pt idx="4">
                  <c:v>441</c:v>
                </c:pt>
                <c:pt idx="5">
                  <c:v>552</c:v>
                </c:pt>
                <c:pt idx="6">
                  <c:v>627</c:v>
                </c:pt>
                <c:pt idx="7">
                  <c:v>706</c:v>
                </c:pt>
                <c:pt idx="8">
                  <c:v>855</c:v>
                </c:pt>
                <c:pt idx="9">
                  <c:v>1083</c:v>
                </c:pt>
                <c:pt idx="10">
                  <c:v>1362</c:v>
                </c:pt>
                <c:pt idx="11">
                  <c:v>1584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4688768"/>
        <c:axId val="255576896"/>
      </c:barChart>
      <c:lineChart>
        <c:grouping val="standard"/>
        <c:varyColors val="0"/>
        <c:ser>
          <c:idx val="3"/>
          <c:order val="1"/>
          <c:tx>
            <c:strRef>
              <c:f>'22_g'!$B$40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'22_g'!$C$37:$N$37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'22_g'!$C$40:$N$40</c:f>
              <c:numCache>
                <c:formatCode>#,##0_ ;\-#,##0\ </c:formatCode>
                <c:ptCount val="12"/>
                <c:pt idx="0">
                  <c:v>100.82386363636363</c:v>
                </c:pt>
                <c:pt idx="1">
                  <c:v>225.41335227272725</c:v>
                </c:pt>
                <c:pt idx="2">
                  <c:v>312.9140625</c:v>
                </c:pt>
                <c:pt idx="3">
                  <c:v>437.14346590909093</c:v>
                </c:pt>
                <c:pt idx="4">
                  <c:v>531.4857954545455</c:v>
                </c:pt>
                <c:pt idx="5">
                  <c:v>656.43536931818187</c:v>
                </c:pt>
                <c:pt idx="6">
                  <c:v>830.71661931818187</c:v>
                </c:pt>
                <c:pt idx="7">
                  <c:v>1022.2819602272727</c:v>
                </c:pt>
                <c:pt idx="8">
                  <c:v>1169.5568181818182</c:v>
                </c:pt>
                <c:pt idx="9">
                  <c:v>1285.1441761363637</c:v>
                </c:pt>
                <c:pt idx="10">
                  <c:v>1388.1285511363637</c:v>
                </c:pt>
                <c:pt idx="11">
                  <c:v>1521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88768"/>
        <c:axId val="255576896"/>
      </c:lineChart>
      <c:catAx>
        <c:axId val="2546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576896"/>
        <c:crosses val="autoZero"/>
        <c:auto val="1"/>
        <c:lblAlgn val="ctr"/>
        <c:lblOffset val="100"/>
        <c:noMultiLvlLbl val="0"/>
      </c:catAx>
      <c:valAx>
        <c:axId val="2555768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6887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'22_g'!$AI$18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'22_g'!$AJ$16:$AU$16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'22_g'!$AJ$18:$AU$18</c:f>
              <c:numCache>
                <c:formatCode>#,##0.000_ ;\-#,##0.000\ </c:formatCode>
                <c:ptCount val="12"/>
                <c:pt idx="0">
                  <c:v>0.69975399999999999</c:v>
                </c:pt>
                <c:pt idx="1">
                  <c:v>0.71262400000000004</c:v>
                </c:pt>
                <c:pt idx="2">
                  <c:v>0.70006199999999996</c:v>
                </c:pt>
                <c:pt idx="3">
                  <c:v>0.71237600000000001</c:v>
                </c:pt>
                <c:pt idx="4">
                  <c:v>0.68908100000000005</c:v>
                </c:pt>
                <c:pt idx="5">
                  <c:v>0.68293499999999996</c:v>
                </c:pt>
                <c:pt idx="6">
                  <c:v>0.77704300000000004</c:v>
                </c:pt>
                <c:pt idx="7">
                  <c:v>0.86404899999999996</c:v>
                </c:pt>
                <c:pt idx="8">
                  <c:v>0.79314700000000005</c:v>
                </c:pt>
                <c:pt idx="9">
                  <c:v>0.76474299999999995</c:v>
                </c:pt>
                <c:pt idx="10">
                  <c:v>0.67755600000000005</c:v>
                </c:pt>
                <c:pt idx="11">
                  <c:v>0.72971799999999998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'22_g'!$AI$19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'22_g'!$AJ$16:$AU$16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'22_g'!$AJ$19:$AU$19</c:f>
              <c:numCache>
                <c:formatCode>#,##0.000_ ;\-#,##0.000\ </c:formatCode>
                <c:ptCount val="12"/>
                <c:pt idx="0">
                  <c:v>0.71316599999999997</c:v>
                </c:pt>
                <c:pt idx="1">
                  <c:v>0.73428499999999997</c:v>
                </c:pt>
                <c:pt idx="2">
                  <c:v>0.72659300000000004</c:v>
                </c:pt>
                <c:pt idx="3">
                  <c:v>0.74768599999999996</c:v>
                </c:pt>
                <c:pt idx="4">
                  <c:v>0.71573900000000001</c:v>
                </c:pt>
                <c:pt idx="5">
                  <c:v>0.71716999999999997</c:v>
                </c:pt>
                <c:pt idx="6">
                  <c:v>0.81791999999999998</c:v>
                </c:pt>
                <c:pt idx="7">
                  <c:v>0.868645</c:v>
                </c:pt>
                <c:pt idx="8">
                  <c:v>0.81979500000000005</c:v>
                </c:pt>
                <c:pt idx="9">
                  <c:v>0.78902399999999995</c:v>
                </c:pt>
                <c:pt idx="10">
                  <c:v>0.73627299999999996</c:v>
                </c:pt>
                <c:pt idx="11">
                  <c:v>0.76277499999999998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'22_g'!$AI$20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'22_g'!$AJ$16:$AU$16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'22_g'!$AJ$20:$AU$20</c:f>
              <c:numCache>
                <c:formatCode>#,##0.000_ ;\-#,##0.000\ </c:formatCode>
                <c:ptCount val="12"/>
                <c:pt idx="0">
                  <c:v>0.67767200000000005</c:v>
                </c:pt>
                <c:pt idx="1">
                  <c:v>0.680149</c:v>
                </c:pt>
                <c:pt idx="2">
                  <c:v>0.69690700000000005</c:v>
                </c:pt>
                <c:pt idx="3">
                  <c:v>0.72013099999999997</c:v>
                </c:pt>
                <c:pt idx="4">
                  <c:v>0.69596400000000003</c:v>
                </c:pt>
                <c:pt idx="5">
                  <c:v>0.68816900000000003</c:v>
                </c:pt>
                <c:pt idx="6">
                  <c:v>0.78644199999999997</c:v>
                </c:pt>
                <c:pt idx="7">
                  <c:v>0.77976699999999999</c:v>
                </c:pt>
                <c:pt idx="8">
                  <c:v>0.74036100000000005</c:v>
                </c:pt>
                <c:pt idx="9">
                  <c:v>0.72070000000000001</c:v>
                </c:pt>
                <c:pt idx="10">
                  <c:v>0.71746399999999999</c:v>
                </c:pt>
                <c:pt idx="11">
                  <c:v>0.72929900000000003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84128"/>
        <c:axId val="255579200"/>
      </c:lineChart>
      <c:catAx>
        <c:axId val="2559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579200"/>
        <c:crosses val="autoZero"/>
        <c:auto val="1"/>
        <c:lblAlgn val="ctr"/>
        <c:lblOffset val="100"/>
        <c:noMultiLvlLbl val="0"/>
      </c:catAx>
      <c:valAx>
        <c:axId val="2555792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20884889389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98412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2620922381"/>
          <c:y val="2.2161373086791118E-2"/>
          <c:w val="0.3512889388826396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'22_g'!$AJ$39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'22_g'!$AK$39:$AV$39</c:f>
              <c:numCache>
                <c:formatCode>#,##0.000_ ;\-#,##0.000\ </c:formatCode>
                <c:ptCount val="12"/>
                <c:pt idx="0">
                  <c:v>0.69975399999999999</c:v>
                </c:pt>
                <c:pt idx="1">
                  <c:v>1.4123779999999999</c:v>
                </c:pt>
                <c:pt idx="2">
                  <c:v>2.1124399999999999</c:v>
                </c:pt>
                <c:pt idx="3">
                  <c:v>2.8248159999999998</c:v>
                </c:pt>
                <c:pt idx="4">
                  <c:v>3.513897</c:v>
                </c:pt>
                <c:pt idx="5">
                  <c:v>4.1968319999999997</c:v>
                </c:pt>
                <c:pt idx="6">
                  <c:v>4.9738749999999996</c:v>
                </c:pt>
                <c:pt idx="7">
                  <c:v>5.8379239999999992</c:v>
                </c:pt>
                <c:pt idx="8">
                  <c:v>6.6310709999999995</c:v>
                </c:pt>
                <c:pt idx="9">
                  <c:v>7.3958139999999997</c:v>
                </c:pt>
                <c:pt idx="10">
                  <c:v>8.0733700000000006</c:v>
                </c:pt>
                <c:pt idx="11">
                  <c:v>8.8030880000000007</c:v>
                </c:pt>
              </c:numCache>
            </c:numRef>
          </c:val>
        </c:ser>
        <c:ser>
          <c:idx val="0"/>
          <c:order val="2"/>
          <c:tx>
            <c:strRef>
              <c:f>'22_g'!$AJ$41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'22_g'!$AK$41:$AV$41</c:f>
              <c:numCache>
                <c:formatCode>#,##0.000_ ;\-#,##0.000\ </c:formatCode>
                <c:ptCount val="12"/>
                <c:pt idx="0">
                  <c:v>0.67767200000000005</c:v>
                </c:pt>
                <c:pt idx="1">
                  <c:v>1.3578209999999999</c:v>
                </c:pt>
                <c:pt idx="2">
                  <c:v>2.0547279999999999</c:v>
                </c:pt>
                <c:pt idx="3">
                  <c:v>2.7748589999999997</c:v>
                </c:pt>
                <c:pt idx="4">
                  <c:v>3.4708229999999998</c:v>
                </c:pt>
                <c:pt idx="5">
                  <c:v>4.1589919999999996</c:v>
                </c:pt>
                <c:pt idx="6">
                  <c:v>4.9454339999999997</c:v>
                </c:pt>
                <c:pt idx="7">
                  <c:v>5.7252009999999993</c:v>
                </c:pt>
                <c:pt idx="8">
                  <c:v>6.4655619999999994</c:v>
                </c:pt>
                <c:pt idx="9">
                  <c:v>7.1862619999999993</c:v>
                </c:pt>
                <c:pt idx="10">
                  <c:v>7.9037259999999989</c:v>
                </c:pt>
                <c:pt idx="11">
                  <c:v>8.6330249999999982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5984640"/>
        <c:axId val="255581504"/>
      </c:barChart>
      <c:lineChart>
        <c:grouping val="standard"/>
        <c:varyColors val="0"/>
        <c:ser>
          <c:idx val="3"/>
          <c:order val="1"/>
          <c:tx>
            <c:strRef>
              <c:f>'22_g'!$AJ$40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'22_g'!$AK$37:$AV$37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'22_g'!$AK$40:$AV$40</c:f>
              <c:numCache>
                <c:formatCode>#,##0.000_ ;\-#,##0.000\ </c:formatCode>
                <c:ptCount val="12"/>
                <c:pt idx="0">
                  <c:v>0.71316599999999997</c:v>
                </c:pt>
                <c:pt idx="1">
                  <c:v>1.447451</c:v>
                </c:pt>
                <c:pt idx="2">
                  <c:v>2.1740440000000003</c:v>
                </c:pt>
                <c:pt idx="3">
                  <c:v>2.9217300000000002</c:v>
                </c:pt>
                <c:pt idx="4">
                  <c:v>3.6374690000000003</c:v>
                </c:pt>
                <c:pt idx="5">
                  <c:v>4.3546390000000006</c:v>
                </c:pt>
                <c:pt idx="6">
                  <c:v>5.1725590000000006</c:v>
                </c:pt>
                <c:pt idx="7">
                  <c:v>6.0412040000000005</c:v>
                </c:pt>
                <c:pt idx="8">
                  <c:v>6.8609990000000005</c:v>
                </c:pt>
                <c:pt idx="9">
                  <c:v>7.6500230000000009</c:v>
                </c:pt>
                <c:pt idx="10">
                  <c:v>8.3862960000000015</c:v>
                </c:pt>
                <c:pt idx="11">
                  <c:v>9.1490710000000011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84640"/>
        <c:axId val="255581504"/>
      </c:lineChart>
      <c:catAx>
        <c:axId val="25598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581504"/>
        <c:crosses val="autoZero"/>
        <c:auto val="1"/>
        <c:lblAlgn val="ctr"/>
        <c:lblOffset val="100"/>
        <c:noMultiLvlLbl val="0"/>
      </c:catAx>
      <c:valAx>
        <c:axId val="2555815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81690586548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9846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39109473022"/>
          <c:y val="2.2161373086791118E-2"/>
          <c:w val="0.33180960890526978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'22_g'!$AY$18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'22_g'!$AZ$16:$BK$16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'22_g'!$AZ$18:$BK$18</c:f>
              <c:numCache>
                <c:formatCode>#,##0.000_ ;\-#,##0.000\ </c:formatCode>
                <c:ptCount val="12"/>
                <c:pt idx="0">
                  <c:v>0.20172307000000006</c:v>
                </c:pt>
                <c:pt idx="1">
                  <c:v>0.18532532000000007</c:v>
                </c:pt>
                <c:pt idx="2">
                  <c:v>0.22627912</c:v>
                </c:pt>
                <c:pt idx="3">
                  <c:v>0.21342296999999996</c:v>
                </c:pt>
                <c:pt idx="4">
                  <c:v>0.17949215000000002</c:v>
                </c:pt>
                <c:pt idx="5">
                  <c:v>0.27941367999999994</c:v>
                </c:pt>
                <c:pt idx="6">
                  <c:v>0.23614883999999997</c:v>
                </c:pt>
                <c:pt idx="7">
                  <c:v>0.11855295999999996</c:v>
                </c:pt>
                <c:pt idx="8">
                  <c:v>0.11698041000000015</c:v>
                </c:pt>
                <c:pt idx="9">
                  <c:v>0.18181983999999984</c:v>
                </c:pt>
                <c:pt idx="10">
                  <c:v>0.28285726</c:v>
                </c:pt>
                <c:pt idx="11">
                  <c:v>0.18548670000000006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'22_g'!$AY$19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'22_g'!$AZ$16:$BK$16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'22_g'!$AZ$19:$BK$19</c:f>
              <c:numCache>
                <c:formatCode>#,##0.000_ ;\-#,##0.000\ </c:formatCode>
                <c:ptCount val="12"/>
                <c:pt idx="0">
                  <c:v>0.21012500000000001</c:v>
                </c:pt>
                <c:pt idx="1">
                  <c:v>0.17430999999999999</c:v>
                </c:pt>
                <c:pt idx="2">
                  <c:v>0.196934</c:v>
                </c:pt>
                <c:pt idx="3">
                  <c:v>0.191327</c:v>
                </c:pt>
                <c:pt idx="4">
                  <c:v>0.16331300000000001</c:v>
                </c:pt>
                <c:pt idx="5">
                  <c:v>0.289327</c:v>
                </c:pt>
                <c:pt idx="6">
                  <c:v>0.199929</c:v>
                </c:pt>
                <c:pt idx="7">
                  <c:v>0.13164600000000001</c:v>
                </c:pt>
                <c:pt idx="8">
                  <c:v>0.13919200000000001</c:v>
                </c:pt>
                <c:pt idx="9">
                  <c:v>0.193161</c:v>
                </c:pt>
                <c:pt idx="10">
                  <c:v>0.28071699999999999</c:v>
                </c:pt>
                <c:pt idx="11">
                  <c:v>0.18920799999999999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'22_g'!$AY$20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'22_g'!$AZ$16:$BK$16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'22_g'!$AZ$20:$BK$20</c:f>
              <c:numCache>
                <c:formatCode>#,##0.000_ ;\-#,##0.000\ </c:formatCode>
                <c:ptCount val="12"/>
                <c:pt idx="0">
                  <c:v>0.27472565000000004</c:v>
                </c:pt>
                <c:pt idx="1">
                  <c:v>0.27599865000000001</c:v>
                </c:pt>
                <c:pt idx="2">
                  <c:v>0.31884228000000003</c:v>
                </c:pt>
                <c:pt idx="3">
                  <c:v>0.20786344999999995</c:v>
                </c:pt>
                <c:pt idx="4">
                  <c:v>0.21661444000000005</c:v>
                </c:pt>
                <c:pt idx="5">
                  <c:v>0.36974670999999998</c:v>
                </c:pt>
                <c:pt idx="6">
                  <c:v>0.22452054000000005</c:v>
                </c:pt>
                <c:pt idx="7">
                  <c:v>0.24641082999999997</c:v>
                </c:pt>
                <c:pt idx="8">
                  <c:v>0.24623592000000005</c:v>
                </c:pt>
                <c:pt idx="9">
                  <c:v>0.26705472000000008</c:v>
                </c:pt>
                <c:pt idx="10">
                  <c:v>0.26184677999999989</c:v>
                </c:pt>
                <c:pt idx="11">
                  <c:v>0.25465578000000005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85152"/>
        <c:axId val="254666432"/>
      </c:lineChart>
      <c:catAx>
        <c:axId val="2559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666432"/>
        <c:crosses val="autoZero"/>
        <c:auto val="1"/>
        <c:lblAlgn val="ctr"/>
        <c:lblOffset val="100"/>
        <c:noMultiLvlLbl val="0"/>
      </c:catAx>
      <c:valAx>
        <c:axId val="2546664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84329524905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9851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4699036259658838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'22_g'!$AY$39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'22_g'!$AZ$37:$BO$37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'22_g'!$AZ$39:$BO$39</c:f>
              <c:numCache>
                <c:formatCode>_(* #,##0.00_);_(* \(#,##0.00\);_(* "-"??_);_(@_)</c:formatCode>
                <c:ptCount val="16"/>
                <c:pt idx="0">
                  <c:v>22.373847256140401</c:v>
                </c:pt>
                <c:pt idx="1">
                  <c:v>20.635556907762606</c:v>
                </c:pt>
                <c:pt idx="2">
                  <c:v>24.422129669795289</c:v>
                </c:pt>
                <c:pt idx="3">
                  <c:v>22.497338634328866</c:v>
                </c:pt>
                <c:pt idx="4">
                  <c:v>23.045075257018063</c:v>
                </c:pt>
                <c:pt idx="5">
                  <c:v>20.658656703886297</c:v>
                </c:pt>
                <c:pt idx="6">
                  <c:v>29.020595180149865</c:v>
                </c:pt>
                <c:pt idx="7">
                  <c:v>23.443802203289383</c:v>
                </c:pt>
                <c:pt idx="8">
                  <c:v>23.297781621988175</c:v>
                </c:pt>
                <c:pt idx="9">
                  <c:v>12.062088935188424</c:v>
                </c:pt>
                <c:pt idx="10">
                  <c:v>12.849463287444696</c:v>
                </c:pt>
                <c:pt idx="11">
                  <c:v>20.943508835144875</c:v>
                </c:pt>
                <c:pt idx="12">
                  <c:v>19.206398763893581</c:v>
                </c:pt>
                <c:pt idx="13">
                  <c:v>29.448890625202694</c:v>
                </c:pt>
                <c:pt idx="14">
                  <c:v>20.265066409178083</c:v>
                </c:pt>
                <c:pt idx="15">
                  <c:v>21.470025654279283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'22_g'!$AY$40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'22_g'!$AZ$37:$BO$37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'22_g'!$AZ$40:$BO$40</c:f>
              <c:numCache>
                <c:formatCode>_(* #,##0.00_);_(* \(#,##0.00\);_(* "-"??_);_(@_)</c:formatCode>
                <c:ptCount val="16"/>
                <c:pt idx="0">
                  <c:v>20.499962635533088</c:v>
                </c:pt>
                <c:pt idx="1">
                  <c:v>20.499962635533088</c:v>
                </c:pt>
                <c:pt idx="2">
                  <c:v>20.499962635533088</c:v>
                </c:pt>
                <c:pt idx="3">
                  <c:v>20.499962635533088</c:v>
                </c:pt>
                <c:pt idx="4">
                  <c:v>20.499962635533088</c:v>
                </c:pt>
                <c:pt idx="5">
                  <c:v>20.499962635533088</c:v>
                </c:pt>
                <c:pt idx="6">
                  <c:v>20.499962635533088</c:v>
                </c:pt>
                <c:pt idx="7">
                  <c:v>20.499962635533088</c:v>
                </c:pt>
                <c:pt idx="8">
                  <c:v>20.499962635533088</c:v>
                </c:pt>
                <c:pt idx="9">
                  <c:v>20.499962635533088</c:v>
                </c:pt>
                <c:pt idx="10">
                  <c:v>20.499962635533088</c:v>
                </c:pt>
                <c:pt idx="11">
                  <c:v>20.499962635533088</c:v>
                </c:pt>
                <c:pt idx="12">
                  <c:v>20.499962635533088</c:v>
                </c:pt>
                <c:pt idx="13">
                  <c:v>20.499962635533088</c:v>
                </c:pt>
                <c:pt idx="14">
                  <c:v>20.499962635533088</c:v>
                </c:pt>
                <c:pt idx="15">
                  <c:v>20.499962635533088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'22_g'!$AY$41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'22_g'!$AZ$37:$BO$37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'22_g'!$AZ$41:$BO$41</c:f>
              <c:numCache>
                <c:formatCode>_(* #,##0.00_);_(* \(#,##0.00\);_(* "-"??_);_(@_)</c:formatCode>
                <c:ptCount val="16"/>
                <c:pt idx="0">
                  <c:v>28.842507682262092</c:v>
                </c:pt>
                <c:pt idx="1">
                  <c:v>28.856398098542265</c:v>
                </c:pt>
                <c:pt idx="2">
                  <c:v>31.381981973540508</c:v>
                </c:pt>
                <c:pt idx="3">
                  <c:v>29.729152295685097</c:v>
                </c:pt>
                <c:pt idx="4">
                  <c:v>22.393565937350871</c:v>
                </c:pt>
                <c:pt idx="5">
                  <c:v>23.731223400835805</c:v>
                </c:pt>
                <c:pt idx="6">
                  <c:v>34.942396415380038</c:v>
                </c:pt>
                <c:pt idx="7">
                  <c:v>28.567184899575931</c:v>
                </c:pt>
                <c:pt idx="8">
                  <c:v>22.20448421506477</c:v>
                </c:pt>
                <c:pt idx="9">
                  <c:v>24.009095656578154</c:v>
                </c:pt>
                <c:pt idx="10">
                  <c:v>24.955249259073025</c:v>
                </c:pt>
                <c:pt idx="11">
                  <c:v>26.908604343804633</c:v>
                </c:pt>
                <c:pt idx="12">
                  <c:v>27.033613570935827</c:v>
                </c:pt>
                <c:pt idx="13">
                  <c:v>26.733796052350399</c:v>
                </c:pt>
                <c:pt idx="14">
                  <c:v>25.87810659034006</c:v>
                </c:pt>
                <c:pt idx="15">
                  <c:v>26.818619300534142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85664"/>
        <c:axId val="254668736"/>
      </c:lineChart>
      <c:catAx>
        <c:axId val="2559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668736"/>
        <c:crosses val="autoZero"/>
        <c:auto val="1"/>
        <c:lblAlgn val="ctr"/>
        <c:lblOffset val="100"/>
        <c:noMultiLvlLbl val="0"/>
      </c:catAx>
      <c:valAx>
        <c:axId val="2546687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%</a:t>
                </a:r>
              </a:p>
            </c:rich>
          </c:tx>
          <c:layout>
            <c:manualLayout>
              <c:xMode val="edge"/>
              <c:yMode val="edge"/>
              <c:x val="1.543165906217713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9856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6819051652773231"/>
          <c:y val="2.2161373086791118E-2"/>
          <c:w val="0.95122127460228845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'22_g'!$A$64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'22_g'!$B$62:$M$62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'22_g'!$B$64:$M$64</c:f>
              <c:numCache>
                <c:formatCode>#,##0.00_ ;\-#,##0.00\ </c:formatCode>
                <c:ptCount val="12"/>
                <c:pt idx="0">
                  <c:v>13.500048219999998</c:v>
                </c:pt>
                <c:pt idx="1">
                  <c:v>13.802768709999999</c:v>
                </c:pt>
                <c:pt idx="2">
                  <c:v>13.548706130000001</c:v>
                </c:pt>
                <c:pt idx="3">
                  <c:v>14.051047810000002</c:v>
                </c:pt>
                <c:pt idx="4">
                  <c:v>13.353594949999998</c:v>
                </c:pt>
                <c:pt idx="5">
                  <c:v>13.23386285</c:v>
                </c:pt>
                <c:pt idx="6">
                  <c:v>15.001764480000002</c:v>
                </c:pt>
                <c:pt idx="7">
                  <c:v>16.619130039999998</c:v>
                </c:pt>
                <c:pt idx="8">
                  <c:v>15.913152440000001</c:v>
                </c:pt>
                <c:pt idx="9">
                  <c:v>14.894495350000001</c:v>
                </c:pt>
                <c:pt idx="10">
                  <c:v>12.969354439999998</c:v>
                </c:pt>
                <c:pt idx="11">
                  <c:v>14.854114859999999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'22_g'!$A$65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'22_g'!$B$62:$M$62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'22_g'!$B$65:$M$65</c:f>
              <c:numCache>
                <c:formatCode>#,##0.00_ ;\-#,##0.00\ </c:formatCode>
                <c:ptCount val="12"/>
                <c:pt idx="0">
                  <c:v>14.048339</c:v>
                </c:pt>
                <c:pt idx="1">
                  <c:v>14.269311999999999</c:v>
                </c:pt>
                <c:pt idx="2">
                  <c:v>14.129918999999999</c:v>
                </c:pt>
                <c:pt idx="3">
                  <c:v>14.563200999999999</c:v>
                </c:pt>
                <c:pt idx="4">
                  <c:v>13.909411</c:v>
                </c:pt>
                <c:pt idx="5">
                  <c:v>13.874438</c:v>
                </c:pt>
                <c:pt idx="6">
                  <c:v>15.825581</c:v>
                </c:pt>
                <c:pt idx="7">
                  <c:v>16.649749</c:v>
                </c:pt>
                <c:pt idx="8">
                  <c:v>16.238548000000002</c:v>
                </c:pt>
                <c:pt idx="9">
                  <c:v>15.147479000000001</c:v>
                </c:pt>
                <c:pt idx="10">
                  <c:v>14.178691000000001</c:v>
                </c:pt>
                <c:pt idx="11">
                  <c:v>15.093411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'22_g'!$A$66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'22_g'!$B$62:$M$62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'22_g'!$B$66:$M$66</c:f>
              <c:numCache>
                <c:formatCode>#,##0.00_ ;\-#,##0.00\ </c:formatCode>
                <c:ptCount val="12"/>
                <c:pt idx="0">
                  <c:v>13.42803046</c:v>
                </c:pt>
                <c:pt idx="1">
                  <c:v>13.238157280000001</c:v>
                </c:pt>
                <c:pt idx="2">
                  <c:v>13.643102019999999</c:v>
                </c:pt>
                <c:pt idx="3">
                  <c:v>14.161293969999999</c:v>
                </c:pt>
                <c:pt idx="4">
                  <c:v>13.726882790000001</c:v>
                </c:pt>
                <c:pt idx="5">
                  <c:v>13.413396649999997</c:v>
                </c:pt>
                <c:pt idx="6">
                  <c:v>15.38676141</c:v>
                </c:pt>
                <c:pt idx="7">
                  <c:v>15.11636566</c:v>
                </c:pt>
                <c:pt idx="8">
                  <c:v>14.53106187</c:v>
                </c:pt>
                <c:pt idx="9">
                  <c:v>14.15525884</c:v>
                </c:pt>
                <c:pt idx="10">
                  <c:v>14.229535709999999</c:v>
                </c:pt>
                <c:pt idx="11">
                  <c:v>14.313302830000001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86176"/>
        <c:axId val="254671040"/>
      </c:lineChart>
      <c:catAx>
        <c:axId val="25598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671040"/>
        <c:crosses val="autoZero"/>
        <c:auto val="1"/>
        <c:lblAlgn val="ctr"/>
        <c:lblOffset val="100"/>
        <c:noMultiLvlLbl val="0"/>
      </c:catAx>
      <c:valAx>
        <c:axId val="2546710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9861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'22_g'!$B$85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'22_g'!$C$85:$N$85</c:f>
              <c:numCache>
                <c:formatCode>#,##0.00_ ;\-#,##0.00\ </c:formatCode>
                <c:ptCount val="12"/>
                <c:pt idx="0">
                  <c:v>13.500048219999998</c:v>
                </c:pt>
                <c:pt idx="1">
                  <c:v>27.302816929999999</c:v>
                </c:pt>
                <c:pt idx="2">
                  <c:v>40.851523059999998</c:v>
                </c:pt>
                <c:pt idx="3">
                  <c:v>54.902570869999998</c:v>
                </c:pt>
                <c:pt idx="4">
                  <c:v>68.256165819999993</c:v>
                </c:pt>
                <c:pt idx="5">
                  <c:v>81.490028669999987</c:v>
                </c:pt>
                <c:pt idx="6">
                  <c:v>96.491793149999992</c:v>
                </c:pt>
                <c:pt idx="7">
                  <c:v>113.11092318999999</c:v>
                </c:pt>
                <c:pt idx="8">
                  <c:v>129.02407563</c:v>
                </c:pt>
                <c:pt idx="9">
                  <c:v>143.91857098</c:v>
                </c:pt>
                <c:pt idx="10">
                  <c:v>156.88792541999999</c:v>
                </c:pt>
                <c:pt idx="11">
                  <c:v>171.74204028</c:v>
                </c:pt>
              </c:numCache>
            </c:numRef>
          </c:val>
        </c:ser>
        <c:ser>
          <c:idx val="0"/>
          <c:order val="2"/>
          <c:tx>
            <c:strRef>
              <c:f>'22_g'!$B$87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'22_g'!$C$87:$N$87</c:f>
              <c:numCache>
                <c:formatCode>#,##0.00_ ;\-#,##0.00\ </c:formatCode>
                <c:ptCount val="12"/>
                <c:pt idx="0">
                  <c:v>13.42803046</c:v>
                </c:pt>
                <c:pt idx="1">
                  <c:v>26.666187740000002</c:v>
                </c:pt>
                <c:pt idx="2">
                  <c:v>40.309289759999999</c:v>
                </c:pt>
                <c:pt idx="3">
                  <c:v>54.470583730000001</c:v>
                </c:pt>
                <c:pt idx="4">
                  <c:v>68.197466520000006</c:v>
                </c:pt>
                <c:pt idx="5">
                  <c:v>81.610863170000002</c:v>
                </c:pt>
                <c:pt idx="6">
                  <c:v>96.997624580000007</c:v>
                </c:pt>
                <c:pt idx="7">
                  <c:v>112.11399024000001</c:v>
                </c:pt>
                <c:pt idx="8">
                  <c:v>126.64505211000001</c:v>
                </c:pt>
                <c:pt idx="9">
                  <c:v>140.80031095000001</c:v>
                </c:pt>
                <c:pt idx="10">
                  <c:v>155.02984666</c:v>
                </c:pt>
                <c:pt idx="11">
                  <c:v>169.34314949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5987200"/>
        <c:axId val="256131648"/>
      </c:barChart>
      <c:lineChart>
        <c:grouping val="standard"/>
        <c:varyColors val="0"/>
        <c:ser>
          <c:idx val="3"/>
          <c:order val="1"/>
          <c:tx>
            <c:strRef>
              <c:f>'22_g'!$B$86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'22_g'!$C$83:$N$83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'22_g'!$C$86:$N$86</c:f>
              <c:numCache>
                <c:formatCode>#,##0.00_ ;\-#,##0.00\ </c:formatCode>
                <c:ptCount val="12"/>
                <c:pt idx="0">
                  <c:v>14.048339</c:v>
                </c:pt>
                <c:pt idx="1">
                  <c:v>28.317650999999998</c:v>
                </c:pt>
                <c:pt idx="2">
                  <c:v>42.447569999999999</c:v>
                </c:pt>
                <c:pt idx="3">
                  <c:v>57.010770999999998</c:v>
                </c:pt>
                <c:pt idx="4">
                  <c:v>70.920181999999997</c:v>
                </c:pt>
                <c:pt idx="5">
                  <c:v>84.794619999999995</c:v>
                </c:pt>
                <c:pt idx="6">
                  <c:v>100.62020099999999</c:v>
                </c:pt>
                <c:pt idx="7">
                  <c:v>117.26994999999999</c:v>
                </c:pt>
                <c:pt idx="8">
                  <c:v>133.508498</c:v>
                </c:pt>
                <c:pt idx="9">
                  <c:v>148.65597700000001</c:v>
                </c:pt>
                <c:pt idx="10">
                  <c:v>162.83466800000002</c:v>
                </c:pt>
                <c:pt idx="11">
                  <c:v>177.92807900000003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87200"/>
        <c:axId val="256131648"/>
      </c:lineChart>
      <c:catAx>
        <c:axId val="2559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131648"/>
        <c:crosses val="autoZero"/>
        <c:auto val="1"/>
        <c:lblAlgn val="ctr"/>
        <c:lblOffset val="100"/>
        <c:noMultiLvlLbl val="0"/>
      </c:catAx>
      <c:valAx>
        <c:axId val="2561316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59872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'22_g'!$S$64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'22_g'!$T$62:$AE$62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'22_g'!$T$64:$AE$64</c:f>
              <c:numCache>
                <c:formatCode>#,##0.00_ ;\-#,##0.00\ </c:formatCode>
                <c:ptCount val="12"/>
                <c:pt idx="0">
                  <c:v>6.140070989999999</c:v>
                </c:pt>
                <c:pt idx="1">
                  <c:v>6.1355746999999985</c:v>
                </c:pt>
                <c:pt idx="2">
                  <c:v>6.4203002500000004</c:v>
                </c:pt>
                <c:pt idx="3">
                  <c:v>5.6562766799999995</c:v>
                </c:pt>
                <c:pt idx="4">
                  <c:v>3.9589558699999996</c:v>
                </c:pt>
                <c:pt idx="5">
                  <c:v>5.9020148299999997</c:v>
                </c:pt>
                <c:pt idx="6">
                  <c:v>5.8113700100000001</c:v>
                </c:pt>
                <c:pt idx="7">
                  <c:v>5.9296159199999998</c:v>
                </c:pt>
                <c:pt idx="8">
                  <c:v>6.1826538600000003</c:v>
                </c:pt>
                <c:pt idx="9">
                  <c:v>5.7854341499999995</c:v>
                </c:pt>
                <c:pt idx="10">
                  <c:v>6.2040427199999995</c:v>
                </c:pt>
                <c:pt idx="11">
                  <c:v>6.1413020399999994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'22_g'!$S$65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'22_g'!$T$62:$AE$62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'22_g'!$T$65:$AE$65</c:f>
              <c:numCache>
                <c:formatCode>#,##0.00_ ;\-#,##0.00\ </c:formatCode>
                <c:ptCount val="12"/>
                <c:pt idx="0">
                  <c:v>5.2409520000000001</c:v>
                </c:pt>
                <c:pt idx="1">
                  <c:v>4.538316</c:v>
                </c:pt>
                <c:pt idx="2">
                  <c:v>3.8826939999999999</c:v>
                </c:pt>
                <c:pt idx="3">
                  <c:v>4.5912420000000003</c:v>
                </c:pt>
                <c:pt idx="4">
                  <c:v>4.4059109999999997</c:v>
                </c:pt>
                <c:pt idx="5">
                  <c:v>4.9345939999999997</c:v>
                </c:pt>
                <c:pt idx="6">
                  <c:v>4.7919029999999996</c:v>
                </c:pt>
                <c:pt idx="7">
                  <c:v>4.7606060000000001</c:v>
                </c:pt>
                <c:pt idx="8">
                  <c:v>4.9907820000000003</c:v>
                </c:pt>
                <c:pt idx="9">
                  <c:v>4.6644350000000001</c:v>
                </c:pt>
                <c:pt idx="10">
                  <c:v>4.7415349999999998</c:v>
                </c:pt>
                <c:pt idx="11">
                  <c:v>4.996156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'22_g'!$S$66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'22_g'!$T$62:$AE$62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'22_g'!$T$66:$AE$66</c:f>
              <c:numCache>
                <c:formatCode>#,##0.00_ ;\-#,##0.00\ </c:formatCode>
                <c:ptCount val="12"/>
                <c:pt idx="0">
                  <c:v>4.1425205400000005</c:v>
                </c:pt>
                <c:pt idx="1">
                  <c:v>5.7702394299999993</c:v>
                </c:pt>
                <c:pt idx="2">
                  <c:v>5.0256641399999999</c:v>
                </c:pt>
                <c:pt idx="3">
                  <c:v>4.2615151000000004</c:v>
                </c:pt>
                <c:pt idx="4">
                  <c:v>5.4937372</c:v>
                </c:pt>
                <c:pt idx="5">
                  <c:v>6.2387600299999999</c:v>
                </c:pt>
                <c:pt idx="6">
                  <c:v>5.6426715200000004</c:v>
                </c:pt>
                <c:pt idx="7">
                  <c:v>5.4913377199999998</c:v>
                </c:pt>
                <c:pt idx="8">
                  <c:v>6.0767034400000011</c:v>
                </c:pt>
                <c:pt idx="9">
                  <c:v>5.4306933900000001</c:v>
                </c:pt>
                <c:pt idx="10">
                  <c:v>5.5529720899999999</c:v>
                </c:pt>
                <c:pt idx="11">
                  <c:v>6.3823749900000006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86208"/>
        <c:axId val="256133952"/>
      </c:lineChart>
      <c:catAx>
        <c:axId val="25468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133952"/>
        <c:crosses val="autoZero"/>
        <c:auto val="1"/>
        <c:lblAlgn val="ctr"/>
        <c:lblOffset val="100"/>
        <c:noMultiLvlLbl val="0"/>
      </c:catAx>
      <c:valAx>
        <c:axId val="2561339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46862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('11'!$A$9,'11'!$A$13,'11'!$A$17)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('11'!$J$9,'11'!$J$13,'11'!$J$17)</c:f>
              <c:numCache>
                <c:formatCode>_(* #,##0.00_);_(* \(#,##0.00\);_(* "-"??_);_(@_)</c:formatCode>
                <c:ptCount val="3"/>
                <c:pt idx="0">
                  <c:v>229.99801513999998</c:v>
                </c:pt>
                <c:pt idx="1">
                  <c:v>193.65071084000004</c:v>
                </c:pt>
                <c:pt idx="2">
                  <c:v>265.66416339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'22_g'!$T$85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'22_g'!$U$85:$AF$85</c:f>
              <c:numCache>
                <c:formatCode>#,##0.00_ ;\-#,##0.00\ </c:formatCode>
                <c:ptCount val="12"/>
                <c:pt idx="0">
                  <c:v>6.140070989999999</c:v>
                </c:pt>
                <c:pt idx="1">
                  <c:v>12.275645689999998</c:v>
                </c:pt>
                <c:pt idx="2">
                  <c:v>18.695945939999998</c:v>
                </c:pt>
                <c:pt idx="3">
                  <c:v>24.352222619999999</c:v>
                </c:pt>
                <c:pt idx="4">
                  <c:v>28.31117849</c:v>
                </c:pt>
                <c:pt idx="5">
                  <c:v>34.213193320000002</c:v>
                </c:pt>
                <c:pt idx="6">
                  <c:v>40.024563329999999</c:v>
                </c:pt>
                <c:pt idx="7">
                  <c:v>45.954179249999996</c:v>
                </c:pt>
                <c:pt idx="8">
                  <c:v>52.136833109999998</c:v>
                </c:pt>
                <c:pt idx="9">
                  <c:v>57.922267259999998</c:v>
                </c:pt>
                <c:pt idx="10">
                  <c:v>64.126309980000002</c:v>
                </c:pt>
                <c:pt idx="11">
                  <c:v>70.267612020000001</c:v>
                </c:pt>
              </c:numCache>
            </c:numRef>
          </c:val>
        </c:ser>
        <c:ser>
          <c:idx val="0"/>
          <c:order val="2"/>
          <c:tx>
            <c:strRef>
              <c:f>'22_g'!$T$87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'22_g'!$U$87:$AF$87</c:f>
              <c:numCache>
                <c:formatCode>#,##0.00_ ;\-#,##0.00\ </c:formatCode>
                <c:ptCount val="12"/>
                <c:pt idx="0">
                  <c:v>4.1425205400000005</c:v>
                </c:pt>
                <c:pt idx="1">
                  <c:v>9.9127599699999998</c:v>
                </c:pt>
                <c:pt idx="2">
                  <c:v>14.93842411</c:v>
                </c:pt>
                <c:pt idx="3">
                  <c:v>19.19993921</c:v>
                </c:pt>
                <c:pt idx="4">
                  <c:v>24.693676410000002</c:v>
                </c:pt>
                <c:pt idx="5">
                  <c:v>30.932436440000004</c:v>
                </c:pt>
                <c:pt idx="6">
                  <c:v>36.575107960000004</c:v>
                </c:pt>
                <c:pt idx="7">
                  <c:v>42.066445680000001</c:v>
                </c:pt>
                <c:pt idx="8">
                  <c:v>48.143149120000004</c:v>
                </c:pt>
                <c:pt idx="9">
                  <c:v>53.573842510000006</c:v>
                </c:pt>
                <c:pt idx="10">
                  <c:v>59.126814600000003</c:v>
                </c:pt>
                <c:pt idx="11">
                  <c:v>65.509189590000005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6422400"/>
        <c:axId val="256136256"/>
      </c:barChart>
      <c:lineChart>
        <c:grouping val="standard"/>
        <c:varyColors val="0"/>
        <c:ser>
          <c:idx val="3"/>
          <c:order val="1"/>
          <c:tx>
            <c:strRef>
              <c:f>'22_g'!$T$86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'22_g'!$U$83:$AF$83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'22_g'!$U$86:$AF$86</c:f>
              <c:numCache>
                <c:formatCode>#,##0.00_ ;\-#,##0.00\ </c:formatCode>
                <c:ptCount val="12"/>
                <c:pt idx="0">
                  <c:v>5.2409520000000001</c:v>
                </c:pt>
                <c:pt idx="1">
                  <c:v>9.7792680000000001</c:v>
                </c:pt>
                <c:pt idx="2">
                  <c:v>13.661961999999999</c:v>
                </c:pt>
                <c:pt idx="3">
                  <c:v>18.253204</c:v>
                </c:pt>
                <c:pt idx="4">
                  <c:v>22.659115</c:v>
                </c:pt>
                <c:pt idx="5">
                  <c:v>27.593709</c:v>
                </c:pt>
                <c:pt idx="6">
                  <c:v>32.385612000000002</c:v>
                </c:pt>
                <c:pt idx="7">
                  <c:v>37.146218000000005</c:v>
                </c:pt>
                <c:pt idx="8">
                  <c:v>42.137000000000008</c:v>
                </c:pt>
                <c:pt idx="9">
                  <c:v>46.801435000000005</c:v>
                </c:pt>
                <c:pt idx="10">
                  <c:v>51.542970000000004</c:v>
                </c:pt>
                <c:pt idx="11">
                  <c:v>56.539126000000003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422400"/>
        <c:axId val="256136256"/>
      </c:lineChart>
      <c:catAx>
        <c:axId val="25642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136256"/>
        <c:crosses val="autoZero"/>
        <c:auto val="1"/>
        <c:lblAlgn val="ctr"/>
        <c:lblOffset val="100"/>
        <c:noMultiLvlLbl val="0"/>
      </c:catAx>
      <c:valAx>
        <c:axId val="2561362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4224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'22_g'!$AI$64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'22_g'!$AJ$62:$AU$62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'22_g'!$AJ$64:$AU$64</c:f>
              <c:numCache>
                <c:formatCode>#,##0.00_ ;\-#,##0.00\ </c:formatCode>
                <c:ptCount val="12"/>
                <c:pt idx="0">
                  <c:v>7.3599772299999993</c:v>
                </c:pt>
                <c:pt idx="1">
                  <c:v>7.6671940100000002</c:v>
                </c:pt>
                <c:pt idx="2">
                  <c:v>7.1284058800000007</c:v>
                </c:pt>
                <c:pt idx="3">
                  <c:v>8.3947711300000023</c:v>
                </c:pt>
                <c:pt idx="4">
                  <c:v>9.3946390799999975</c:v>
                </c:pt>
                <c:pt idx="5">
                  <c:v>7.3318480199999998</c:v>
                </c:pt>
                <c:pt idx="6">
                  <c:v>9.1903944700000011</c:v>
                </c:pt>
                <c:pt idx="7">
                  <c:v>10.689514119999998</c:v>
                </c:pt>
                <c:pt idx="8">
                  <c:v>9.7304985800000008</c:v>
                </c:pt>
                <c:pt idx="9">
                  <c:v>9.1090612000000029</c:v>
                </c:pt>
                <c:pt idx="10">
                  <c:v>6.7653117199999988</c:v>
                </c:pt>
                <c:pt idx="11">
                  <c:v>8.7128128199999999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'22_g'!$AI$65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'22_g'!$AJ$62:$AU$62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'22_g'!$AJ$65:$AU$65</c:f>
              <c:numCache>
                <c:formatCode>#,##0.00_ ;\-#,##0.00\ </c:formatCode>
                <c:ptCount val="12"/>
                <c:pt idx="0">
                  <c:v>8.8073870000000003</c:v>
                </c:pt>
                <c:pt idx="1">
                  <c:v>9.7309959999999993</c:v>
                </c:pt>
                <c:pt idx="2">
                  <c:v>10.247225</c:v>
                </c:pt>
                <c:pt idx="3">
                  <c:v>9.9719589999999982</c:v>
                </c:pt>
                <c:pt idx="4">
                  <c:v>9.5035000000000007</c:v>
                </c:pt>
                <c:pt idx="5">
                  <c:v>8.9398440000000008</c:v>
                </c:pt>
                <c:pt idx="6">
                  <c:v>11.033678</c:v>
                </c:pt>
                <c:pt idx="7">
                  <c:v>11.889143000000001</c:v>
                </c:pt>
                <c:pt idx="8">
                  <c:v>11.247766000000002</c:v>
                </c:pt>
                <c:pt idx="9">
                  <c:v>10.483044</c:v>
                </c:pt>
                <c:pt idx="10">
                  <c:v>9.4371560000000017</c:v>
                </c:pt>
                <c:pt idx="11">
                  <c:v>10.097255000000001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'22_g'!$AI$66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'22_g'!$AJ$62:$AU$62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'22_g'!$AJ$66:$AU$66</c:f>
              <c:numCache>
                <c:formatCode>#,##0.00_ ;\-#,##0.00\ </c:formatCode>
                <c:ptCount val="12"/>
                <c:pt idx="0">
                  <c:v>9.2855099199999991</c:v>
                </c:pt>
                <c:pt idx="1">
                  <c:v>7.4679178500000019</c:v>
                </c:pt>
                <c:pt idx="2">
                  <c:v>8.6174378799999989</c:v>
                </c:pt>
                <c:pt idx="3">
                  <c:v>9.8997788699999987</c:v>
                </c:pt>
                <c:pt idx="4">
                  <c:v>8.2331455900000012</c:v>
                </c:pt>
                <c:pt idx="5">
                  <c:v>7.1746366199999976</c:v>
                </c:pt>
                <c:pt idx="6">
                  <c:v>9.7440898899999997</c:v>
                </c:pt>
                <c:pt idx="7">
                  <c:v>9.6250279399999989</c:v>
                </c:pt>
                <c:pt idx="8">
                  <c:v>8.4543584299999992</c:v>
                </c:pt>
                <c:pt idx="9">
                  <c:v>8.7245654500000001</c:v>
                </c:pt>
                <c:pt idx="10">
                  <c:v>8.6765636199999996</c:v>
                </c:pt>
                <c:pt idx="11">
                  <c:v>7.9309278400000007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423424"/>
        <c:axId val="256138560"/>
      </c:lineChart>
      <c:catAx>
        <c:axId val="25642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138560"/>
        <c:crosses val="autoZero"/>
        <c:auto val="1"/>
        <c:lblAlgn val="ctr"/>
        <c:lblOffset val="100"/>
        <c:noMultiLvlLbl val="0"/>
      </c:catAx>
      <c:valAx>
        <c:axId val="2561385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40043930679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4234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3544423968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'22_g'!$AJ$85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'22_g'!$AK$85:$AV$85</c:f>
              <c:numCache>
                <c:formatCode>#,##0.00_ ;\-#,##0.00\ </c:formatCode>
                <c:ptCount val="12"/>
                <c:pt idx="0">
                  <c:v>7.3599772299999993</c:v>
                </c:pt>
                <c:pt idx="1">
                  <c:v>15.027171239999999</c:v>
                </c:pt>
                <c:pt idx="2">
                  <c:v>22.15557712</c:v>
                </c:pt>
                <c:pt idx="3">
                  <c:v>30.550348250000003</c:v>
                </c:pt>
                <c:pt idx="4">
                  <c:v>39.944987330000004</c:v>
                </c:pt>
                <c:pt idx="5">
                  <c:v>47.276835350000006</c:v>
                </c:pt>
                <c:pt idx="6">
                  <c:v>56.467229820000007</c:v>
                </c:pt>
                <c:pt idx="7">
                  <c:v>67.156743940000013</c:v>
                </c:pt>
                <c:pt idx="8">
                  <c:v>76.887242520000015</c:v>
                </c:pt>
                <c:pt idx="9">
                  <c:v>85.996303720000014</c:v>
                </c:pt>
                <c:pt idx="10">
                  <c:v>92.761615440000014</c:v>
                </c:pt>
                <c:pt idx="11">
                  <c:v>101.47442826000001</c:v>
                </c:pt>
              </c:numCache>
            </c:numRef>
          </c:val>
        </c:ser>
        <c:ser>
          <c:idx val="0"/>
          <c:order val="2"/>
          <c:tx>
            <c:strRef>
              <c:f>'22_g'!$AJ$87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'22_g'!$AK$83:$AV$83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'22_g'!$AK$87:$AV$87</c:f>
              <c:numCache>
                <c:formatCode>#,##0.00_ ;\-#,##0.00\ </c:formatCode>
                <c:ptCount val="12"/>
                <c:pt idx="0">
                  <c:v>9.2855099199999991</c:v>
                </c:pt>
                <c:pt idx="1">
                  <c:v>16.753427770000002</c:v>
                </c:pt>
                <c:pt idx="2">
                  <c:v>25.370865649999999</c:v>
                </c:pt>
                <c:pt idx="3">
                  <c:v>35.270644519999998</c:v>
                </c:pt>
                <c:pt idx="4">
                  <c:v>43.503790109999997</c:v>
                </c:pt>
                <c:pt idx="5">
                  <c:v>50.678426729999998</c:v>
                </c:pt>
                <c:pt idx="6">
                  <c:v>60.422516619999996</c:v>
                </c:pt>
                <c:pt idx="7">
                  <c:v>70.047544559999992</c:v>
                </c:pt>
                <c:pt idx="8">
                  <c:v>78.501902989999991</c:v>
                </c:pt>
                <c:pt idx="9">
                  <c:v>87.226468439999991</c:v>
                </c:pt>
                <c:pt idx="10">
                  <c:v>95.903032059999987</c:v>
                </c:pt>
                <c:pt idx="11">
                  <c:v>103.83395989999998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6423936"/>
        <c:axId val="256345792"/>
      </c:barChart>
      <c:lineChart>
        <c:grouping val="standard"/>
        <c:varyColors val="0"/>
        <c:ser>
          <c:idx val="3"/>
          <c:order val="1"/>
          <c:tx>
            <c:strRef>
              <c:f>'22_g'!$AJ$86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'22_g'!$AK$83:$AV$83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'22_g'!$AK$86:$AV$86</c:f>
              <c:numCache>
                <c:formatCode>#,##0.00_ ;\-#,##0.00\ </c:formatCode>
                <c:ptCount val="12"/>
                <c:pt idx="0">
                  <c:v>8.8073870000000003</c:v>
                </c:pt>
                <c:pt idx="1">
                  <c:v>18.538383</c:v>
                </c:pt>
                <c:pt idx="2">
                  <c:v>28.785608</c:v>
                </c:pt>
                <c:pt idx="3">
                  <c:v>38.757566999999995</c:v>
                </c:pt>
                <c:pt idx="4">
                  <c:v>48.261066999999997</c:v>
                </c:pt>
                <c:pt idx="5">
                  <c:v>57.200910999999998</c:v>
                </c:pt>
                <c:pt idx="6">
                  <c:v>68.234589</c:v>
                </c:pt>
                <c:pt idx="7">
                  <c:v>80.123732000000004</c:v>
                </c:pt>
                <c:pt idx="8">
                  <c:v>91.371498000000003</c:v>
                </c:pt>
                <c:pt idx="9">
                  <c:v>101.85454200000001</c:v>
                </c:pt>
                <c:pt idx="10">
                  <c:v>111.29169800000001</c:v>
                </c:pt>
                <c:pt idx="11">
                  <c:v>121.38895300000001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423936"/>
        <c:axId val="256345792"/>
      </c:lineChart>
      <c:catAx>
        <c:axId val="2564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345792"/>
        <c:crosses val="autoZero"/>
        <c:auto val="1"/>
        <c:lblAlgn val="ctr"/>
        <c:lblOffset val="100"/>
        <c:noMultiLvlLbl val="0"/>
      </c:catAx>
      <c:valAx>
        <c:axId val="256345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2296045019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4239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733140882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'22_g'!$T$21:$U$21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'22_g'!$V$20:$AC$20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'22_g'!$V$21:$AC$21</c:f>
              <c:numCache>
                <c:formatCode>#,##0</c:formatCode>
                <c:ptCount val="8"/>
                <c:pt idx="0">
                  <c:v>293.9140625</c:v>
                </c:pt>
                <c:pt idx="1">
                  <c:v>261</c:v>
                </c:pt>
                <c:pt idx="2">
                  <c:v>618.43536931818187</c:v>
                </c:pt>
                <c:pt idx="3">
                  <c:v>524</c:v>
                </c:pt>
                <c:pt idx="4">
                  <c:v>1099.5568181818182</c:v>
                </c:pt>
                <c:pt idx="5">
                  <c:v>809</c:v>
                </c:pt>
                <c:pt idx="6">
                  <c:v>1394</c:v>
                </c:pt>
                <c:pt idx="7">
                  <c:v>1337</c:v>
                </c:pt>
              </c:numCache>
            </c:numRef>
          </c:val>
        </c:ser>
        <c:ser>
          <c:idx val="0"/>
          <c:order val="1"/>
          <c:tx>
            <c:strRef>
              <c:f>'22_g'!$T$22:$U$22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'22_g'!$V$20:$AC$20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'22_g'!$V$22:$AC$22</c:f>
              <c:numCache>
                <c:formatCode>#,##0</c:formatCode>
                <c:ptCount val="8"/>
                <c:pt idx="0">
                  <c:v>19</c:v>
                </c:pt>
                <c:pt idx="1">
                  <c:v>24</c:v>
                </c:pt>
                <c:pt idx="2">
                  <c:v>38</c:v>
                </c:pt>
                <c:pt idx="3">
                  <c:v>28</c:v>
                </c:pt>
                <c:pt idx="4">
                  <c:v>70</c:v>
                </c:pt>
                <c:pt idx="5">
                  <c:v>46</c:v>
                </c:pt>
                <c:pt idx="6">
                  <c:v>127</c:v>
                </c:pt>
                <c:pt idx="7">
                  <c:v>247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56424960"/>
        <c:axId val="256348096"/>
      </c:barChart>
      <c:catAx>
        <c:axId val="25642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256348096"/>
        <c:crosses val="autoZero"/>
        <c:auto val="1"/>
        <c:lblAlgn val="ctr"/>
        <c:lblOffset val="100"/>
        <c:noMultiLvlLbl val="0"/>
      </c:catAx>
      <c:valAx>
        <c:axId val="256348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56424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('23'!$A$9,'23'!$A$13,'23'!$A$17)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('23'!$B$9,'23'!$B$13,'23'!$B$17)</c:f>
              <c:numCache>
                <c:formatCode>_-* #,##0_-;\-* #,##0_-;_-* "-"??_-;_-@_-</c:formatCode>
                <c:ptCount val="3"/>
                <c:pt idx="0">
                  <c:v>4632</c:v>
                </c:pt>
                <c:pt idx="1">
                  <c:v>581</c:v>
                </c:pt>
                <c:pt idx="2">
                  <c:v>161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('23'!$A$9,'23'!$A$13,'23'!$A$17)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('23'!$G$9,'23'!$G$13,'23'!$G$17)</c:f>
              <c:numCache>
                <c:formatCode>_-* #,##0_-;\-* #,##0_-;_-* "-"??_-;_-@_-</c:formatCode>
                <c:ptCount val="3"/>
                <c:pt idx="0">
                  <c:v>4812</c:v>
                </c:pt>
                <c:pt idx="1">
                  <c:v>599</c:v>
                </c:pt>
                <c:pt idx="2">
                  <c:v>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('23'!$A$9,'23'!$A$13,'23'!$A$17)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('23'!$C$9,'23'!$C$13,'23'!$C$17)</c:f>
              <c:numCache>
                <c:formatCode>_(* #,##0.00_);_(* \(#,##0.00\);_(* "-"??_);_(@_)</c:formatCode>
                <c:ptCount val="3"/>
                <c:pt idx="0">
                  <c:v>0.72053999999999996</c:v>
                </c:pt>
                <c:pt idx="1">
                  <c:v>0.25206299999999998</c:v>
                </c:pt>
                <c:pt idx="2">
                  <c:v>6.3482999999999998E-2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('23'!$A$9,'23'!$A$13,'23'!$A$17)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('23'!$H$9,'23'!$H$13,'23'!$H$17)</c:f>
              <c:numCache>
                <c:formatCode>_(* #,##0.00_);_(* \(#,##0.00\);_(* "-"??_);_(@_)</c:formatCode>
                <c:ptCount val="3"/>
                <c:pt idx="0">
                  <c:v>0.75172600000000001</c:v>
                </c:pt>
                <c:pt idx="1">
                  <c:v>0.221943</c:v>
                </c:pt>
                <c:pt idx="2">
                  <c:v>7.6240000000000002E-2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('23'!$A$9,'23'!$A$13,'23'!$A$17)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('23'!$E$9,'23'!$E$13,'23'!$E$17)</c:f>
              <c:numCache>
                <c:formatCode>_(* #,##0.00_);_(* \(#,##0.00\);_(* "-"??_);_(@_)</c:formatCode>
                <c:ptCount val="3"/>
                <c:pt idx="0">
                  <c:v>9.6473124099999978</c:v>
                </c:pt>
                <c:pt idx="1">
                  <c:v>5.2870682500000008</c:v>
                </c:pt>
                <c:pt idx="2">
                  <c:v>1.6883968999999999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('23'!$A$9,'23'!$A$13,'23'!$A$17)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('23'!$J$9,'23'!$J$13,'23'!$J$17)</c:f>
              <c:numCache>
                <c:formatCode>_(* #,##0.00_);_(* \(#,##0.00\);_(* "-"??_);_(@_)</c:formatCode>
                <c:ptCount val="3"/>
                <c:pt idx="0">
                  <c:v>10.129176659999999</c:v>
                </c:pt>
                <c:pt idx="1">
                  <c:v>4.6272516500000016</c:v>
                </c:pt>
                <c:pt idx="2">
                  <c:v>2.0565173999999997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('11'!$A$9,'11'!$A$13,'11'!$A$17,'11'!$A$20)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('11'!$D$9,'11'!$D$13,'11'!$D$17,'11'!$D$20)</c:f>
              <c:numCache>
                <c:formatCode>_-* #,##0.000_-;\-* #,##0.000_-;_-* "-"??_-;_-@_-</c:formatCode>
                <c:ptCount val="4"/>
                <c:pt idx="0">
                  <c:v>0.54713343875873821</c:v>
                </c:pt>
                <c:pt idx="1">
                  <c:v>1.3629942731808311</c:v>
                </c:pt>
                <c:pt idx="2">
                  <c:v>2.8938051699762957</c:v>
                </c:pt>
                <c:pt idx="3">
                  <c:v>0.88596034269812807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('11'!$A$9,'11'!$A$13,'11'!$A$17,'11'!$A$20)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('11'!$I$9,'11'!$I$13,'11'!$I$17,'11'!$I$20)</c:f>
              <c:numCache>
                <c:formatCode>_-* #,##0.000_-;\-* #,##0.000_-;_-* "-"??_-;_-@_-</c:formatCode>
                <c:ptCount val="4"/>
                <c:pt idx="0">
                  <c:v>0.52935123159481134</c:v>
                </c:pt>
                <c:pt idx="1">
                  <c:v>1.3548833655934724</c:v>
                </c:pt>
                <c:pt idx="2">
                  <c:v>2.8483358873491418</c:v>
                </c:pt>
                <c:pt idx="3">
                  <c:v>0.86007233181267329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70132480"/>
        <c:axId val="171594816"/>
      </c:barChart>
      <c:catAx>
        <c:axId val="1701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594816"/>
        <c:crosses val="autoZero"/>
        <c:auto val="1"/>
        <c:lblAlgn val="ctr"/>
        <c:lblOffset val="100"/>
        <c:noMultiLvlLbl val="0"/>
      </c:catAx>
      <c:valAx>
        <c:axId val="1715948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0132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('23'!$A$9,'23'!$A$13,'23'!$A$17,'23'!$A$20)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('23'!$D$9,'23'!$D$13,'23'!$D$17,'23'!$D$20)</c:f>
              <c:numCache>
                <c:formatCode>_-* #,##0.000_-;\-* #,##0.000_-;_-* "-"??_-;_-@_-</c:formatCode>
                <c:ptCount val="4"/>
                <c:pt idx="0">
                  <c:v>0.43577973328494962</c:v>
                </c:pt>
                <c:pt idx="1">
                  <c:v>1.1906613131790269</c:v>
                </c:pt>
                <c:pt idx="2">
                  <c:v>1.073617453069508</c:v>
                </c:pt>
                <c:pt idx="3">
                  <c:v>0.53842787951857318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('23'!$A$9,'23'!$A$13,'23'!$A$17,'23'!$A$20)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('23'!$I$9,'23'!$I$13,'23'!$I$17,'23'!$I$20)</c:f>
              <c:numCache>
                <c:formatCode>_-* #,##0.000_-;\-* #,##0.000_-;_-* "-"??_-;_-@_-</c:formatCode>
                <c:ptCount val="4"/>
                <c:pt idx="0">
                  <c:v>0.4361548682065296</c:v>
                </c:pt>
                <c:pt idx="1">
                  <c:v>1.0306152774553052</c:v>
                </c:pt>
                <c:pt idx="2">
                  <c:v>1.2697672481991922</c:v>
                </c:pt>
                <c:pt idx="3">
                  <c:v>0.52523747168787183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7149440"/>
        <c:axId val="257176640"/>
      </c:barChart>
      <c:catAx>
        <c:axId val="25714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176640"/>
        <c:crosses val="autoZero"/>
        <c:auto val="1"/>
        <c:lblAlgn val="ctr"/>
        <c:lblOffset val="100"/>
        <c:noMultiLvlLbl val="0"/>
      </c:catAx>
      <c:valAx>
        <c:axId val="2571766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14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('23'!$A$9,'23'!$A$13,'23'!$A$17,'23'!$A$20)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('23'!$F$9,'23'!$F$13,'23'!$F$17,'23'!$F$20)</c:f>
              <c:numCache>
                <c:formatCode>_(* #,##0.00_);_(* \(#,##0.00\);_(* "-"??_);_(@_)</c:formatCode>
                <c:ptCount val="4"/>
                <c:pt idx="0">
                  <c:v>13.389003261442804</c:v>
                </c:pt>
                <c:pt idx="1">
                  <c:v>20.975185767050306</c:v>
                </c:pt>
                <c:pt idx="2">
                  <c:v>26.596047760817857</c:v>
                </c:pt>
                <c:pt idx="3">
                  <c:v>16.043820262024578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('23'!$A$9,'23'!$A$13,'23'!$A$17,'23'!$A$20)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('23'!$K$9,'23'!$K$13,'23'!$K$17,'23'!$K$20)</c:f>
              <c:numCache>
                <c:formatCode>_(* #,##0.00_);_(* \(#,##0.00\);_(* "-"??_);_(@_)</c:formatCode>
                <c:ptCount val="4"/>
                <c:pt idx="0">
                  <c:v>13.474559427238114</c:v>
                </c:pt>
                <c:pt idx="1">
                  <c:v>20.848828978611632</c:v>
                </c:pt>
                <c:pt idx="2">
                  <c:v>26.974257607555085</c:v>
                </c:pt>
                <c:pt idx="3">
                  <c:v>16.013717103101317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7150464"/>
        <c:axId val="257178368"/>
      </c:barChart>
      <c:catAx>
        <c:axId val="2571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178368"/>
        <c:crosses val="autoZero"/>
        <c:auto val="1"/>
        <c:lblAlgn val="ctr"/>
        <c:lblOffset val="100"/>
        <c:noMultiLvlLbl val="0"/>
      </c:catAx>
      <c:valAx>
        <c:axId val="2571783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150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'23_g'!$A$18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'23_g'!$B$16:$M$16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'23_g'!$B$18:$M$18</c:f>
              <c:numCache>
                <c:formatCode>#,##0_ ;\-#,##0\ </c:formatCode>
                <c:ptCount val="12"/>
                <c:pt idx="0">
                  <c:v>16</c:v>
                </c:pt>
                <c:pt idx="1">
                  <c:v>9</c:v>
                </c:pt>
                <c:pt idx="2">
                  <c:v>11</c:v>
                </c:pt>
                <c:pt idx="3">
                  <c:v>17</c:v>
                </c:pt>
                <c:pt idx="4">
                  <c:v>21</c:v>
                </c:pt>
                <c:pt idx="5">
                  <c:v>30</c:v>
                </c:pt>
                <c:pt idx="6">
                  <c:v>19</c:v>
                </c:pt>
                <c:pt idx="7">
                  <c:v>15</c:v>
                </c:pt>
                <c:pt idx="8">
                  <c:v>8</c:v>
                </c:pt>
                <c:pt idx="9">
                  <c:v>27</c:v>
                </c:pt>
                <c:pt idx="10">
                  <c:v>35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'23_g'!$A$19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'23_g'!$B$16:$M$16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'23_g'!$B$19:$M$19</c:f>
              <c:numCache>
                <c:formatCode>#,##0_ ;\-#,##0\ </c:formatCode>
                <c:ptCount val="12"/>
                <c:pt idx="0">
                  <c:v>13.283544303797468</c:v>
                </c:pt>
                <c:pt idx="1">
                  <c:v>22.306329113924047</c:v>
                </c:pt>
                <c:pt idx="2">
                  <c:v>13.534177215189871</c:v>
                </c:pt>
                <c:pt idx="3">
                  <c:v>16.291139240506329</c:v>
                </c:pt>
                <c:pt idx="4">
                  <c:v>23.559493670886074</c:v>
                </c:pt>
                <c:pt idx="5">
                  <c:v>26.316455696202528</c:v>
                </c:pt>
                <c:pt idx="6">
                  <c:v>16.792405063291135</c:v>
                </c:pt>
                <c:pt idx="7">
                  <c:v>10.777215189873417</c:v>
                </c:pt>
                <c:pt idx="8">
                  <c:v>9.7746835443037963</c:v>
                </c:pt>
                <c:pt idx="9">
                  <c:v>14.286075949367088</c:v>
                </c:pt>
                <c:pt idx="10">
                  <c:v>17.293670886075947</c:v>
                </c:pt>
                <c:pt idx="11">
                  <c:v>13.784810126582276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'23_g'!$A$20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'23_g'!$B$16:$M$16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'23_g'!$B$20:$M$20</c:f>
              <c:numCache>
                <c:formatCode>#,##0_ ;\-#,##0\ </c:formatCode>
                <c:ptCount val="12"/>
                <c:pt idx="0">
                  <c:v>14</c:v>
                </c:pt>
                <c:pt idx="1">
                  <c:v>11</c:v>
                </c:pt>
                <c:pt idx="2">
                  <c:v>30</c:v>
                </c:pt>
                <c:pt idx="3">
                  <c:v>22</c:v>
                </c:pt>
                <c:pt idx="4">
                  <c:v>13</c:v>
                </c:pt>
                <c:pt idx="5">
                  <c:v>19</c:v>
                </c:pt>
                <c:pt idx="6">
                  <c:v>8</c:v>
                </c:pt>
                <c:pt idx="7">
                  <c:v>17</c:v>
                </c:pt>
                <c:pt idx="8">
                  <c:v>8</c:v>
                </c:pt>
                <c:pt idx="9">
                  <c:v>15</c:v>
                </c:pt>
                <c:pt idx="10">
                  <c:v>34</c:v>
                </c:pt>
                <c:pt idx="11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87136"/>
        <c:axId val="257712704"/>
      </c:lineChart>
      <c:catAx>
        <c:axId val="2569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712704"/>
        <c:crosses val="autoZero"/>
        <c:auto val="1"/>
        <c:lblAlgn val="ctr"/>
        <c:lblOffset val="100"/>
        <c:noMultiLvlLbl val="0"/>
      </c:catAx>
      <c:valAx>
        <c:axId val="2577127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9871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'23_g'!$B$39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'23_g'!$C$39:$N$39</c:f>
              <c:numCache>
                <c:formatCode>#,##0_ ;\-#,##0\ </c:formatCode>
                <c:ptCount val="12"/>
                <c:pt idx="0">
                  <c:v>16</c:v>
                </c:pt>
                <c:pt idx="1">
                  <c:v>25</c:v>
                </c:pt>
                <c:pt idx="2">
                  <c:v>36</c:v>
                </c:pt>
                <c:pt idx="3">
                  <c:v>53</c:v>
                </c:pt>
                <c:pt idx="4">
                  <c:v>74</c:v>
                </c:pt>
                <c:pt idx="5">
                  <c:v>104</c:v>
                </c:pt>
                <c:pt idx="6">
                  <c:v>123</c:v>
                </c:pt>
                <c:pt idx="7">
                  <c:v>138</c:v>
                </c:pt>
                <c:pt idx="8">
                  <c:v>146</c:v>
                </c:pt>
                <c:pt idx="9">
                  <c:v>173</c:v>
                </c:pt>
                <c:pt idx="10">
                  <c:v>208</c:v>
                </c:pt>
                <c:pt idx="11">
                  <c:v>234</c:v>
                </c:pt>
              </c:numCache>
            </c:numRef>
          </c:val>
        </c:ser>
        <c:ser>
          <c:idx val="0"/>
          <c:order val="2"/>
          <c:tx>
            <c:strRef>
              <c:f>'23_g'!$B$41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'23_g'!$C$41:$N$41</c:f>
              <c:numCache>
                <c:formatCode>#,##0_ ;\-#,##0\ </c:formatCode>
                <c:ptCount val="12"/>
                <c:pt idx="0">
                  <c:v>14</c:v>
                </c:pt>
                <c:pt idx="1">
                  <c:v>25</c:v>
                </c:pt>
                <c:pt idx="2">
                  <c:v>55</c:v>
                </c:pt>
                <c:pt idx="3">
                  <c:v>77</c:v>
                </c:pt>
                <c:pt idx="4">
                  <c:v>90</c:v>
                </c:pt>
                <c:pt idx="5">
                  <c:v>109</c:v>
                </c:pt>
                <c:pt idx="6">
                  <c:v>117</c:v>
                </c:pt>
                <c:pt idx="7">
                  <c:v>134</c:v>
                </c:pt>
                <c:pt idx="8">
                  <c:v>142</c:v>
                </c:pt>
                <c:pt idx="9">
                  <c:v>157</c:v>
                </c:pt>
                <c:pt idx="10">
                  <c:v>191</c:v>
                </c:pt>
                <c:pt idx="11">
                  <c:v>214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6987648"/>
        <c:axId val="257715008"/>
      </c:barChart>
      <c:lineChart>
        <c:grouping val="standard"/>
        <c:varyColors val="0"/>
        <c:ser>
          <c:idx val="3"/>
          <c:order val="1"/>
          <c:tx>
            <c:strRef>
              <c:f>'23_g'!$B$40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'23_g'!$C$37:$N$37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'23_g'!$C$40:$N$40</c:f>
              <c:numCache>
                <c:formatCode>#,##0_ ;\-#,##0\ </c:formatCode>
                <c:ptCount val="12"/>
                <c:pt idx="0">
                  <c:v>13.283544303797468</c:v>
                </c:pt>
                <c:pt idx="1">
                  <c:v>35.589873417721513</c:v>
                </c:pt>
                <c:pt idx="2">
                  <c:v>49.124050632911384</c:v>
                </c:pt>
                <c:pt idx="3">
                  <c:v>65.415189873417717</c:v>
                </c:pt>
                <c:pt idx="4">
                  <c:v>88.974683544303787</c:v>
                </c:pt>
                <c:pt idx="5">
                  <c:v>115.29113924050631</c:v>
                </c:pt>
                <c:pt idx="6">
                  <c:v>132.08354430379745</c:v>
                </c:pt>
                <c:pt idx="7">
                  <c:v>142.86075949367086</c:v>
                </c:pt>
                <c:pt idx="8">
                  <c:v>152.63544303797465</c:v>
                </c:pt>
                <c:pt idx="9">
                  <c:v>166.92151898734176</c:v>
                </c:pt>
                <c:pt idx="10">
                  <c:v>184.2151898734177</c:v>
                </c:pt>
                <c:pt idx="11">
                  <c:v>197.99999999999997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87648"/>
        <c:axId val="257715008"/>
      </c:lineChart>
      <c:catAx>
        <c:axId val="2569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715008"/>
        <c:crosses val="autoZero"/>
        <c:auto val="1"/>
        <c:lblAlgn val="ctr"/>
        <c:lblOffset val="100"/>
        <c:noMultiLvlLbl val="0"/>
      </c:catAx>
      <c:valAx>
        <c:axId val="2577150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9876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'23_g'!$AI$18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'23_g'!$AJ$16:$AU$16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'23_g'!$AJ$18:$AU$18</c:f>
              <c:numCache>
                <c:formatCode>#,##0.000_ ;\-#,##0.000\ </c:formatCode>
                <c:ptCount val="12"/>
                <c:pt idx="0">
                  <c:v>7.6564999999999994E-2</c:v>
                </c:pt>
                <c:pt idx="1">
                  <c:v>8.1775E-2</c:v>
                </c:pt>
                <c:pt idx="2">
                  <c:v>8.1583000000000003E-2</c:v>
                </c:pt>
                <c:pt idx="3">
                  <c:v>8.3429000000000003E-2</c:v>
                </c:pt>
                <c:pt idx="4">
                  <c:v>7.7948400000000001E-2</c:v>
                </c:pt>
                <c:pt idx="5">
                  <c:v>7.97239E-2</c:v>
                </c:pt>
                <c:pt idx="6">
                  <c:v>9.5738399999999987E-2</c:v>
                </c:pt>
                <c:pt idx="7">
                  <c:v>0.114638</c:v>
                </c:pt>
                <c:pt idx="8">
                  <c:v>9.5234800000000008E-2</c:v>
                </c:pt>
                <c:pt idx="9">
                  <c:v>8.8342100000000007E-2</c:v>
                </c:pt>
                <c:pt idx="10">
                  <c:v>8.3597899999999989E-2</c:v>
                </c:pt>
                <c:pt idx="11">
                  <c:v>8.2579E-2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'23_g'!$AI$19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'23_g'!$AJ$16:$AU$16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'23_g'!$AJ$19:$AU$19</c:f>
              <c:numCache>
                <c:formatCode>#,##0.000_ ;\-#,##0.000\ </c:formatCode>
                <c:ptCount val="12"/>
                <c:pt idx="0">
                  <c:v>7.707E-2</c:v>
                </c:pt>
                <c:pt idx="1">
                  <c:v>8.0411999999999997E-2</c:v>
                </c:pt>
                <c:pt idx="2">
                  <c:v>7.8339000000000006E-2</c:v>
                </c:pt>
                <c:pt idx="3">
                  <c:v>8.4489999999999996E-2</c:v>
                </c:pt>
                <c:pt idx="4">
                  <c:v>7.8875000000000001E-2</c:v>
                </c:pt>
                <c:pt idx="5">
                  <c:v>7.8770000000000007E-2</c:v>
                </c:pt>
                <c:pt idx="6">
                  <c:v>9.4892000000000004E-2</c:v>
                </c:pt>
                <c:pt idx="7">
                  <c:v>0.10477</c:v>
                </c:pt>
                <c:pt idx="8">
                  <c:v>9.1314999999999993E-2</c:v>
                </c:pt>
                <c:pt idx="9">
                  <c:v>8.6608000000000004E-2</c:v>
                </c:pt>
                <c:pt idx="10">
                  <c:v>8.3104999999999998E-2</c:v>
                </c:pt>
                <c:pt idx="11">
                  <c:v>8.4763000000000005E-2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'23_g'!$AI$20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'23_g'!$AJ$16:$AU$16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'23_g'!$AJ$20:$AU$20</c:f>
              <c:numCache>
                <c:formatCode>#,##0.000_ ;\-#,##0.000\ </c:formatCode>
                <c:ptCount val="12"/>
                <c:pt idx="0">
                  <c:v>8.2737600000000008E-2</c:v>
                </c:pt>
                <c:pt idx="1">
                  <c:v>8.6150199999999996E-2</c:v>
                </c:pt>
                <c:pt idx="2">
                  <c:v>8.3412699999999992E-2</c:v>
                </c:pt>
                <c:pt idx="3">
                  <c:v>9.0232000000000007E-2</c:v>
                </c:pt>
                <c:pt idx="4">
                  <c:v>8.2901500000000003E-2</c:v>
                </c:pt>
                <c:pt idx="5">
                  <c:v>8.51412E-2</c:v>
                </c:pt>
                <c:pt idx="6">
                  <c:v>9.6033499999999994E-2</c:v>
                </c:pt>
                <c:pt idx="7">
                  <c:v>0.10157389999999999</c:v>
                </c:pt>
                <c:pt idx="8">
                  <c:v>8.5647399999999999E-2</c:v>
                </c:pt>
                <c:pt idx="9">
                  <c:v>8.8641300000000006E-2</c:v>
                </c:pt>
                <c:pt idx="10">
                  <c:v>8.3092600000000003E-2</c:v>
                </c:pt>
                <c:pt idx="11">
                  <c:v>8.8449699999999992E-2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72512"/>
        <c:axId val="257717312"/>
      </c:lineChart>
      <c:catAx>
        <c:axId val="2574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717312"/>
        <c:crosses val="autoZero"/>
        <c:auto val="1"/>
        <c:lblAlgn val="ctr"/>
        <c:lblOffset val="100"/>
        <c:noMultiLvlLbl val="0"/>
      </c:catAx>
      <c:valAx>
        <c:axId val="2577173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231729704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4725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750595482"/>
          <c:y val="2.2161373086791118E-2"/>
          <c:w val="0.35128897182649865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'23_g'!$AJ$39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'23_g'!$AK$39:$AV$39</c:f>
              <c:numCache>
                <c:formatCode>#,##0.000_ ;\-#,##0.000\ </c:formatCode>
                <c:ptCount val="12"/>
                <c:pt idx="0">
                  <c:v>7.6564999999999994E-2</c:v>
                </c:pt>
                <c:pt idx="1">
                  <c:v>0.15833999999999998</c:v>
                </c:pt>
                <c:pt idx="2">
                  <c:v>0.239923</c:v>
                </c:pt>
                <c:pt idx="3">
                  <c:v>0.32335199999999997</c:v>
                </c:pt>
                <c:pt idx="4">
                  <c:v>0.4013004</c:v>
                </c:pt>
                <c:pt idx="5">
                  <c:v>0.48102430000000002</c:v>
                </c:pt>
                <c:pt idx="6">
                  <c:v>0.57676269999999996</c:v>
                </c:pt>
                <c:pt idx="7">
                  <c:v>0.69140069999999998</c:v>
                </c:pt>
                <c:pt idx="8">
                  <c:v>0.78663550000000004</c:v>
                </c:pt>
                <c:pt idx="9">
                  <c:v>0.87497760000000002</c:v>
                </c:pt>
                <c:pt idx="10">
                  <c:v>0.95857550000000002</c:v>
                </c:pt>
                <c:pt idx="11">
                  <c:v>1.0411545</c:v>
                </c:pt>
              </c:numCache>
            </c:numRef>
          </c:val>
        </c:ser>
        <c:ser>
          <c:idx val="0"/>
          <c:order val="2"/>
          <c:tx>
            <c:strRef>
              <c:f>'23_g'!$AJ$41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'23_g'!$AK$41:$AV$41</c:f>
              <c:numCache>
                <c:formatCode>#,##0.000_ ;\-#,##0.000\ </c:formatCode>
                <c:ptCount val="12"/>
                <c:pt idx="0">
                  <c:v>8.2737600000000008E-2</c:v>
                </c:pt>
                <c:pt idx="1">
                  <c:v>0.1688878</c:v>
                </c:pt>
                <c:pt idx="2">
                  <c:v>0.25230049999999998</c:v>
                </c:pt>
                <c:pt idx="3">
                  <c:v>0.34253250000000002</c:v>
                </c:pt>
                <c:pt idx="4">
                  <c:v>0.42543400000000003</c:v>
                </c:pt>
                <c:pt idx="5">
                  <c:v>0.51057520000000001</c:v>
                </c:pt>
                <c:pt idx="6">
                  <c:v>0.6066087</c:v>
                </c:pt>
                <c:pt idx="7">
                  <c:v>0.7081826</c:v>
                </c:pt>
                <c:pt idx="8">
                  <c:v>0.79383000000000004</c:v>
                </c:pt>
                <c:pt idx="9">
                  <c:v>0.88247130000000007</c:v>
                </c:pt>
                <c:pt idx="10">
                  <c:v>0.96556390000000003</c:v>
                </c:pt>
                <c:pt idx="11">
                  <c:v>1.0540136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6988672"/>
        <c:axId val="257719616"/>
      </c:barChart>
      <c:lineChart>
        <c:grouping val="standard"/>
        <c:varyColors val="0"/>
        <c:ser>
          <c:idx val="3"/>
          <c:order val="1"/>
          <c:tx>
            <c:strRef>
              <c:f>'23_g'!$AJ$40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'23_g'!$AK$37:$AV$37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'23_g'!$AK$40:$AV$40</c:f>
              <c:numCache>
                <c:formatCode>#,##0.000_ ;\-#,##0.000\ </c:formatCode>
                <c:ptCount val="12"/>
                <c:pt idx="0">
                  <c:v>7.707E-2</c:v>
                </c:pt>
                <c:pt idx="1">
                  <c:v>0.15748200000000001</c:v>
                </c:pt>
                <c:pt idx="2">
                  <c:v>0.235821</c:v>
                </c:pt>
                <c:pt idx="3">
                  <c:v>0.32031100000000001</c:v>
                </c:pt>
                <c:pt idx="4">
                  <c:v>0.39918600000000004</c:v>
                </c:pt>
                <c:pt idx="5">
                  <c:v>0.47795600000000005</c:v>
                </c:pt>
                <c:pt idx="6">
                  <c:v>0.57284800000000002</c:v>
                </c:pt>
                <c:pt idx="7">
                  <c:v>0.67761800000000005</c:v>
                </c:pt>
                <c:pt idx="8">
                  <c:v>0.76893300000000009</c:v>
                </c:pt>
                <c:pt idx="9">
                  <c:v>0.85554100000000011</c:v>
                </c:pt>
                <c:pt idx="10">
                  <c:v>0.93864600000000009</c:v>
                </c:pt>
                <c:pt idx="11">
                  <c:v>1.023409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88672"/>
        <c:axId val="257719616"/>
      </c:lineChart>
      <c:catAx>
        <c:axId val="2569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719616"/>
        <c:crosses val="autoZero"/>
        <c:auto val="1"/>
        <c:lblAlgn val="ctr"/>
        <c:lblOffset val="100"/>
        <c:noMultiLvlLbl val="0"/>
      </c:catAx>
      <c:valAx>
        <c:axId val="2577196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49317204914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9886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9792688967"/>
          <c:y val="2.2161373086791118E-2"/>
          <c:w val="0.33180950207311033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'23_g'!$AY$18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'23_g'!$AZ$16:$BK$16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'23_g'!$AZ$18:$BK$18</c:f>
              <c:numCache>
                <c:formatCode>#,##0.000_ ;\-#,##0.000\ </c:formatCode>
                <c:ptCount val="12"/>
                <c:pt idx="0">
                  <c:v>3.2333899999999992E-2</c:v>
                </c:pt>
                <c:pt idx="1">
                  <c:v>2.4905720000000003E-2</c:v>
                </c:pt>
                <c:pt idx="2">
                  <c:v>2.3646E-2</c:v>
                </c:pt>
                <c:pt idx="3">
                  <c:v>1.8621240000000001E-2</c:v>
                </c:pt>
                <c:pt idx="4">
                  <c:v>1.6089420000000014E-2</c:v>
                </c:pt>
                <c:pt idx="5">
                  <c:v>1.2994100000000007E-2</c:v>
                </c:pt>
                <c:pt idx="6">
                  <c:v>1.700666000000001E-2</c:v>
                </c:pt>
                <c:pt idx="7">
                  <c:v>1.3924499999999999E-2</c:v>
                </c:pt>
                <c:pt idx="8">
                  <c:v>6.1474999999999976E-3</c:v>
                </c:pt>
                <c:pt idx="9">
                  <c:v>1.4450199999999996E-2</c:v>
                </c:pt>
                <c:pt idx="10">
                  <c:v>1.477414E-2</c:v>
                </c:pt>
                <c:pt idx="11">
                  <c:v>1.6833509999999996E-2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'23_g'!$AY$19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'23_g'!$AZ$16:$BK$16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'23_g'!$AZ$19:$BK$19</c:f>
              <c:numCache>
                <c:formatCode>#,##0.000_ ;\-#,##0.000\ </c:formatCode>
                <c:ptCount val="12"/>
                <c:pt idx="0">
                  <c:v>2.6918000000000001E-2</c:v>
                </c:pt>
                <c:pt idx="1">
                  <c:v>2.4258999999999999E-2</c:v>
                </c:pt>
                <c:pt idx="2">
                  <c:v>1.8516999999999999E-2</c:v>
                </c:pt>
                <c:pt idx="3">
                  <c:v>2.0152E-2</c:v>
                </c:pt>
                <c:pt idx="4">
                  <c:v>1.7739999999999999E-2</c:v>
                </c:pt>
                <c:pt idx="5">
                  <c:v>1.6778000000000001E-2</c:v>
                </c:pt>
                <c:pt idx="6">
                  <c:v>1.7715000000000002E-2</c:v>
                </c:pt>
                <c:pt idx="7">
                  <c:v>1.7294E-2</c:v>
                </c:pt>
                <c:pt idx="8">
                  <c:v>1.4307E-2</c:v>
                </c:pt>
                <c:pt idx="9">
                  <c:v>1.6930000000000001E-2</c:v>
                </c:pt>
                <c:pt idx="10">
                  <c:v>1.6983999999999999E-2</c:v>
                </c:pt>
                <c:pt idx="11">
                  <c:v>2.4716999999999999E-2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'23_g'!$AY$20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'23_g'!$AZ$16:$BK$16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'23_g'!$AZ$20:$BK$20</c:f>
              <c:numCache>
                <c:formatCode>#,##0.000_ ;\-#,##0.000\ </c:formatCode>
                <c:ptCount val="12"/>
                <c:pt idx="0">
                  <c:v>1.9752169999999999E-2</c:v>
                </c:pt>
                <c:pt idx="1">
                  <c:v>2.0257370000000011E-2</c:v>
                </c:pt>
                <c:pt idx="2">
                  <c:v>1.1898939999999997E-2</c:v>
                </c:pt>
                <c:pt idx="3">
                  <c:v>1.5832550000000004E-2</c:v>
                </c:pt>
                <c:pt idx="4">
                  <c:v>1.6210499999999999E-2</c:v>
                </c:pt>
                <c:pt idx="5">
                  <c:v>1.8735210000000009E-2</c:v>
                </c:pt>
                <c:pt idx="6">
                  <c:v>1.0106099999999996E-2</c:v>
                </c:pt>
                <c:pt idx="7">
                  <c:v>3.7158399999999993E-3</c:v>
                </c:pt>
                <c:pt idx="8">
                  <c:v>1.2945910000000012E-2</c:v>
                </c:pt>
                <c:pt idx="9">
                  <c:v>1.0119210000000002E-2</c:v>
                </c:pt>
                <c:pt idx="10">
                  <c:v>1.4834970000000001E-2</c:v>
                </c:pt>
                <c:pt idx="11">
                  <c:v>1.2107200000000002E-2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89696"/>
        <c:axId val="258352832"/>
      </c:lineChart>
      <c:catAx>
        <c:axId val="25698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352832"/>
        <c:crosses val="autoZero"/>
        <c:auto val="1"/>
        <c:lblAlgn val="ctr"/>
        <c:lblOffset val="100"/>
        <c:noMultiLvlLbl val="0"/>
      </c:catAx>
      <c:valAx>
        <c:axId val="2583528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72435452294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9896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4699033697021058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'23_g'!$AY$39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'23_g'!$AZ$37:$BO$37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'23_g'!$AZ$39:$BO$39</c:f>
              <c:numCache>
                <c:formatCode>_(* #,##0.00_);_(* \(#,##0.00\);_(* "-"??_);_(@_)</c:formatCode>
                <c:ptCount val="16"/>
                <c:pt idx="0">
                  <c:v>29.691668143571693</c:v>
                </c:pt>
                <c:pt idx="1">
                  <c:v>23.346036659670087</c:v>
                </c:pt>
                <c:pt idx="2">
                  <c:v>22.467148707326576</c:v>
                </c:pt>
                <c:pt idx="3">
                  <c:v>25.211629882832042</c:v>
                </c:pt>
                <c:pt idx="4">
                  <c:v>18.213629891212598</c:v>
                </c:pt>
                <c:pt idx="5">
                  <c:v>17.10952040359933</c:v>
                </c:pt>
                <c:pt idx="6">
                  <c:v>14.013588568347272</c:v>
                </c:pt>
                <c:pt idx="7">
                  <c:v>21.086357257360262</c:v>
                </c:pt>
                <c:pt idx="8">
                  <c:v>15.067147468922013</c:v>
                </c:pt>
                <c:pt idx="9">
                  <c:v>10.808094136640948</c:v>
                </c:pt>
                <c:pt idx="10">
                  <c:v>6.0615472598552493</c:v>
                </c:pt>
                <c:pt idx="11">
                  <c:v>17.384828177675786</c:v>
                </c:pt>
                <c:pt idx="12">
                  <c:v>14.057667743595578</c:v>
                </c:pt>
                <c:pt idx="13">
                  <c:v>15.018637409572882</c:v>
                </c:pt>
                <c:pt idx="14">
                  <c:v>16.932989620722779</c:v>
                </c:pt>
                <c:pt idx="15">
                  <c:v>16.890470213330328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'23_g'!$AY$40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'23_g'!$AZ$37:$BO$37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'23_g'!$AZ$40:$BO$40</c:f>
              <c:numCache>
                <c:formatCode>_(* #,##0.00_);_(* \(#,##0.00\);_(* "-"??_);_(@_)</c:formatCode>
                <c:ptCount val="16"/>
                <c:pt idx="0">
                  <c:v>18.500222979645145</c:v>
                </c:pt>
                <c:pt idx="1">
                  <c:v>18.500222979645145</c:v>
                </c:pt>
                <c:pt idx="2">
                  <c:v>18.500222979645145</c:v>
                </c:pt>
                <c:pt idx="3">
                  <c:v>18.500222979645145</c:v>
                </c:pt>
                <c:pt idx="4">
                  <c:v>18.500222979645145</c:v>
                </c:pt>
                <c:pt idx="5">
                  <c:v>18.500222979645145</c:v>
                </c:pt>
                <c:pt idx="6">
                  <c:v>18.500222979645145</c:v>
                </c:pt>
                <c:pt idx="7">
                  <c:v>18.500222979645145</c:v>
                </c:pt>
                <c:pt idx="8">
                  <c:v>18.500222979645145</c:v>
                </c:pt>
                <c:pt idx="9">
                  <c:v>18.500222979645145</c:v>
                </c:pt>
                <c:pt idx="10">
                  <c:v>18.500222979645145</c:v>
                </c:pt>
                <c:pt idx="11">
                  <c:v>18.500222979645145</c:v>
                </c:pt>
                <c:pt idx="12">
                  <c:v>18.500222979645145</c:v>
                </c:pt>
                <c:pt idx="13">
                  <c:v>18.500222979645145</c:v>
                </c:pt>
                <c:pt idx="14">
                  <c:v>18.500222979645145</c:v>
                </c:pt>
                <c:pt idx="15">
                  <c:v>18.500222979645145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'23_g'!$AY$41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'23_g'!$AZ$37:$BO$37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'23_g'!$AZ$41:$BO$41</c:f>
              <c:numCache>
                <c:formatCode>_(* #,##0.00_);_(* \(#,##0.00\);_(* "-"??_);_(@_)</c:formatCode>
                <c:ptCount val="16"/>
                <c:pt idx="0">
                  <c:v>19.272333228965191</c:v>
                </c:pt>
                <c:pt idx="1">
                  <c:v>19.037527123305239</c:v>
                </c:pt>
                <c:pt idx="2">
                  <c:v>12.479742210583677</c:v>
                </c:pt>
                <c:pt idx="3">
                  <c:v>17.061498593658801</c:v>
                </c:pt>
                <c:pt idx="4">
                  <c:v>14.92727777565643</c:v>
                </c:pt>
                <c:pt idx="5">
                  <c:v>16.355738961982404</c:v>
                </c:pt>
                <c:pt idx="6">
                  <c:v>18.032013756342543</c:v>
                </c:pt>
                <c:pt idx="7">
                  <c:v>16.742777061566137</c:v>
                </c:pt>
                <c:pt idx="8">
                  <c:v>9.5200280341609798</c:v>
                </c:pt>
                <c:pt idx="9">
                  <c:v>3.5290294162395903</c:v>
                </c:pt>
                <c:pt idx="10">
                  <c:v>13.130297454118454</c:v>
                </c:pt>
                <c:pt idx="11">
                  <c:v>14.019870515139354</c:v>
                </c:pt>
                <c:pt idx="12">
                  <c:v>10.245909897197759</c:v>
                </c:pt>
                <c:pt idx="13">
                  <c:v>15.14868873971743</c:v>
                </c:pt>
                <c:pt idx="14">
                  <c:v>12.039777247414483</c:v>
                </c:pt>
                <c:pt idx="15">
                  <c:v>13.641944380662977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90208"/>
        <c:axId val="258355136"/>
      </c:lineChart>
      <c:catAx>
        <c:axId val="25699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355136"/>
        <c:crosses val="autoZero"/>
        <c:auto val="1"/>
        <c:lblAlgn val="ctr"/>
        <c:lblOffset val="100"/>
        <c:noMultiLvlLbl val="0"/>
      </c:catAx>
      <c:valAx>
        <c:axId val="2583551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%</a:t>
                </a:r>
              </a:p>
            </c:rich>
          </c:tx>
          <c:layout>
            <c:manualLayout>
              <c:xMode val="edge"/>
              <c:yMode val="edge"/>
              <c:x val="1.5431712212444033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9902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6819058205959547"/>
          <c:y val="2.2161373086791118E-2"/>
          <c:w val="0.95122136791724565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'23_g'!$A$64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'23_g'!$B$62:$M$62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'23_g'!$B$64:$M$64</c:f>
              <c:numCache>
                <c:formatCode>#,##0.00_ ;\-#,##0.00\ </c:formatCode>
                <c:ptCount val="12"/>
                <c:pt idx="0">
                  <c:v>1.3769927</c:v>
                </c:pt>
                <c:pt idx="1">
                  <c:v>1.4672634099999999</c:v>
                </c:pt>
                <c:pt idx="2">
                  <c:v>1.46277737</c:v>
                </c:pt>
                <c:pt idx="3">
                  <c:v>1.5011476400000001</c:v>
                </c:pt>
                <c:pt idx="4">
                  <c:v>1.4425546800000002</c:v>
                </c:pt>
                <c:pt idx="5">
                  <c:v>1.4455054199999999</c:v>
                </c:pt>
                <c:pt idx="6">
                  <c:v>1.7142277599999998</c:v>
                </c:pt>
                <c:pt idx="7">
                  <c:v>2.02175197</c:v>
                </c:pt>
                <c:pt idx="8">
                  <c:v>1.7688954699999997</c:v>
                </c:pt>
                <c:pt idx="9">
                  <c:v>1.7674973499999995</c:v>
                </c:pt>
                <c:pt idx="10">
                  <c:v>1.5659018599999999</c:v>
                </c:pt>
                <c:pt idx="11">
                  <c:v>1.4921622400000003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'23_g'!$A$65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'23_g'!$B$62:$M$62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'23_g'!$B$65:$M$65</c:f>
              <c:numCache>
                <c:formatCode>#,##0.00_ ;\-#,##0.00\ </c:formatCode>
                <c:ptCount val="12"/>
                <c:pt idx="0">
                  <c:v>1.4076900000000001</c:v>
                </c:pt>
                <c:pt idx="1">
                  <c:v>1.459759</c:v>
                </c:pt>
                <c:pt idx="2">
                  <c:v>1.465028</c:v>
                </c:pt>
                <c:pt idx="3">
                  <c:v>1.535005</c:v>
                </c:pt>
                <c:pt idx="4">
                  <c:v>1.472451</c:v>
                </c:pt>
                <c:pt idx="5">
                  <c:v>1.4382999999999999</c:v>
                </c:pt>
                <c:pt idx="6">
                  <c:v>1.734029</c:v>
                </c:pt>
                <c:pt idx="7">
                  <c:v>1.955554</c:v>
                </c:pt>
                <c:pt idx="8">
                  <c:v>1.5739920000000001</c:v>
                </c:pt>
                <c:pt idx="9">
                  <c:v>1.770019</c:v>
                </c:pt>
                <c:pt idx="10">
                  <c:v>1.5657369999999999</c:v>
                </c:pt>
                <c:pt idx="11">
                  <c:v>1.5313559999999999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'23_g'!$A$66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'23_g'!$B$62:$M$62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'23_g'!$B$66:$M$66</c:f>
              <c:numCache>
                <c:formatCode>#,##0.00_ ;\-#,##0.00\ </c:formatCode>
                <c:ptCount val="12"/>
                <c:pt idx="0">
                  <c:v>1.50610596</c:v>
                </c:pt>
                <c:pt idx="1">
                  <c:v>1.5462564999999997</c:v>
                </c:pt>
                <c:pt idx="2">
                  <c:v>1.5058909899999999</c:v>
                </c:pt>
                <c:pt idx="3">
                  <c:v>1.6323316400000001</c:v>
                </c:pt>
                <c:pt idx="4">
                  <c:v>1.4961712999999999</c:v>
                </c:pt>
                <c:pt idx="5">
                  <c:v>1.5415125400000003</c:v>
                </c:pt>
                <c:pt idx="6">
                  <c:v>1.7174972199999998</c:v>
                </c:pt>
                <c:pt idx="7">
                  <c:v>1.8140144200000001</c:v>
                </c:pt>
                <c:pt idx="8">
                  <c:v>1.5608875999999998</c:v>
                </c:pt>
                <c:pt idx="9">
                  <c:v>1.6012599699999999</c:v>
                </c:pt>
                <c:pt idx="10">
                  <c:v>1.5531453100000001</c:v>
                </c:pt>
                <c:pt idx="11">
                  <c:v>1.8868518200000004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90720"/>
        <c:axId val="258357440"/>
      </c:lineChart>
      <c:catAx>
        <c:axId val="25699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357440"/>
        <c:crosses val="autoZero"/>
        <c:auto val="1"/>
        <c:lblAlgn val="ctr"/>
        <c:lblOffset val="100"/>
        <c:noMultiLvlLbl val="0"/>
      </c:catAx>
      <c:valAx>
        <c:axId val="2583574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9907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'23_g'!$B$85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'23_g'!$C$85:$N$85</c:f>
              <c:numCache>
                <c:formatCode>#,##0.00_ ;\-#,##0.00\ </c:formatCode>
                <c:ptCount val="12"/>
                <c:pt idx="0">
                  <c:v>1.3769927</c:v>
                </c:pt>
                <c:pt idx="1">
                  <c:v>2.8442561099999999</c:v>
                </c:pt>
                <c:pt idx="2">
                  <c:v>4.3070334799999994</c:v>
                </c:pt>
                <c:pt idx="3">
                  <c:v>5.8081811199999995</c:v>
                </c:pt>
                <c:pt idx="4">
                  <c:v>7.2507357999999993</c:v>
                </c:pt>
                <c:pt idx="5">
                  <c:v>8.6962412199999992</c:v>
                </c:pt>
                <c:pt idx="6">
                  <c:v>10.410468979999999</c:v>
                </c:pt>
                <c:pt idx="7">
                  <c:v>12.43222095</c:v>
                </c:pt>
                <c:pt idx="8">
                  <c:v>14.20111642</c:v>
                </c:pt>
                <c:pt idx="9">
                  <c:v>15.968613769999999</c:v>
                </c:pt>
                <c:pt idx="10">
                  <c:v>17.534515629999998</c:v>
                </c:pt>
                <c:pt idx="11">
                  <c:v>19.026677869999997</c:v>
                </c:pt>
              </c:numCache>
            </c:numRef>
          </c:val>
        </c:ser>
        <c:ser>
          <c:idx val="0"/>
          <c:order val="2"/>
          <c:tx>
            <c:strRef>
              <c:f>'23_g'!$B$87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'23_g'!$C$87:$N$87</c:f>
              <c:numCache>
                <c:formatCode>#,##0.00_ ;\-#,##0.00\ </c:formatCode>
                <c:ptCount val="12"/>
                <c:pt idx="0">
                  <c:v>1.50610596</c:v>
                </c:pt>
                <c:pt idx="1">
                  <c:v>3.0523624599999994</c:v>
                </c:pt>
                <c:pt idx="2">
                  <c:v>4.5582534499999996</c:v>
                </c:pt>
                <c:pt idx="3">
                  <c:v>6.1905850899999999</c:v>
                </c:pt>
                <c:pt idx="4">
                  <c:v>7.6867563899999993</c:v>
                </c:pt>
                <c:pt idx="5">
                  <c:v>9.2282689299999987</c:v>
                </c:pt>
                <c:pt idx="6">
                  <c:v>10.945766149999999</c:v>
                </c:pt>
                <c:pt idx="7">
                  <c:v>12.759780569999998</c:v>
                </c:pt>
                <c:pt idx="8">
                  <c:v>14.320668169999998</c:v>
                </c:pt>
                <c:pt idx="9">
                  <c:v>15.921928139999997</c:v>
                </c:pt>
                <c:pt idx="10">
                  <c:v>17.475073449999996</c:v>
                </c:pt>
                <c:pt idx="11">
                  <c:v>19.361925269999997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8166784"/>
        <c:axId val="258228800"/>
      </c:barChart>
      <c:lineChart>
        <c:grouping val="standard"/>
        <c:varyColors val="0"/>
        <c:ser>
          <c:idx val="3"/>
          <c:order val="1"/>
          <c:tx>
            <c:strRef>
              <c:f>'23_g'!$B$86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'23_g'!$C$83:$N$83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'23_g'!$C$86:$N$86</c:f>
              <c:numCache>
                <c:formatCode>#,##0.00_ ;\-#,##0.00\ </c:formatCode>
                <c:ptCount val="12"/>
                <c:pt idx="0">
                  <c:v>1.4076900000000001</c:v>
                </c:pt>
                <c:pt idx="1">
                  <c:v>2.8674490000000001</c:v>
                </c:pt>
                <c:pt idx="2">
                  <c:v>4.3324769999999999</c:v>
                </c:pt>
                <c:pt idx="3">
                  <c:v>5.8674819999999999</c:v>
                </c:pt>
                <c:pt idx="4">
                  <c:v>7.3399330000000003</c:v>
                </c:pt>
                <c:pt idx="5">
                  <c:v>8.7782330000000002</c:v>
                </c:pt>
                <c:pt idx="6">
                  <c:v>10.512262</c:v>
                </c:pt>
                <c:pt idx="7">
                  <c:v>12.467815999999999</c:v>
                </c:pt>
                <c:pt idx="8">
                  <c:v>14.041808</c:v>
                </c:pt>
                <c:pt idx="9">
                  <c:v>15.811826999999999</c:v>
                </c:pt>
                <c:pt idx="10">
                  <c:v>17.377564</c:v>
                </c:pt>
                <c:pt idx="11">
                  <c:v>18.908919999999998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66784"/>
        <c:axId val="258228800"/>
      </c:lineChart>
      <c:catAx>
        <c:axId val="2581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228800"/>
        <c:crosses val="autoZero"/>
        <c:auto val="1"/>
        <c:lblAlgn val="ctr"/>
        <c:lblOffset val="100"/>
        <c:noMultiLvlLbl val="0"/>
      </c:catAx>
      <c:valAx>
        <c:axId val="2582288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1667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('11'!$A$9,'11'!$A$13,'11'!$A$17,'11'!$A$20)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('11'!$F$9,'11'!$F$13,'11'!$F$17,'11'!$F$20)</c:f>
              <c:numCache>
                <c:formatCode>_(* #,##0.00_);_(* \(#,##0.00\);_(* "-"??_);_(@_)</c:formatCode>
                <c:ptCount val="4"/>
                <c:pt idx="0">
                  <c:v>14.717624420240304</c:v>
                </c:pt>
                <c:pt idx="1">
                  <c:v>22.174500684879689</c:v>
                </c:pt>
                <c:pt idx="2">
                  <c:v>27.97359274987404</c:v>
                </c:pt>
                <c:pt idx="3">
                  <c:v>20.386549393561292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('11'!$A$9,'11'!$A$13,'11'!$A$17,'11'!$A$20)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('11'!$K$9,'11'!$K$13,'11'!$K$17,'11'!$K$20)</c:f>
              <c:numCache>
                <c:formatCode>_(* #,##0.00_);_(* \(#,##0.00\);_(* "-"??_);_(@_)</c:formatCode>
                <c:ptCount val="4"/>
                <c:pt idx="0">
                  <c:v>14.657201122114019</c:v>
                </c:pt>
                <c:pt idx="1">
                  <c:v>22.238950628562431</c:v>
                </c:pt>
                <c:pt idx="2">
                  <c:v>27.997603430690734</c:v>
                </c:pt>
                <c:pt idx="3">
                  <c:v>20.340700791466571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70132992"/>
        <c:axId val="171596544"/>
      </c:barChart>
      <c:catAx>
        <c:axId val="17013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596544"/>
        <c:crosses val="autoZero"/>
        <c:auto val="1"/>
        <c:lblAlgn val="ctr"/>
        <c:lblOffset val="100"/>
        <c:noMultiLvlLbl val="0"/>
      </c:catAx>
      <c:valAx>
        <c:axId val="1715965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0132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'23_g'!$S$64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'23_g'!$T$62:$AE$62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'23_g'!$T$64:$AE$64</c:f>
              <c:numCache>
                <c:formatCode>#,##0.00_ ;\-#,##0.00\ </c:formatCode>
                <c:ptCount val="12"/>
                <c:pt idx="0">
                  <c:v>1.2870941999999996</c:v>
                </c:pt>
                <c:pt idx="1">
                  <c:v>1.3413265599999999</c:v>
                </c:pt>
                <c:pt idx="2">
                  <c:v>1.21232926</c:v>
                </c:pt>
                <c:pt idx="3">
                  <c:v>0.90372307000000007</c:v>
                </c:pt>
                <c:pt idx="4">
                  <c:v>0.92689043999999998</c:v>
                </c:pt>
                <c:pt idx="5">
                  <c:v>1.49648151</c:v>
                </c:pt>
                <c:pt idx="6">
                  <c:v>0.64855181000000006</c:v>
                </c:pt>
                <c:pt idx="7">
                  <c:v>1.1374969799999999</c:v>
                </c:pt>
                <c:pt idx="8">
                  <c:v>1.0095146500000001</c:v>
                </c:pt>
                <c:pt idx="9">
                  <c:v>1.0095811300000002</c:v>
                </c:pt>
                <c:pt idx="10">
                  <c:v>1.0366998200000002</c:v>
                </c:pt>
                <c:pt idx="11">
                  <c:v>1.15293793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'23_g'!$S$65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'23_g'!$T$62:$AE$62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'23_g'!$T$65:$AE$65</c:f>
              <c:numCache>
                <c:formatCode>#,##0.00_ ;\-#,##0.00\ </c:formatCode>
                <c:ptCount val="12"/>
                <c:pt idx="0">
                  <c:v>0.98304899999999995</c:v>
                </c:pt>
                <c:pt idx="1">
                  <c:v>1.0411159999999999</c:v>
                </c:pt>
                <c:pt idx="2">
                  <c:v>1.0877810000000001</c:v>
                </c:pt>
                <c:pt idx="3">
                  <c:v>0.99338400000000004</c:v>
                </c:pt>
                <c:pt idx="4">
                  <c:v>1.0112969999999999</c:v>
                </c:pt>
                <c:pt idx="5">
                  <c:v>1.0276670000000001</c:v>
                </c:pt>
                <c:pt idx="6">
                  <c:v>0.92871599999999999</c:v>
                </c:pt>
                <c:pt idx="7">
                  <c:v>0.99738400000000005</c:v>
                </c:pt>
                <c:pt idx="8">
                  <c:v>1.086374</c:v>
                </c:pt>
                <c:pt idx="9">
                  <c:v>1.000786</c:v>
                </c:pt>
                <c:pt idx="10">
                  <c:v>1.045752</c:v>
                </c:pt>
                <c:pt idx="11">
                  <c:v>1.1700079999999999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'23_g'!$S$66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'23_g'!$T$62:$AE$62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'23_g'!$T$66:$AE$66</c:f>
              <c:numCache>
                <c:formatCode>#,##0.00_ ;\-#,##0.00\ </c:formatCode>
                <c:ptCount val="12"/>
                <c:pt idx="0">
                  <c:v>1.01826638</c:v>
                </c:pt>
                <c:pt idx="1">
                  <c:v>1.1101121099999998</c:v>
                </c:pt>
                <c:pt idx="2">
                  <c:v>1.1882812200000001</c:v>
                </c:pt>
                <c:pt idx="3">
                  <c:v>1.0906524500000001</c:v>
                </c:pt>
                <c:pt idx="4">
                  <c:v>0.95101996000000022</c:v>
                </c:pt>
                <c:pt idx="5">
                  <c:v>1.2251061500000004</c:v>
                </c:pt>
                <c:pt idx="6">
                  <c:v>1.0143528900000001</c:v>
                </c:pt>
                <c:pt idx="7">
                  <c:v>1.1503413699999998</c:v>
                </c:pt>
                <c:pt idx="8">
                  <c:v>1.0870856700000002</c:v>
                </c:pt>
                <c:pt idx="9">
                  <c:v>1.02546932</c:v>
                </c:pt>
                <c:pt idx="10">
                  <c:v>1.0855143299999999</c:v>
                </c:pt>
                <c:pt idx="11">
                  <c:v>1.1816589099999999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72000"/>
        <c:axId val="258231104"/>
      </c:lineChart>
      <c:catAx>
        <c:axId val="25747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231104"/>
        <c:crosses val="autoZero"/>
        <c:auto val="1"/>
        <c:lblAlgn val="ctr"/>
        <c:lblOffset val="100"/>
        <c:noMultiLvlLbl val="0"/>
      </c:catAx>
      <c:valAx>
        <c:axId val="2582311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74720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'23_g'!$T$85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'23_g'!$U$85:$AF$85</c:f>
              <c:numCache>
                <c:formatCode>#,##0.00_ ;\-#,##0.00\ </c:formatCode>
                <c:ptCount val="12"/>
                <c:pt idx="0">
                  <c:v>1.2870941999999996</c:v>
                </c:pt>
                <c:pt idx="1">
                  <c:v>2.6284207599999996</c:v>
                </c:pt>
                <c:pt idx="2">
                  <c:v>3.8407500199999998</c:v>
                </c:pt>
                <c:pt idx="3">
                  <c:v>4.7444730899999996</c:v>
                </c:pt>
                <c:pt idx="4">
                  <c:v>5.6713635299999998</c:v>
                </c:pt>
                <c:pt idx="5">
                  <c:v>7.1678450399999996</c:v>
                </c:pt>
                <c:pt idx="6">
                  <c:v>7.8163968499999994</c:v>
                </c:pt>
                <c:pt idx="7">
                  <c:v>8.9538938299999984</c:v>
                </c:pt>
                <c:pt idx="8">
                  <c:v>9.9634084799999982</c:v>
                </c:pt>
                <c:pt idx="9">
                  <c:v>10.972989609999999</c:v>
                </c:pt>
                <c:pt idx="10">
                  <c:v>12.00968943</c:v>
                </c:pt>
                <c:pt idx="11">
                  <c:v>13.16262736</c:v>
                </c:pt>
              </c:numCache>
            </c:numRef>
          </c:val>
        </c:ser>
        <c:ser>
          <c:idx val="0"/>
          <c:order val="2"/>
          <c:tx>
            <c:strRef>
              <c:f>'23_g'!$T$87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'23_g'!$U$87:$AF$87</c:f>
              <c:numCache>
                <c:formatCode>#,##0.00_ ;\-#,##0.00\ </c:formatCode>
                <c:ptCount val="12"/>
                <c:pt idx="0">
                  <c:v>1.01826638</c:v>
                </c:pt>
                <c:pt idx="1">
                  <c:v>2.1283784899999998</c:v>
                </c:pt>
                <c:pt idx="2">
                  <c:v>3.3166597099999997</c:v>
                </c:pt>
                <c:pt idx="3">
                  <c:v>4.40731216</c:v>
                </c:pt>
                <c:pt idx="4">
                  <c:v>5.35833212</c:v>
                </c:pt>
                <c:pt idx="5">
                  <c:v>6.5834382700000003</c:v>
                </c:pt>
                <c:pt idx="6">
                  <c:v>7.5977911599999999</c:v>
                </c:pt>
                <c:pt idx="7">
                  <c:v>8.7481325299999995</c:v>
                </c:pt>
                <c:pt idx="8">
                  <c:v>9.8352181999999999</c:v>
                </c:pt>
                <c:pt idx="9">
                  <c:v>10.860687519999999</c:v>
                </c:pt>
                <c:pt idx="10">
                  <c:v>11.94620185</c:v>
                </c:pt>
                <c:pt idx="11">
                  <c:v>13.127860759999999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8167808"/>
        <c:axId val="258233408"/>
      </c:barChart>
      <c:lineChart>
        <c:grouping val="standard"/>
        <c:varyColors val="0"/>
        <c:ser>
          <c:idx val="3"/>
          <c:order val="1"/>
          <c:tx>
            <c:strRef>
              <c:f>'23_g'!$T$86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'23_g'!$U$83:$AF$83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'23_g'!$U$86:$AF$86</c:f>
              <c:numCache>
                <c:formatCode>#,##0.00_ ;\-#,##0.00\ </c:formatCode>
                <c:ptCount val="12"/>
                <c:pt idx="0">
                  <c:v>0.98304899999999995</c:v>
                </c:pt>
                <c:pt idx="1">
                  <c:v>2.024165</c:v>
                </c:pt>
                <c:pt idx="2">
                  <c:v>3.1119460000000001</c:v>
                </c:pt>
                <c:pt idx="3">
                  <c:v>4.1053300000000004</c:v>
                </c:pt>
                <c:pt idx="4">
                  <c:v>5.1166270000000003</c:v>
                </c:pt>
                <c:pt idx="5">
                  <c:v>6.1442940000000004</c:v>
                </c:pt>
                <c:pt idx="6">
                  <c:v>7.07301</c:v>
                </c:pt>
                <c:pt idx="7">
                  <c:v>8.0703940000000003</c:v>
                </c:pt>
                <c:pt idx="8">
                  <c:v>9.1567679999999996</c:v>
                </c:pt>
                <c:pt idx="9">
                  <c:v>10.157553999999999</c:v>
                </c:pt>
                <c:pt idx="10">
                  <c:v>11.203306</c:v>
                </c:pt>
                <c:pt idx="11">
                  <c:v>12.373313999999999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67808"/>
        <c:axId val="258233408"/>
      </c:lineChart>
      <c:catAx>
        <c:axId val="25816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233408"/>
        <c:crosses val="autoZero"/>
        <c:auto val="1"/>
        <c:lblAlgn val="ctr"/>
        <c:lblOffset val="100"/>
        <c:noMultiLvlLbl val="0"/>
      </c:catAx>
      <c:valAx>
        <c:axId val="2582334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1678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'23_g'!$AI$64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'23_g'!$AJ$62:$AU$62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'23_g'!$AJ$64:$AU$64</c:f>
              <c:numCache>
                <c:formatCode>#,##0.00_ ;\-#,##0.00\ </c:formatCode>
                <c:ptCount val="12"/>
                <c:pt idx="0">
                  <c:v>8.9898500000000325E-2</c:v>
                </c:pt>
                <c:pt idx="1">
                  <c:v>0.12593684999999999</c:v>
                </c:pt>
                <c:pt idx="2">
                  <c:v>0.25044811</c:v>
                </c:pt>
                <c:pt idx="3">
                  <c:v>0.59742457000000004</c:v>
                </c:pt>
                <c:pt idx="4">
                  <c:v>0.51566424000000022</c:v>
                </c:pt>
                <c:pt idx="5">
                  <c:v>-5.0976090000000029E-2</c:v>
                </c:pt>
                <c:pt idx="6">
                  <c:v>1.0656759499999997</c:v>
                </c:pt>
                <c:pt idx="7">
                  <c:v>0.88425499000000007</c:v>
                </c:pt>
                <c:pt idx="8">
                  <c:v>0.75938081999999962</c:v>
                </c:pt>
                <c:pt idx="9">
                  <c:v>0.75791621999999936</c:v>
                </c:pt>
                <c:pt idx="10">
                  <c:v>0.52920203999999971</c:v>
                </c:pt>
                <c:pt idx="11">
                  <c:v>0.33922431000000031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'23_g'!$AI$65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'23_g'!$AJ$62:$AU$62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'23_g'!$AJ$65:$AU$65</c:f>
              <c:numCache>
                <c:formatCode>#,##0.00_ ;\-#,##0.00\ </c:formatCode>
                <c:ptCount val="12"/>
                <c:pt idx="0">
                  <c:v>0.42464100000000016</c:v>
                </c:pt>
                <c:pt idx="1">
                  <c:v>0.4186430000000001</c:v>
                </c:pt>
                <c:pt idx="2">
                  <c:v>0.37724699999999989</c:v>
                </c:pt>
                <c:pt idx="3">
                  <c:v>0.54162099999999991</c:v>
                </c:pt>
                <c:pt idx="4">
                  <c:v>0.46115400000000006</c:v>
                </c:pt>
                <c:pt idx="5">
                  <c:v>0.4106329999999998</c:v>
                </c:pt>
                <c:pt idx="6">
                  <c:v>0.80531300000000006</c:v>
                </c:pt>
                <c:pt idx="7">
                  <c:v>0.95816999999999997</c:v>
                </c:pt>
                <c:pt idx="8">
                  <c:v>0.48761800000000011</c:v>
                </c:pt>
                <c:pt idx="9">
                  <c:v>0.76923300000000006</c:v>
                </c:pt>
                <c:pt idx="10">
                  <c:v>0.51998499999999992</c:v>
                </c:pt>
                <c:pt idx="11">
                  <c:v>0.361348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'23_g'!$AI$66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'23_g'!$AJ$62:$AU$62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'23_g'!$AJ$66:$AU$66</c:f>
              <c:numCache>
                <c:formatCode>#,##0.00_ ;\-#,##0.00\ </c:formatCode>
                <c:ptCount val="12"/>
                <c:pt idx="0">
                  <c:v>0.48783957999999994</c:v>
                </c:pt>
                <c:pt idx="1">
                  <c:v>0.43614438999999994</c:v>
                </c:pt>
                <c:pt idx="2">
                  <c:v>0.31760976999999979</c:v>
                </c:pt>
                <c:pt idx="3">
                  <c:v>0.54167918999999998</c:v>
                </c:pt>
                <c:pt idx="4">
                  <c:v>0.54515133999999965</c:v>
                </c:pt>
                <c:pt idx="5">
                  <c:v>0.31640638999999982</c:v>
                </c:pt>
                <c:pt idx="6">
                  <c:v>0.70314432999999976</c:v>
                </c:pt>
                <c:pt idx="7">
                  <c:v>0.66367305000000032</c:v>
                </c:pt>
                <c:pt idx="8">
                  <c:v>0.47380192999999959</c:v>
                </c:pt>
                <c:pt idx="9">
                  <c:v>0.57579064999999985</c:v>
                </c:pt>
                <c:pt idx="10">
                  <c:v>0.46763098000000025</c:v>
                </c:pt>
                <c:pt idx="11">
                  <c:v>0.70519291000000051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68320"/>
        <c:axId val="258235712"/>
      </c:lineChart>
      <c:catAx>
        <c:axId val="2581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235712"/>
        <c:crosses val="autoZero"/>
        <c:auto val="1"/>
        <c:lblAlgn val="ctr"/>
        <c:lblOffset val="100"/>
        <c:noMultiLvlLbl val="0"/>
      </c:catAx>
      <c:valAx>
        <c:axId val="2582357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39820829426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1683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764848977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'23_g'!$AJ$85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'23_g'!$AK$85:$AV$85</c:f>
              <c:numCache>
                <c:formatCode>#,##0.00_ ;\-#,##0.00\ </c:formatCode>
                <c:ptCount val="12"/>
                <c:pt idx="0">
                  <c:v>8.9898500000000325E-2</c:v>
                </c:pt>
                <c:pt idx="1">
                  <c:v>0.21583535000000031</c:v>
                </c:pt>
                <c:pt idx="2">
                  <c:v>0.46628346000000032</c:v>
                </c:pt>
                <c:pt idx="3">
                  <c:v>1.0637080300000004</c:v>
                </c:pt>
                <c:pt idx="4">
                  <c:v>1.5793722700000006</c:v>
                </c:pt>
                <c:pt idx="5">
                  <c:v>1.5283961800000005</c:v>
                </c:pt>
                <c:pt idx="6">
                  <c:v>2.5940721300000003</c:v>
                </c:pt>
                <c:pt idx="7">
                  <c:v>3.4783271200000003</c:v>
                </c:pt>
                <c:pt idx="8">
                  <c:v>4.23770794</c:v>
                </c:pt>
                <c:pt idx="9">
                  <c:v>4.9956241599999993</c:v>
                </c:pt>
                <c:pt idx="10">
                  <c:v>5.5248261999999988</c:v>
                </c:pt>
                <c:pt idx="11">
                  <c:v>5.8640505099999993</c:v>
                </c:pt>
              </c:numCache>
            </c:numRef>
          </c:val>
        </c:ser>
        <c:ser>
          <c:idx val="0"/>
          <c:order val="2"/>
          <c:tx>
            <c:strRef>
              <c:f>'23_g'!$AJ$87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'23_g'!$AK$83:$AV$83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'23_g'!$AK$87:$AV$87</c:f>
              <c:numCache>
                <c:formatCode>#,##0.00_ ;\-#,##0.00\ </c:formatCode>
                <c:ptCount val="12"/>
                <c:pt idx="0">
                  <c:v>0.48783957999999994</c:v>
                </c:pt>
                <c:pt idx="1">
                  <c:v>0.92398396999999988</c:v>
                </c:pt>
                <c:pt idx="2">
                  <c:v>1.2415937399999997</c:v>
                </c:pt>
                <c:pt idx="3">
                  <c:v>1.7832729299999996</c:v>
                </c:pt>
                <c:pt idx="4">
                  <c:v>2.3284242699999993</c:v>
                </c:pt>
                <c:pt idx="5">
                  <c:v>2.6448306599999993</c:v>
                </c:pt>
                <c:pt idx="6">
                  <c:v>3.3479749899999991</c:v>
                </c:pt>
                <c:pt idx="7">
                  <c:v>4.011648039999999</c:v>
                </c:pt>
                <c:pt idx="8">
                  <c:v>4.4854499699999986</c:v>
                </c:pt>
                <c:pt idx="9">
                  <c:v>5.0612406199999986</c:v>
                </c:pt>
                <c:pt idx="10">
                  <c:v>5.5288715999999987</c:v>
                </c:pt>
                <c:pt idx="11">
                  <c:v>6.2340645099999996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8168832"/>
        <c:axId val="258852544"/>
      </c:barChart>
      <c:lineChart>
        <c:grouping val="standard"/>
        <c:varyColors val="0"/>
        <c:ser>
          <c:idx val="3"/>
          <c:order val="1"/>
          <c:tx>
            <c:strRef>
              <c:f>'23_g'!$AJ$86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'23_g'!$AK$83:$AV$83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'23_g'!$AK$86:$AV$86</c:f>
              <c:numCache>
                <c:formatCode>#,##0.00_ ;\-#,##0.00\ </c:formatCode>
                <c:ptCount val="12"/>
                <c:pt idx="0">
                  <c:v>0.42464100000000016</c:v>
                </c:pt>
                <c:pt idx="1">
                  <c:v>0.84328400000000026</c:v>
                </c:pt>
                <c:pt idx="2">
                  <c:v>1.2205310000000003</c:v>
                </c:pt>
                <c:pt idx="3">
                  <c:v>1.7621520000000002</c:v>
                </c:pt>
                <c:pt idx="4">
                  <c:v>2.223306</c:v>
                </c:pt>
                <c:pt idx="5">
                  <c:v>2.6339389999999998</c:v>
                </c:pt>
                <c:pt idx="6">
                  <c:v>3.4392519999999998</c:v>
                </c:pt>
                <c:pt idx="7">
                  <c:v>4.3974219999999997</c:v>
                </c:pt>
                <c:pt idx="8">
                  <c:v>4.88504</c:v>
                </c:pt>
                <c:pt idx="9">
                  <c:v>5.6542729999999999</c:v>
                </c:pt>
                <c:pt idx="10">
                  <c:v>6.174258</c:v>
                </c:pt>
                <c:pt idx="11">
                  <c:v>6.5356059999999996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68832"/>
        <c:axId val="258852544"/>
      </c:lineChart>
      <c:catAx>
        <c:axId val="25816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852544"/>
        <c:crosses val="autoZero"/>
        <c:auto val="1"/>
        <c:lblAlgn val="ctr"/>
        <c:lblOffset val="100"/>
        <c:noMultiLvlLbl val="0"/>
      </c:catAx>
      <c:valAx>
        <c:axId val="2588525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9348729367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1688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1633265227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'23_g'!$T$21:$U$21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'23_g'!$V$20:$AC$20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'23_g'!$V$21:$AC$21</c:f>
              <c:numCache>
                <c:formatCode>#,##0</c:formatCode>
                <c:ptCount val="8"/>
                <c:pt idx="0">
                  <c:v>49.124050632911384</c:v>
                </c:pt>
                <c:pt idx="1">
                  <c:v>55</c:v>
                </c:pt>
                <c:pt idx="2">
                  <c:v>115.29113924050631</c:v>
                </c:pt>
                <c:pt idx="3">
                  <c:v>109</c:v>
                </c:pt>
                <c:pt idx="4">
                  <c:v>152.63544303797465</c:v>
                </c:pt>
                <c:pt idx="5">
                  <c:v>142</c:v>
                </c:pt>
                <c:pt idx="6">
                  <c:v>197.99999999999997</c:v>
                </c:pt>
                <c:pt idx="7">
                  <c:v>214</c:v>
                </c:pt>
              </c:numCache>
            </c:numRef>
          </c:val>
        </c:ser>
        <c:ser>
          <c:idx val="0"/>
          <c:order val="1"/>
          <c:tx>
            <c:strRef>
              <c:f>'23_g'!$T$22:$U$22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'23_g'!$V$20:$AC$20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'23_g'!$V$22:$AC$22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58170368"/>
        <c:axId val="258854848"/>
      </c:barChart>
      <c:catAx>
        <c:axId val="25817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258854848"/>
        <c:crosses val="autoZero"/>
        <c:auto val="1"/>
        <c:lblAlgn val="ctr"/>
        <c:lblOffset val="100"/>
        <c:noMultiLvlLbl val="0"/>
      </c:catAx>
      <c:valAx>
        <c:axId val="258854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58170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('24'!$A$9,'24'!$A$13,'24'!$A$17)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('24'!$B$9,'24'!$B$13,'24'!$B$17)</c:f>
              <c:numCache>
                <c:formatCode>_-* #,##0_-;\-* #,##0_-;_-* "-"??_-;_-@_-</c:formatCode>
                <c:ptCount val="3"/>
                <c:pt idx="0">
                  <c:v>6780</c:v>
                </c:pt>
                <c:pt idx="1">
                  <c:v>1008</c:v>
                </c:pt>
                <c:pt idx="2">
                  <c:v>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('24'!$A$9,'24'!$A$13,'24'!$A$17)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('24'!$G$9,'24'!$G$13,'24'!$G$17)</c:f>
              <c:numCache>
                <c:formatCode>_-* #,##0_-;\-* #,##0_-;_-* "-"??_-;_-@_-</c:formatCode>
                <c:ptCount val="3"/>
                <c:pt idx="0">
                  <c:v>6921</c:v>
                </c:pt>
                <c:pt idx="1">
                  <c:v>1019</c:v>
                </c:pt>
                <c:pt idx="2">
                  <c:v>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('24'!$A$9,'24'!$A$13,'24'!$A$17)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('24'!$C$9,'24'!$C$13,'24'!$C$17)</c:f>
              <c:numCache>
                <c:formatCode>_(* #,##0.00_);_(* \(#,##0.00\);_(* "-"??_);_(@_)</c:formatCode>
                <c:ptCount val="3"/>
                <c:pt idx="0">
                  <c:v>0.89444599999999996</c:v>
                </c:pt>
                <c:pt idx="1">
                  <c:v>0.33683999999999997</c:v>
                </c:pt>
                <c:pt idx="2">
                  <c:v>0.14940000000000001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('24'!$A$9,'24'!$A$13,'24'!$A$17)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('24'!$H$9,'24'!$H$13,'24'!$H$17)</c:f>
              <c:numCache>
                <c:formatCode>_(* #,##0.00_);_(* \(#,##0.00\);_(* "-"??_);_(@_)</c:formatCode>
                <c:ptCount val="3"/>
                <c:pt idx="0">
                  <c:v>0.89732199999999995</c:v>
                </c:pt>
                <c:pt idx="1">
                  <c:v>0.32769999999999999</c:v>
                </c:pt>
                <c:pt idx="2">
                  <c:v>0.15126400000000001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('24'!$A$9,'24'!$A$13,'24'!$A$17)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('24'!$E$9,'24'!$E$13,'24'!$E$17)</c:f>
              <c:numCache>
                <c:formatCode>_(* #,##0.00_);_(* \(#,##0.00\);_(* "-"??_);_(@_)</c:formatCode>
                <c:ptCount val="3"/>
                <c:pt idx="0">
                  <c:v>11.589084529999999</c:v>
                </c:pt>
                <c:pt idx="1">
                  <c:v>6.9172713500000009</c:v>
                </c:pt>
                <c:pt idx="2">
                  <c:v>4.0647053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- 2559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(ภาพรวม!$A$9,ภาพรวม!$A$13,ภาพรวม!$A$17)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(ภาพรวม!$C$9,ภาพรวม!$C$13,ภาพรวม!$C$17)</c:f>
              <c:numCache>
                <c:formatCode>_(* #,##0.00_);_(* \(#,##0.00\);_(* "-"??_);_(@_)</c:formatCode>
                <c:ptCount val="3"/>
                <c:pt idx="0">
                  <c:v>48.227806000000001</c:v>
                </c:pt>
                <c:pt idx="1">
                  <c:v>24.701858000000001</c:v>
                </c:pt>
                <c:pt idx="2">
                  <c:v>17.571079000000001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'11_g'!$A$18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'11_g'!$B$16:$M$16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'11_g'!$B$18:$M$18</c:f>
              <c:numCache>
                <c:formatCode>#,##0_ ;\-#,##0\ </c:formatCode>
                <c:ptCount val="12"/>
                <c:pt idx="0">
                  <c:v>293</c:v>
                </c:pt>
                <c:pt idx="1">
                  <c:v>516</c:v>
                </c:pt>
                <c:pt idx="2">
                  <c:v>482</c:v>
                </c:pt>
                <c:pt idx="3">
                  <c:v>301</c:v>
                </c:pt>
                <c:pt idx="4">
                  <c:v>434</c:v>
                </c:pt>
                <c:pt idx="5">
                  <c:v>492</c:v>
                </c:pt>
                <c:pt idx="6">
                  <c:v>539</c:v>
                </c:pt>
                <c:pt idx="7">
                  <c:v>621</c:v>
                </c:pt>
                <c:pt idx="8">
                  <c:v>764</c:v>
                </c:pt>
                <c:pt idx="9">
                  <c:v>612</c:v>
                </c:pt>
                <c:pt idx="10">
                  <c:v>732</c:v>
                </c:pt>
                <c:pt idx="11">
                  <c:v>803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'11_g'!$A$19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'11_g'!$B$16:$M$16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'11_g'!$B$19:$M$19</c:f>
              <c:numCache>
                <c:formatCode>#,##0_ ;\-#,##0\ </c:formatCode>
                <c:ptCount val="12"/>
                <c:pt idx="0">
                  <c:v>431.74921728240452</c:v>
                </c:pt>
                <c:pt idx="1">
                  <c:v>518.22959716134426</c:v>
                </c:pt>
                <c:pt idx="2">
                  <c:v>470.91014402003759</c:v>
                </c:pt>
                <c:pt idx="3">
                  <c:v>387.69317470256732</c:v>
                </c:pt>
                <c:pt idx="4">
                  <c:v>529.65153412648715</c:v>
                </c:pt>
                <c:pt idx="5">
                  <c:v>544.6632227092465</c:v>
                </c:pt>
                <c:pt idx="6">
                  <c:v>486.24817365894381</c:v>
                </c:pt>
                <c:pt idx="7">
                  <c:v>528.67251095804636</c:v>
                </c:pt>
                <c:pt idx="8">
                  <c:v>582.19244416614481</c:v>
                </c:pt>
                <c:pt idx="9">
                  <c:v>543.68419954080571</c:v>
                </c:pt>
                <c:pt idx="10">
                  <c:v>620.70068879148403</c:v>
                </c:pt>
                <c:pt idx="11">
                  <c:v>609.60509288248795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'11_g'!$A$20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'11_g'!$B$16:$M$16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'11_g'!$B$20:$M$20</c:f>
              <c:numCache>
                <c:formatCode>#,##0_ ;\-#,##0\ </c:formatCode>
                <c:ptCount val="12"/>
                <c:pt idx="0">
                  <c:v>820</c:v>
                </c:pt>
                <c:pt idx="1">
                  <c:v>404</c:v>
                </c:pt>
                <c:pt idx="2">
                  <c:v>480</c:v>
                </c:pt>
                <c:pt idx="3">
                  <c:v>347</c:v>
                </c:pt>
                <c:pt idx="4">
                  <c:v>382</c:v>
                </c:pt>
                <c:pt idx="5">
                  <c:v>505</c:v>
                </c:pt>
                <c:pt idx="6">
                  <c:v>243</c:v>
                </c:pt>
                <c:pt idx="7">
                  <c:v>404</c:v>
                </c:pt>
                <c:pt idx="8">
                  <c:v>462</c:v>
                </c:pt>
                <c:pt idx="9">
                  <c:v>380</c:v>
                </c:pt>
                <c:pt idx="10">
                  <c:v>693</c:v>
                </c:pt>
                <c:pt idx="11">
                  <c:v>1473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59488"/>
        <c:axId val="185657024"/>
      </c:lineChart>
      <c:catAx>
        <c:axId val="17215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85657024"/>
        <c:crosses val="autoZero"/>
        <c:auto val="1"/>
        <c:lblAlgn val="ctr"/>
        <c:lblOffset val="100"/>
        <c:noMultiLvlLbl val="0"/>
      </c:catAx>
      <c:valAx>
        <c:axId val="1856570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1594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9006848813501833"/>
          <c:y val="2.2161373086791118E-2"/>
          <c:w val="0.40993151186498167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('24'!$A$9,'24'!$A$13,'24'!$A$17)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('24'!$J$9,'24'!$J$13,'24'!$J$17)</c:f>
              <c:numCache>
                <c:formatCode>_(* #,##0.00_);_(* \(#,##0.00\);_(* "-"??_);_(@_)</c:formatCode>
                <c:ptCount val="3"/>
                <c:pt idx="0">
                  <c:v>11.546880499999999</c:v>
                </c:pt>
                <c:pt idx="1">
                  <c:v>6.7487791500000007</c:v>
                </c:pt>
                <c:pt idx="2">
                  <c:v>4.1505222500000007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('24'!$A$9,'24'!$A$13,'24'!$A$17,'24'!$A$20)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('24'!$D$9,'24'!$D$13,'24'!$D$17,'24'!$D$20)</c:f>
              <c:numCache>
                <c:formatCode>_-* #,##0.000_-;\-* #,##0.000_-;_-* "-"??_-;_-@_-</c:formatCode>
                <c:ptCount val="4"/>
                <c:pt idx="0">
                  <c:v>0.37168769699702259</c:v>
                </c:pt>
                <c:pt idx="1">
                  <c:v>0.92609063228147837</c:v>
                </c:pt>
                <c:pt idx="2">
                  <c:v>1.7343858834455537</c:v>
                </c:pt>
                <c:pt idx="3">
                  <c:v>0.48338142864520017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('24'!$A$9,'24'!$A$13,'24'!$A$17,'24'!$A$20)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('24'!$I$9,'24'!$I$13,'24'!$I$17,'24'!$I$20)</c:f>
              <c:numCache>
                <c:formatCode>_-* #,##0.000_-;\-* #,##0.000_-;_-* "-"??_-;_-@_-</c:formatCode>
                <c:ptCount val="4"/>
                <c:pt idx="0">
                  <c:v>0.35886671605812193</c:v>
                </c:pt>
                <c:pt idx="1">
                  <c:v>0.88584925424576444</c:v>
                </c:pt>
                <c:pt idx="2">
                  <c:v>1.716032785955359</c:v>
                </c:pt>
                <c:pt idx="3">
                  <c:v>0.46519604902133932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9307008"/>
        <c:axId val="256488512"/>
      </c:barChart>
      <c:catAx>
        <c:axId val="2593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488512"/>
        <c:crosses val="autoZero"/>
        <c:auto val="1"/>
        <c:lblAlgn val="ctr"/>
        <c:lblOffset val="100"/>
        <c:noMultiLvlLbl val="0"/>
      </c:catAx>
      <c:valAx>
        <c:axId val="256488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9307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('24'!$A$9,'24'!$A$13,'24'!$A$17,'24'!$A$20)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('24'!$F$9,'24'!$F$13,'24'!$F$17,'24'!$F$20)</c:f>
              <c:numCache>
                <c:formatCode>_(* #,##0.00_);_(* \(#,##0.00\);_(* "-"??_);_(@_)</c:formatCode>
                <c:ptCount val="4"/>
                <c:pt idx="0">
                  <c:v>12.956717934900485</c:v>
                </c:pt>
                <c:pt idx="1">
                  <c:v>20.535777668922936</c:v>
                </c:pt>
                <c:pt idx="2">
                  <c:v>27.206862784471216</c:v>
                </c:pt>
                <c:pt idx="3">
                  <c:v>16.347714961982668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('24'!$A$9,'24'!$A$13,'24'!$A$17,'24'!$A$20)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('24'!$K$9,'24'!$K$13,'24'!$K$17,'24'!$K$20)</c:f>
              <c:numCache>
                <c:formatCode>_(* #,##0.00_);_(* \(#,##0.00\);_(* "-"??_);_(@_)</c:formatCode>
                <c:ptCount val="4"/>
                <c:pt idx="0">
                  <c:v>12.868157138686</c:v>
                </c:pt>
                <c:pt idx="1">
                  <c:v>20.594382514494967</c:v>
                </c:pt>
                <c:pt idx="2">
                  <c:v>27.438929619737682</c:v>
                </c:pt>
                <c:pt idx="3">
                  <c:v>16.309242337711783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59308032"/>
        <c:axId val="256490240"/>
      </c:barChart>
      <c:catAx>
        <c:axId val="25930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6490240"/>
        <c:crosses val="autoZero"/>
        <c:auto val="1"/>
        <c:lblAlgn val="ctr"/>
        <c:lblOffset val="100"/>
        <c:noMultiLvlLbl val="0"/>
      </c:catAx>
      <c:valAx>
        <c:axId val="2564902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9308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'24_g'!$A$18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'24_g'!$B$16:$M$16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'24_g'!$B$18:$M$18</c:f>
              <c:numCache>
                <c:formatCode>#,##0_ ;\-#,##0\ </c:formatCode>
                <c:ptCount val="12"/>
                <c:pt idx="0">
                  <c:v>22</c:v>
                </c:pt>
                <c:pt idx="1">
                  <c:v>19</c:v>
                </c:pt>
                <c:pt idx="2">
                  <c:v>20</c:v>
                </c:pt>
                <c:pt idx="3">
                  <c:v>23</c:v>
                </c:pt>
                <c:pt idx="4">
                  <c:v>38</c:v>
                </c:pt>
                <c:pt idx="5">
                  <c:v>47</c:v>
                </c:pt>
                <c:pt idx="6">
                  <c:v>13</c:v>
                </c:pt>
                <c:pt idx="7">
                  <c:v>50</c:v>
                </c:pt>
                <c:pt idx="8">
                  <c:v>96</c:v>
                </c:pt>
                <c:pt idx="9">
                  <c:v>26</c:v>
                </c:pt>
                <c:pt idx="10">
                  <c:v>53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'24_g'!$A$19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'24_g'!$B$16:$M$16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'24_g'!$B$19:$M$19</c:f>
              <c:numCache>
                <c:formatCode>#,##0_ ;\-#,##0\ </c:formatCode>
                <c:ptCount val="12"/>
                <c:pt idx="0">
                  <c:v>19.067653276955603</c:v>
                </c:pt>
                <c:pt idx="1">
                  <c:v>16.766384778012686</c:v>
                </c:pt>
                <c:pt idx="2">
                  <c:v>13.150105708245245</c:v>
                </c:pt>
                <c:pt idx="3">
                  <c:v>15.780126849894293</c:v>
                </c:pt>
                <c:pt idx="4">
                  <c:v>35.505285412262154</c:v>
                </c:pt>
                <c:pt idx="5">
                  <c:v>36.491543340380552</c:v>
                </c:pt>
                <c:pt idx="6">
                  <c:v>17.095137420718814</c:v>
                </c:pt>
                <c:pt idx="7">
                  <c:v>36.491543340380552</c:v>
                </c:pt>
                <c:pt idx="8">
                  <c:v>44.710359408033831</c:v>
                </c:pt>
                <c:pt idx="9">
                  <c:v>20.38266384778013</c:v>
                </c:pt>
                <c:pt idx="10">
                  <c:v>24.985200845665965</c:v>
                </c:pt>
                <c:pt idx="11">
                  <c:v>30.573995771670191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'24_g'!$A$20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'24_g'!$B$16:$M$16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'24_g'!$B$20:$M$20</c:f>
              <c:numCache>
                <c:formatCode>#,##0_ ;\-#,##0\ </c:formatCode>
                <c:ptCount val="12"/>
                <c:pt idx="0">
                  <c:v>22</c:v>
                </c:pt>
                <c:pt idx="1">
                  <c:v>15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28</c:v>
                </c:pt>
                <c:pt idx="6">
                  <c:v>9</c:v>
                </c:pt>
                <c:pt idx="7">
                  <c:v>14</c:v>
                </c:pt>
                <c:pt idx="8">
                  <c:v>18</c:v>
                </c:pt>
                <c:pt idx="9">
                  <c:v>12</c:v>
                </c:pt>
                <c:pt idx="10">
                  <c:v>21</c:v>
                </c:pt>
                <c:pt idx="11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67200"/>
        <c:axId val="259842624"/>
      </c:lineChart>
      <c:catAx>
        <c:axId val="25886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9842624"/>
        <c:crosses val="autoZero"/>
        <c:auto val="1"/>
        <c:lblAlgn val="ctr"/>
        <c:lblOffset val="100"/>
        <c:noMultiLvlLbl val="0"/>
      </c:catAx>
      <c:valAx>
        <c:axId val="2598426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8672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'24_g'!$B$39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'24_g'!$C$39:$N$39</c:f>
              <c:numCache>
                <c:formatCode>#,##0_ ;\-#,##0\ </c:formatCode>
                <c:ptCount val="12"/>
                <c:pt idx="0">
                  <c:v>22</c:v>
                </c:pt>
                <c:pt idx="1">
                  <c:v>41</c:v>
                </c:pt>
                <c:pt idx="2">
                  <c:v>61</c:v>
                </c:pt>
                <c:pt idx="3">
                  <c:v>84</c:v>
                </c:pt>
                <c:pt idx="4">
                  <c:v>122</c:v>
                </c:pt>
                <c:pt idx="5">
                  <c:v>169</c:v>
                </c:pt>
                <c:pt idx="6">
                  <c:v>182</c:v>
                </c:pt>
                <c:pt idx="7">
                  <c:v>232</c:v>
                </c:pt>
                <c:pt idx="8">
                  <c:v>328</c:v>
                </c:pt>
                <c:pt idx="9">
                  <c:v>354</c:v>
                </c:pt>
                <c:pt idx="10">
                  <c:v>407</c:v>
                </c:pt>
                <c:pt idx="11">
                  <c:v>419</c:v>
                </c:pt>
              </c:numCache>
            </c:numRef>
          </c:val>
        </c:ser>
        <c:ser>
          <c:idx val="0"/>
          <c:order val="2"/>
          <c:tx>
            <c:strRef>
              <c:f>'24_g'!$B$41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'24_g'!$C$41:$N$41</c:f>
              <c:numCache>
                <c:formatCode>#,##0_ ;\-#,##0\ </c:formatCode>
                <c:ptCount val="12"/>
                <c:pt idx="0">
                  <c:v>22</c:v>
                </c:pt>
                <c:pt idx="1">
                  <c:v>37</c:v>
                </c:pt>
                <c:pt idx="2">
                  <c:v>50</c:v>
                </c:pt>
                <c:pt idx="3">
                  <c:v>64</c:v>
                </c:pt>
                <c:pt idx="4">
                  <c:v>78</c:v>
                </c:pt>
                <c:pt idx="5">
                  <c:v>106</c:v>
                </c:pt>
                <c:pt idx="6">
                  <c:v>115</c:v>
                </c:pt>
                <c:pt idx="7">
                  <c:v>129</c:v>
                </c:pt>
                <c:pt idx="8">
                  <c:v>147</c:v>
                </c:pt>
                <c:pt idx="9">
                  <c:v>159</c:v>
                </c:pt>
                <c:pt idx="10">
                  <c:v>180</c:v>
                </c:pt>
                <c:pt idx="11">
                  <c:v>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8867712"/>
        <c:axId val="259844928"/>
      </c:barChart>
      <c:lineChart>
        <c:grouping val="standard"/>
        <c:varyColors val="0"/>
        <c:ser>
          <c:idx val="3"/>
          <c:order val="1"/>
          <c:tx>
            <c:strRef>
              <c:f>'24_g'!$B$40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'24_g'!$C$37:$N$37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'24_g'!$C$40:$N$40</c:f>
              <c:numCache>
                <c:formatCode>#,##0_ ;\-#,##0\ </c:formatCode>
                <c:ptCount val="12"/>
                <c:pt idx="0">
                  <c:v>19.067653276955603</c:v>
                </c:pt>
                <c:pt idx="1">
                  <c:v>35.834038054968289</c:v>
                </c:pt>
                <c:pt idx="2">
                  <c:v>48.984143763213538</c:v>
                </c:pt>
                <c:pt idx="3">
                  <c:v>64.764270613107826</c:v>
                </c:pt>
                <c:pt idx="4">
                  <c:v>100.26955602536998</c:v>
                </c:pt>
                <c:pt idx="5">
                  <c:v>136.76109936575054</c:v>
                </c:pt>
                <c:pt idx="6">
                  <c:v>153.85623678646937</c:v>
                </c:pt>
                <c:pt idx="7">
                  <c:v>190.34778012684993</c:v>
                </c:pt>
                <c:pt idx="8">
                  <c:v>235.05813953488376</c:v>
                </c:pt>
                <c:pt idx="9">
                  <c:v>255.44080338266389</c:v>
                </c:pt>
                <c:pt idx="10">
                  <c:v>280.42600422832987</c:v>
                </c:pt>
                <c:pt idx="11">
                  <c:v>311.00000000000006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67712"/>
        <c:axId val="259844928"/>
      </c:lineChart>
      <c:catAx>
        <c:axId val="25886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9844928"/>
        <c:crosses val="autoZero"/>
        <c:auto val="1"/>
        <c:lblAlgn val="ctr"/>
        <c:lblOffset val="100"/>
        <c:noMultiLvlLbl val="0"/>
      </c:catAx>
      <c:valAx>
        <c:axId val="259844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8677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20183319821271"/>
          <c:y val="0.1192963520009437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'24_g'!$AI$18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'24_g'!$AJ$16:$AU$16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'24_g'!$AJ$18:$AU$18</c:f>
              <c:numCache>
                <c:formatCode>#,##0.000_ ;\-#,##0.000\ </c:formatCode>
                <c:ptCount val="12"/>
                <c:pt idx="0">
                  <c:v>0.101004</c:v>
                </c:pt>
                <c:pt idx="1">
                  <c:v>0.107686</c:v>
                </c:pt>
                <c:pt idx="2">
                  <c:v>0.110127</c:v>
                </c:pt>
                <c:pt idx="3">
                  <c:v>0.11328344</c:v>
                </c:pt>
                <c:pt idx="4">
                  <c:v>0.10890464</c:v>
                </c:pt>
                <c:pt idx="5">
                  <c:v>0.1115727</c:v>
                </c:pt>
                <c:pt idx="6">
                  <c:v>0.13408010000000001</c:v>
                </c:pt>
                <c:pt idx="7">
                  <c:v>0.15307489999999999</c:v>
                </c:pt>
                <c:pt idx="8">
                  <c:v>0.12476619999999999</c:v>
                </c:pt>
                <c:pt idx="9">
                  <c:v>0.1071791</c:v>
                </c:pt>
                <c:pt idx="10">
                  <c:v>0.1086806</c:v>
                </c:pt>
                <c:pt idx="11">
                  <c:v>0.1081503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'24_g'!$AI$19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'24_g'!$AJ$16:$AU$16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'24_g'!$AJ$19:$AU$19</c:f>
              <c:numCache>
                <c:formatCode>#,##0.000_ ;\-#,##0.000\ </c:formatCode>
                <c:ptCount val="12"/>
                <c:pt idx="0">
                  <c:v>0.105</c:v>
                </c:pt>
                <c:pt idx="1">
                  <c:v>0.111432</c:v>
                </c:pt>
                <c:pt idx="2">
                  <c:v>0.110162</c:v>
                </c:pt>
                <c:pt idx="3">
                  <c:v>0.115842</c:v>
                </c:pt>
                <c:pt idx="4">
                  <c:v>0.112168</c:v>
                </c:pt>
                <c:pt idx="5">
                  <c:v>0.115052</c:v>
                </c:pt>
                <c:pt idx="6">
                  <c:v>0.136071</c:v>
                </c:pt>
                <c:pt idx="7">
                  <c:v>0.147258</c:v>
                </c:pt>
                <c:pt idx="8">
                  <c:v>0.12889700000000001</c:v>
                </c:pt>
                <c:pt idx="9">
                  <c:v>0.117244</c:v>
                </c:pt>
                <c:pt idx="10">
                  <c:v>0.11779000000000001</c:v>
                </c:pt>
                <c:pt idx="11">
                  <c:v>0.115413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'24_g'!$AI$20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'24_g'!$AJ$16:$AU$16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'24_g'!$AJ$20:$AU$20</c:f>
              <c:numCache>
                <c:formatCode>#,##0.000_ ;\-#,##0.000\ </c:formatCode>
                <c:ptCount val="12"/>
                <c:pt idx="0">
                  <c:v>0.10399589999999999</c:v>
                </c:pt>
                <c:pt idx="1">
                  <c:v>0.10721839999999999</c:v>
                </c:pt>
                <c:pt idx="2">
                  <c:v>0.10436089999999999</c:v>
                </c:pt>
                <c:pt idx="3">
                  <c:v>0.11925387</c:v>
                </c:pt>
                <c:pt idx="4">
                  <c:v>0.11138192999999999</c:v>
                </c:pt>
                <c:pt idx="5">
                  <c:v>0.11526657000000001</c:v>
                </c:pt>
                <c:pt idx="6">
                  <c:v>0.13420542999999999</c:v>
                </c:pt>
                <c:pt idx="7">
                  <c:v>0.1396075</c:v>
                </c:pt>
                <c:pt idx="8">
                  <c:v>0.115657</c:v>
                </c:pt>
                <c:pt idx="9">
                  <c:v>0.10812099999999999</c:v>
                </c:pt>
                <c:pt idx="10">
                  <c:v>0.11208750000000001</c:v>
                </c:pt>
                <c:pt idx="11">
                  <c:v>0.1100988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5808"/>
        <c:axId val="259847232"/>
      </c:lineChart>
      <c:catAx>
        <c:axId val="2589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9847232"/>
        <c:crosses val="autoZero"/>
        <c:auto val="1"/>
        <c:lblAlgn val="ctr"/>
        <c:lblOffset val="100"/>
        <c:noMultiLvlLbl val="0"/>
      </c:catAx>
      <c:valAx>
        <c:axId val="2598472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231729704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9358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750595482"/>
          <c:y val="2.2161373086791118E-2"/>
          <c:w val="0.35128897182649865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'24_g'!$AJ$39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'24_g'!$AK$39:$AV$39</c:f>
              <c:numCache>
                <c:formatCode>#,##0.000_ ;\-#,##0.000\ </c:formatCode>
                <c:ptCount val="12"/>
                <c:pt idx="0">
                  <c:v>0.101004</c:v>
                </c:pt>
                <c:pt idx="1">
                  <c:v>0.20868999999999999</c:v>
                </c:pt>
                <c:pt idx="2">
                  <c:v>0.31881700000000002</c:v>
                </c:pt>
                <c:pt idx="3">
                  <c:v>0.43210044000000003</c:v>
                </c:pt>
                <c:pt idx="4">
                  <c:v>0.54100508000000003</c:v>
                </c:pt>
                <c:pt idx="5">
                  <c:v>0.65257778</c:v>
                </c:pt>
                <c:pt idx="6">
                  <c:v>0.78665788000000003</c:v>
                </c:pt>
                <c:pt idx="7">
                  <c:v>0.93973278000000005</c:v>
                </c:pt>
                <c:pt idx="8">
                  <c:v>1.06449898</c:v>
                </c:pt>
                <c:pt idx="9">
                  <c:v>1.17167808</c:v>
                </c:pt>
                <c:pt idx="10">
                  <c:v>1.28035868</c:v>
                </c:pt>
                <c:pt idx="11">
                  <c:v>1.3885089799999999</c:v>
                </c:pt>
              </c:numCache>
            </c:numRef>
          </c:val>
        </c:ser>
        <c:ser>
          <c:idx val="0"/>
          <c:order val="2"/>
          <c:tx>
            <c:strRef>
              <c:f>'24_g'!$AJ$41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'24_g'!$AK$41:$AV$41</c:f>
              <c:numCache>
                <c:formatCode>#,##0.000_ ;\-#,##0.000\ </c:formatCode>
                <c:ptCount val="12"/>
                <c:pt idx="0">
                  <c:v>0.10399589999999999</c:v>
                </c:pt>
                <c:pt idx="1">
                  <c:v>0.21121429999999997</c:v>
                </c:pt>
                <c:pt idx="2">
                  <c:v>0.31557519999999994</c:v>
                </c:pt>
                <c:pt idx="3">
                  <c:v>0.43482906999999993</c:v>
                </c:pt>
                <c:pt idx="4">
                  <c:v>0.54621099999999989</c:v>
                </c:pt>
                <c:pt idx="5">
                  <c:v>0.66147756999999996</c:v>
                </c:pt>
                <c:pt idx="6">
                  <c:v>0.79568299999999992</c:v>
                </c:pt>
                <c:pt idx="7">
                  <c:v>0.93529049999999991</c:v>
                </c:pt>
                <c:pt idx="8">
                  <c:v>1.0509474999999999</c:v>
                </c:pt>
                <c:pt idx="9">
                  <c:v>1.1590684999999998</c:v>
                </c:pt>
                <c:pt idx="10">
                  <c:v>1.271156</c:v>
                </c:pt>
                <c:pt idx="11">
                  <c:v>1.3812548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8868736"/>
        <c:axId val="259849536"/>
      </c:barChart>
      <c:lineChart>
        <c:grouping val="standard"/>
        <c:varyColors val="0"/>
        <c:ser>
          <c:idx val="3"/>
          <c:order val="1"/>
          <c:tx>
            <c:strRef>
              <c:f>'24_g'!$AJ$40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'24_g'!$AK$37:$AV$37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'24_g'!$AK$40:$AV$40</c:f>
              <c:numCache>
                <c:formatCode>#,##0.000_ ;\-#,##0.000\ </c:formatCode>
                <c:ptCount val="12"/>
                <c:pt idx="0">
                  <c:v>0.105</c:v>
                </c:pt>
                <c:pt idx="1">
                  <c:v>0.21643200000000001</c:v>
                </c:pt>
                <c:pt idx="2">
                  <c:v>0.326594</c:v>
                </c:pt>
                <c:pt idx="3">
                  <c:v>0.442436</c:v>
                </c:pt>
                <c:pt idx="4">
                  <c:v>0.55460399999999999</c:v>
                </c:pt>
                <c:pt idx="5">
                  <c:v>0.66965600000000003</c:v>
                </c:pt>
                <c:pt idx="6">
                  <c:v>0.80572700000000008</c:v>
                </c:pt>
                <c:pt idx="7">
                  <c:v>0.95298500000000008</c:v>
                </c:pt>
                <c:pt idx="8">
                  <c:v>1.081882</c:v>
                </c:pt>
                <c:pt idx="9">
                  <c:v>1.1991259999999999</c:v>
                </c:pt>
                <c:pt idx="10">
                  <c:v>1.316916</c:v>
                </c:pt>
                <c:pt idx="11">
                  <c:v>1.432329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68736"/>
        <c:axId val="259849536"/>
      </c:lineChart>
      <c:catAx>
        <c:axId val="25886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9849536"/>
        <c:crosses val="autoZero"/>
        <c:auto val="1"/>
        <c:lblAlgn val="ctr"/>
        <c:lblOffset val="100"/>
        <c:noMultiLvlLbl val="0"/>
      </c:catAx>
      <c:valAx>
        <c:axId val="2598495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53714745194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8687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34181420967"/>
          <c:y val="2.2161373086791118E-2"/>
          <c:w val="0.33180965818579033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'24_g'!$AY$18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'24_g'!$AZ$16:$BK$16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'24_g'!$AZ$18:$BK$18</c:f>
              <c:numCache>
                <c:formatCode>#,##0.000_ ;\-#,##0.000\ </c:formatCode>
                <c:ptCount val="12"/>
                <c:pt idx="0">
                  <c:v>3.5547000000000002E-2</c:v>
                </c:pt>
                <c:pt idx="1">
                  <c:v>3.1210000000000002E-2</c:v>
                </c:pt>
                <c:pt idx="2">
                  <c:v>3.6562999999999998E-2</c:v>
                </c:pt>
                <c:pt idx="3">
                  <c:v>4.0742559999999997E-2</c:v>
                </c:pt>
                <c:pt idx="4">
                  <c:v>2.8812360000000002E-2</c:v>
                </c:pt>
                <c:pt idx="5">
                  <c:v>5.2065300000000002E-2</c:v>
                </c:pt>
                <c:pt idx="6">
                  <c:v>2.9624899999999996E-2</c:v>
                </c:pt>
                <c:pt idx="7">
                  <c:v>1.9969100000000007E-2</c:v>
                </c:pt>
                <c:pt idx="8">
                  <c:v>6.770800000000003E-3</c:v>
                </c:pt>
                <c:pt idx="9">
                  <c:v>2.3885899999999995E-2</c:v>
                </c:pt>
                <c:pt idx="10">
                  <c:v>4.9914399999999991E-2</c:v>
                </c:pt>
                <c:pt idx="11">
                  <c:v>4.4002699999999999E-2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'24_g'!$AY$19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'24_g'!$AZ$16:$BK$16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'24_g'!$AZ$19:$BK$19</c:f>
              <c:numCache>
                <c:formatCode>#,##0.000_ ;\-#,##0.000\ </c:formatCode>
                <c:ptCount val="12"/>
                <c:pt idx="0">
                  <c:v>4.2154999999999998E-2</c:v>
                </c:pt>
                <c:pt idx="1">
                  <c:v>3.8556E-2</c:v>
                </c:pt>
                <c:pt idx="2">
                  <c:v>5.1396999999999998E-2</c:v>
                </c:pt>
                <c:pt idx="3">
                  <c:v>5.4039999999999998E-2</c:v>
                </c:pt>
                <c:pt idx="4">
                  <c:v>4.5746000000000002E-2</c:v>
                </c:pt>
                <c:pt idx="5">
                  <c:v>5.6403000000000002E-2</c:v>
                </c:pt>
                <c:pt idx="6">
                  <c:v>4.3596000000000003E-2</c:v>
                </c:pt>
                <c:pt idx="7">
                  <c:v>2.8569000000000001E-2</c:v>
                </c:pt>
                <c:pt idx="8">
                  <c:v>2.2675000000000001E-2</c:v>
                </c:pt>
                <c:pt idx="9">
                  <c:v>3.3989999999999999E-2</c:v>
                </c:pt>
                <c:pt idx="10">
                  <c:v>4.2428E-2</c:v>
                </c:pt>
                <c:pt idx="11">
                  <c:v>4.3694999999999998E-2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'24_g'!$AY$20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'24_g'!$AZ$16:$BK$16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'24_g'!$AZ$20:$BK$20</c:f>
              <c:numCache>
                <c:formatCode>#,##0.000_ ;\-#,##0.000\ </c:formatCode>
                <c:ptCount val="12"/>
                <c:pt idx="0">
                  <c:v>3.6152999999999998E-2</c:v>
                </c:pt>
                <c:pt idx="1">
                  <c:v>4.7309140000000013E-2</c:v>
                </c:pt>
                <c:pt idx="2">
                  <c:v>6.236941E-2</c:v>
                </c:pt>
                <c:pt idx="3">
                  <c:v>5.2033850000000006E-2</c:v>
                </c:pt>
                <c:pt idx="4">
                  <c:v>5.3620250000000029E-2</c:v>
                </c:pt>
                <c:pt idx="5">
                  <c:v>5.4249130000000007E-2</c:v>
                </c:pt>
                <c:pt idx="6">
                  <c:v>3.2694899999999992E-2</c:v>
                </c:pt>
                <c:pt idx="7">
                  <c:v>1.6515229999999981E-2</c:v>
                </c:pt>
                <c:pt idx="8">
                  <c:v>3.6723910000000005E-2</c:v>
                </c:pt>
                <c:pt idx="9">
                  <c:v>3.8389920000000015E-2</c:v>
                </c:pt>
                <c:pt idx="10">
                  <c:v>3.73075E-2</c:v>
                </c:pt>
                <c:pt idx="11">
                  <c:v>3.1064199999999997E-2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69760"/>
        <c:axId val="259983040"/>
      </c:lineChart>
      <c:catAx>
        <c:axId val="25886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9983040"/>
        <c:crosses val="autoZero"/>
        <c:auto val="1"/>
        <c:lblAlgn val="ctr"/>
        <c:lblOffset val="100"/>
        <c:noMultiLvlLbl val="0"/>
      </c:catAx>
      <c:valAx>
        <c:axId val="2599830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06716187302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8697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4699031100993143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'24_g'!$AY$39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'24_g'!$AZ$37:$BO$37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'24_g'!$AZ$39:$BO$39</c:f>
              <c:numCache>
                <c:formatCode>_(* #,##0.00_);_(* \(#,##0.00\);_(* "-"??_);_(@_)</c:formatCode>
                <c:ptCount val="16"/>
                <c:pt idx="0">
                  <c:v>26.03203198804842</c:v>
                </c:pt>
                <c:pt idx="1">
                  <c:v>22.461963640551005</c:v>
                </c:pt>
                <c:pt idx="2">
                  <c:v>24.925352784784238</c:v>
                </c:pt>
                <c:pt idx="3">
                  <c:v>24.472567843159549</c:v>
                </c:pt>
                <c:pt idx="4">
                  <c:v>26.451741913702882</c:v>
                </c:pt>
                <c:pt idx="5">
                  <c:v>20.918691690565218</c:v>
                </c:pt>
                <c:pt idx="6">
                  <c:v>31.805508891318823</c:v>
                </c:pt>
                <c:pt idx="7">
                  <c:v>25.629919546241265</c:v>
                </c:pt>
                <c:pt idx="8">
                  <c:v>18.096515072844443</c:v>
                </c:pt>
                <c:pt idx="9">
                  <c:v>11.524114011345736</c:v>
                </c:pt>
                <c:pt idx="10">
                  <c:v>5.144046678417312</c:v>
                </c:pt>
                <c:pt idx="11">
                  <c:v>20.895343162561087</c:v>
                </c:pt>
                <c:pt idx="12">
                  <c:v>18.224468775035284</c:v>
                </c:pt>
                <c:pt idx="13">
                  <c:v>31.472871149784037</c:v>
                </c:pt>
                <c:pt idx="14">
                  <c:v>28.920034439018615</c:v>
                </c:pt>
                <c:pt idx="15">
                  <c:v>22.320603779494082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'24_g'!$AY$40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'24_g'!$AZ$37:$BO$37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'24_g'!$AZ$40:$BO$40</c:f>
              <c:numCache>
                <c:formatCode>_(* #,##0.00_);_(* \(#,##0.00\);_(* "-"??_);_(@_)</c:formatCode>
                <c:ptCount val="16"/>
                <c:pt idx="0">
                  <c:v>25.999958668719454</c:v>
                </c:pt>
                <c:pt idx="1">
                  <c:v>25.999958668719454</c:v>
                </c:pt>
                <c:pt idx="2">
                  <c:v>25.999958668719454</c:v>
                </c:pt>
                <c:pt idx="3">
                  <c:v>25.999958668719454</c:v>
                </c:pt>
                <c:pt idx="4">
                  <c:v>25.999958668719454</c:v>
                </c:pt>
                <c:pt idx="5">
                  <c:v>25.999958668719454</c:v>
                </c:pt>
                <c:pt idx="6">
                  <c:v>25.999958668719454</c:v>
                </c:pt>
                <c:pt idx="7">
                  <c:v>25.999958668719454</c:v>
                </c:pt>
                <c:pt idx="8">
                  <c:v>25.999958668719454</c:v>
                </c:pt>
                <c:pt idx="9">
                  <c:v>25.999958668719454</c:v>
                </c:pt>
                <c:pt idx="10">
                  <c:v>25.999958668719454</c:v>
                </c:pt>
                <c:pt idx="11">
                  <c:v>25.999958668719454</c:v>
                </c:pt>
                <c:pt idx="12">
                  <c:v>25.999958668719454</c:v>
                </c:pt>
                <c:pt idx="13">
                  <c:v>25.999958668719454</c:v>
                </c:pt>
                <c:pt idx="14">
                  <c:v>25.999958668719454</c:v>
                </c:pt>
                <c:pt idx="15">
                  <c:v>25.999958668719454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'24_g'!$AY$41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'24_g'!$AZ$37:$BO$37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'24_g'!$AZ$41:$BO$41</c:f>
              <c:numCache>
                <c:formatCode>_(* #,##0.00_);_(* \(#,##0.00\);_(* "-"??_);_(@_)</c:formatCode>
                <c:ptCount val="16"/>
                <c:pt idx="0">
                  <c:v>25.796135395996689</c:v>
                </c:pt>
                <c:pt idx="1">
                  <c:v>30.61534532938272</c:v>
                </c:pt>
                <c:pt idx="2">
                  <c:v>37.407361624889923</c:v>
                </c:pt>
                <c:pt idx="3">
                  <c:v>31.605855354305078</c:v>
                </c:pt>
                <c:pt idx="4">
                  <c:v>30.378038775926264</c:v>
                </c:pt>
                <c:pt idx="5">
                  <c:v>32.496691861889353</c:v>
                </c:pt>
                <c:pt idx="6">
                  <c:v>32.002422194522396</c:v>
                </c:pt>
                <c:pt idx="7">
                  <c:v>31.609892077990942</c:v>
                </c:pt>
                <c:pt idx="8">
                  <c:v>19.589475946512504</c:v>
                </c:pt>
                <c:pt idx="9">
                  <c:v>10.578363573324642</c:v>
                </c:pt>
                <c:pt idx="10">
                  <c:v>24.100072640332705</c:v>
                </c:pt>
                <c:pt idx="11">
                  <c:v>27.149895268064071</c:v>
                </c:pt>
                <c:pt idx="12">
                  <c:v>26.202770414655792</c:v>
                </c:pt>
                <c:pt idx="13">
                  <c:v>24.97238863415777</c:v>
                </c:pt>
                <c:pt idx="14">
                  <c:v>22.005908063727745</c:v>
                </c:pt>
                <c:pt idx="15">
                  <c:v>26.516697018911522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70272"/>
        <c:axId val="259985344"/>
      </c:lineChart>
      <c:catAx>
        <c:axId val="25887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9985344"/>
        <c:crosses val="autoZero"/>
        <c:auto val="1"/>
        <c:lblAlgn val="ctr"/>
        <c:lblOffset val="100"/>
        <c:noMultiLvlLbl val="0"/>
      </c:catAx>
      <c:valAx>
        <c:axId val="2599853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%</a:t>
                </a:r>
              </a:p>
            </c:rich>
          </c:tx>
          <c:layout>
            <c:manualLayout>
              <c:xMode val="edge"/>
              <c:yMode val="edge"/>
              <c:x val="1.5431709008072106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8702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6819046204130139"/>
          <c:y val="2.2161373086791118E-2"/>
          <c:w val="0.95122121527261916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'24_g'!$A$64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'24_g'!$B$62:$M$62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'24_g'!$B$64:$M$64</c:f>
              <c:numCache>
                <c:formatCode>#,##0.00_ ;\-#,##0.00\ </c:formatCode>
                <c:ptCount val="12"/>
                <c:pt idx="0">
                  <c:v>1.8968176500000005</c:v>
                </c:pt>
                <c:pt idx="1">
                  <c:v>1.9957034199999999</c:v>
                </c:pt>
                <c:pt idx="2">
                  <c:v>2.07742827</c:v>
                </c:pt>
                <c:pt idx="3">
                  <c:v>2.1144024899999998</c:v>
                </c:pt>
                <c:pt idx="4">
                  <c:v>2.0457638400000002</c:v>
                </c:pt>
                <c:pt idx="5">
                  <c:v>2.0827561999999995</c:v>
                </c:pt>
                <c:pt idx="6">
                  <c:v>2.4905568900000001</c:v>
                </c:pt>
                <c:pt idx="7">
                  <c:v>2.9521928100000001</c:v>
                </c:pt>
                <c:pt idx="8">
                  <c:v>2.5384037300000002</c:v>
                </c:pt>
                <c:pt idx="9">
                  <c:v>1.9994338200000001</c:v>
                </c:pt>
                <c:pt idx="10">
                  <c:v>1.9955393400000001</c:v>
                </c:pt>
                <c:pt idx="11">
                  <c:v>1.9777245400000001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'24_g'!$A$65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'24_g'!$B$62:$M$62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'24_g'!$B$65:$M$65</c:f>
              <c:numCache>
                <c:formatCode>#,##0.00_ ;\-#,##0.00\ </c:formatCode>
                <c:ptCount val="12"/>
                <c:pt idx="0">
                  <c:v>1.9691510000000001</c:v>
                </c:pt>
                <c:pt idx="1">
                  <c:v>2.072225</c:v>
                </c:pt>
                <c:pt idx="2">
                  <c:v>2.062211</c:v>
                </c:pt>
                <c:pt idx="3">
                  <c:v>2.1425239999999999</c:v>
                </c:pt>
                <c:pt idx="4">
                  <c:v>2.1056119999999998</c:v>
                </c:pt>
                <c:pt idx="5">
                  <c:v>2.146102</c:v>
                </c:pt>
                <c:pt idx="6">
                  <c:v>2.5167459999999999</c:v>
                </c:pt>
                <c:pt idx="7">
                  <c:v>2.7251319999999999</c:v>
                </c:pt>
                <c:pt idx="8">
                  <c:v>2.4519690000000001</c:v>
                </c:pt>
                <c:pt idx="9">
                  <c:v>2.15625</c:v>
                </c:pt>
                <c:pt idx="10">
                  <c:v>2.147011</c:v>
                </c:pt>
                <c:pt idx="11">
                  <c:v>2.1299199999999998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'24_g'!$A$66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'24_g'!$B$62:$M$62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'24_g'!$B$66:$M$66</c:f>
              <c:numCache>
                <c:formatCode>#,##0.00_ ;\-#,##0.00\ </c:formatCode>
                <c:ptCount val="12"/>
                <c:pt idx="0">
                  <c:v>1.95334312</c:v>
                </c:pt>
                <c:pt idx="1">
                  <c:v>2.0001511500000002</c:v>
                </c:pt>
                <c:pt idx="2">
                  <c:v>1.9573718499999997</c:v>
                </c:pt>
                <c:pt idx="3">
                  <c:v>2.2275514599999999</c:v>
                </c:pt>
                <c:pt idx="4">
                  <c:v>2.09079324</c:v>
                </c:pt>
                <c:pt idx="5">
                  <c:v>2.1596150599999997</c:v>
                </c:pt>
                <c:pt idx="6">
                  <c:v>2.4720786400000008</c:v>
                </c:pt>
                <c:pt idx="7">
                  <c:v>2.5599887099999998</c:v>
                </c:pt>
                <c:pt idx="8">
                  <c:v>2.1720234500000002</c:v>
                </c:pt>
                <c:pt idx="9">
                  <c:v>2.0167714000000001</c:v>
                </c:pt>
                <c:pt idx="10">
                  <c:v>2.0818417200000003</c:v>
                </c:pt>
                <c:pt idx="11">
                  <c:v>2.0553469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70784"/>
        <c:axId val="259987648"/>
      </c:lineChart>
      <c:catAx>
        <c:axId val="2588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9987648"/>
        <c:crosses val="autoZero"/>
        <c:auto val="1"/>
        <c:lblAlgn val="ctr"/>
        <c:lblOffset val="100"/>
        <c:noMultiLvlLbl val="0"/>
      </c:catAx>
      <c:valAx>
        <c:axId val="2599876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8707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'11_g'!$B$39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'11_g'!$C$39:$N$39</c:f>
              <c:numCache>
                <c:formatCode>#,##0_ ;\-#,##0\ </c:formatCode>
                <c:ptCount val="12"/>
                <c:pt idx="0">
                  <c:v>293</c:v>
                </c:pt>
                <c:pt idx="1">
                  <c:v>809</c:v>
                </c:pt>
                <c:pt idx="2">
                  <c:v>1291</c:v>
                </c:pt>
                <c:pt idx="3">
                  <c:v>1592</c:v>
                </c:pt>
                <c:pt idx="4">
                  <c:v>2026</c:v>
                </c:pt>
                <c:pt idx="5">
                  <c:v>2518</c:v>
                </c:pt>
                <c:pt idx="6">
                  <c:v>3057</c:v>
                </c:pt>
                <c:pt idx="7">
                  <c:v>3678</c:v>
                </c:pt>
                <c:pt idx="8">
                  <c:v>4442</c:v>
                </c:pt>
                <c:pt idx="9">
                  <c:v>5054</c:v>
                </c:pt>
                <c:pt idx="10">
                  <c:v>5786</c:v>
                </c:pt>
                <c:pt idx="11">
                  <c:v>6589</c:v>
                </c:pt>
              </c:numCache>
            </c:numRef>
          </c:val>
        </c:ser>
        <c:ser>
          <c:idx val="0"/>
          <c:order val="2"/>
          <c:tx>
            <c:strRef>
              <c:f>'11_g'!$B$41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'11_g'!$C$41:$N$41</c:f>
              <c:numCache>
                <c:formatCode>#,##0_ ;\-#,##0\ </c:formatCode>
                <c:ptCount val="12"/>
                <c:pt idx="0">
                  <c:v>820</c:v>
                </c:pt>
                <c:pt idx="1">
                  <c:v>1224</c:v>
                </c:pt>
                <c:pt idx="2">
                  <c:v>1704</c:v>
                </c:pt>
                <c:pt idx="3">
                  <c:v>2051</c:v>
                </c:pt>
                <c:pt idx="4">
                  <c:v>2433</c:v>
                </c:pt>
                <c:pt idx="5">
                  <c:v>2938</c:v>
                </c:pt>
                <c:pt idx="6">
                  <c:v>3181</c:v>
                </c:pt>
                <c:pt idx="7">
                  <c:v>3585</c:v>
                </c:pt>
                <c:pt idx="8">
                  <c:v>4047</c:v>
                </c:pt>
                <c:pt idx="9">
                  <c:v>4427</c:v>
                </c:pt>
                <c:pt idx="10">
                  <c:v>5120</c:v>
                </c:pt>
                <c:pt idx="11">
                  <c:v>6593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2161024"/>
        <c:axId val="185658176"/>
      </c:barChart>
      <c:lineChart>
        <c:grouping val="standard"/>
        <c:varyColors val="0"/>
        <c:ser>
          <c:idx val="3"/>
          <c:order val="1"/>
          <c:tx>
            <c:strRef>
              <c:f>'11_g'!$B$40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'11_g'!$C$37:$N$37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'11_g'!$C$40:$N$40</c:f>
              <c:numCache>
                <c:formatCode>#,##0_ ;\-#,##0\ </c:formatCode>
                <c:ptCount val="12"/>
                <c:pt idx="0">
                  <c:v>431.74921728240452</c:v>
                </c:pt>
                <c:pt idx="1">
                  <c:v>949.97881444374877</c:v>
                </c:pt>
                <c:pt idx="2">
                  <c:v>1420.8889584637864</c:v>
                </c:pt>
                <c:pt idx="3">
                  <c:v>1808.5821331663537</c:v>
                </c:pt>
                <c:pt idx="4">
                  <c:v>2338.2336672928409</c:v>
                </c:pt>
                <c:pt idx="5">
                  <c:v>2882.8968900020873</c:v>
                </c:pt>
                <c:pt idx="6">
                  <c:v>3369.1450636610311</c:v>
                </c:pt>
                <c:pt idx="7">
                  <c:v>3897.8175746190773</c:v>
                </c:pt>
                <c:pt idx="8">
                  <c:v>4480.0100187852222</c:v>
                </c:pt>
                <c:pt idx="9">
                  <c:v>5023.694218326028</c:v>
                </c:pt>
                <c:pt idx="10">
                  <c:v>5644.394907117512</c:v>
                </c:pt>
                <c:pt idx="11">
                  <c:v>6254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61024"/>
        <c:axId val="185658176"/>
      </c:lineChart>
      <c:catAx>
        <c:axId val="17216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85658176"/>
        <c:crosses val="autoZero"/>
        <c:auto val="1"/>
        <c:lblAlgn val="ctr"/>
        <c:lblOffset val="100"/>
        <c:noMultiLvlLbl val="0"/>
      </c:catAx>
      <c:valAx>
        <c:axId val="1856581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1610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'24_g'!$B$85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'24_g'!$C$85:$N$85</c:f>
              <c:numCache>
                <c:formatCode>#,##0.00_ ;\-#,##0.00\ </c:formatCode>
                <c:ptCount val="12"/>
                <c:pt idx="0">
                  <c:v>1.8968176500000005</c:v>
                </c:pt>
                <c:pt idx="1">
                  <c:v>3.8925210700000004</c:v>
                </c:pt>
                <c:pt idx="2">
                  <c:v>5.9699493400000003</c:v>
                </c:pt>
                <c:pt idx="3">
                  <c:v>8.0843518299999992</c:v>
                </c:pt>
                <c:pt idx="4">
                  <c:v>10.130115669999999</c:v>
                </c:pt>
                <c:pt idx="5">
                  <c:v>12.212871869999997</c:v>
                </c:pt>
                <c:pt idx="6">
                  <c:v>14.703428759999998</c:v>
                </c:pt>
                <c:pt idx="7">
                  <c:v>17.655621569999997</c:v>
                </c:pt>
                <c:pt idx="8">
                  <c:v>20.194025299999996</c:v>
                </c:pt>
                <c:pt idx="9">
                  <c:v>22.193459119999996</c:v>
                </c:pt>
                <c:pt idx="10">
                  <c:v>24.188998459999997</c:v>
                </c:pt>
                <c:pt idx="11">
                  <c:v>26.166722999999998</c:v>
                </c:pt>
              </c:numCache>
            </c:numRef>
          </c:val>
        </c:ser>
        <c:ser>
          <c:idx val="0"/>
          <c:order val="2"/>
          <c:tx>
            <c:strRef>
              <c:f>'24_g'!$B$87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'24_g'!$C$87:$N$87</c:f>
              <c:numCache>
                <c:formatCode>#,##0.00_ ;\-#,##0.00\ </c:formatCode>
                <c:ptCount val="12"/>
                <c:pt idx="0">
                  <c:v>1.95334312</c:v>
                </c:pt>
                <c:pt idx="1">
                  <c:v>3.9534942700000002</c:v>
                </c:pt>
                <c:pt idx="2">
                  <c:v>5.9108661199999997</c:v>
                </c:pt>
                <c:pt idx="3">
                  <c:v>8.1384175799999987</c:v>
                </c:pt>
                <c:pt idx="4">
                  <c:v>10.229210819999999</c:v>
                </c:pt>
                <c:pt idx="5">
                  <c:v>12.388825879999999</c:v>
                </c:pt>
                <c:pt idx="6">
                  <c:v>14.86090452</c:v>
                </c:pt>
                <c:pt idx="7">
                  <c:v>17.420893230000001</c:v>
                </c:pt>
                <c:pt idx="8">
                  <c:v>19.592916680000002</c:v>
                </c:pt>
                <c:pt idx="9">
                  <c:v>21.609688080000002</c:v>
                </c:pt>
                <c:pt idx="10">
                  <c:v>23.691529800000001</c:v>
                </c:pt>
                <c:pt idx="11">
                  <c:v>25.746876700000001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0698112"/>
        <c:axId val="260399680"/>
      </c:barChart>
      <c:lineChart>
        <c:grouping val="standard"/>
        <c:varyColors val="0"/>
        <c:ser>
          <c:idx val="3"/>
          <c:order val="1"/>
          <c:tx>
            <c:strRef>
              <c:f>'24_g'!$B$86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'24_g'!$C$83:$N$83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'24_g'!$C$86:$N$86</c:f>
              <c:numCache>
                <c:formatCode>#,##0.00_ ;\-#,##0.00\ </c:formatCode>
                <c:ptCount val="12"/>
                <c:pt idx="0">
                  <c:v>1.9691510000000001</c:v>
                </c:pt>
                <c:pt idx="1">
                  <c:v>4.0413759999999996</c:v>
                </c:pt>
                <c:pt idx="2">
                  <c:v>6.1035869999999992</c:v>
                </c:pt>
                <c:pt idx="3">
                  <c:v>8.2461109999999991</c:v>
                </c:pt>
                <c:pt idx="4">
                  <c:v>10.351723</c:v>
                </c:pt>
                <c:pt idx="5">
                  <c:v>12.497824999999999</c:v>
                </c:pt>
                <c:pt idx="6">
                  <c:v>15.014570999999998</c:v>
                </c:pt>
                <c:pt idx="7">
                  <c:v>17.739702999999999</c:v>
                </c:pt>
                <c:pt idx="8">
                  <c:v>20.191671999999997</c:v>
                </c:pt>
                <c:pt idx="9">
                  <c:v>22.347921999999997</c:v>
                </c:pt>
                <c:pt idx="10">
                  <c:v>24.494932999999996</c:v>
                </c:pt>
                <c:pt idx="11">
                  <c:v>26.624852999999995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8112"/>
        <c:axId val="260399680"/>
      </c:lineChart>
      <c:catAx>
        <c:axId val="26069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399680"/>
        <c:crosses val="autoZero"/>
        <c:auto val="1"/>
        <c:lblAlgn val="ctr"/>
        <c:lblOffset val="100"/>
        <c:noMultiLvlLbl val="0"/>
      </c:catAx>
      <c:valAx>
        <c:axId val="2603996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6981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'24_g'!$S$64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'24_g'!$T$62:$AE$62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'24_g'!$T$64:$AE$64</c:f>
              <c:numCache>
                <c:formatCode>#,##0.00_ ;\-#,##0.00\ </c:formatCode>
                <c:ptCount val="12"/>
                <c:pt idx="0">
                  <c:v>1.0967441200000001</c:v>
                </c:pt>
                <c:pt idx="1">
                  <c:v>1.1102032300000002</c:v>
                </c:pt>
                <c:pt idx="2">
                  <c:v>1.09335296</c:v>
                </c:pt>
                <c:pt idx="3">
                  <c:v>1.0474893599999999</c:v>
                </c:pt>
                <c:pt idx="4">
                  <c:v>1.0789290600000001</c:v>
                </c:pt>
                <c:pt idx="5">
                  <c:v>1.1028766799999996</c:v>
                </c:pt>
                <c:pt idx="6">
                  <c:v>1.16071934</c:v>
                </c:pt>
                <c:pt idx="7">
                  <c:v>1.2826652199999999</c:v>
                </c:pt>
                <c:pt idx="8">
                  <c:v>1.11657535</c:v>
                </c:pt>
                <c:pt idx="9">
                  <c:v>1.0383519299999999</c:v>
                </c:pt>
                <c:pt idx="10">
                  <c:v>1.0549814100000001</c:v>
                </c:pt>
                <c:pt idx="11">
                  <c:v>1.4119873100000002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'24_g'!$S$65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'24_g'!$T$62:$AE$62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'24_g'!$T$65:$AE$65</c:f>
              <c:numCache>
                <c:formatCode>#,##0.00_ ;\-#,##0.00\ </c:formatCode>
                <c:ptCount val="12"/>
                <c:pt idx="0">
                  <c:v>1.084878</c:v>
                </c:pt>
                <c:pt idx="1">
                  <c:v>1.149176</c:v>
                </c:pt>
                <c:pt idx="2">
                  <c:v>1.08975</c:v>
                </c:pt>
                <c:pt idx="3">
                  <c:v>1.0658129999999999</c:v>
                </c:pt>
                <c:pt idx="4">
                  <c:v>1.1531309999999999</c:v>
                </c:pt>
                <c:pt idx="5">
                  <c:v>1.149054</c:v>
                </c:pt>
                <c:pt idx="6">
                  <c:v>1.1398459999999999</c:v>
                </c:pt>
                <c:pt idx="7">
                  <c:v>1.284006</c:v>
                </c:pt>
                <c:pt idx="8">
                  <c:v>1.177611</c:v>
                </c:pt>
                <c:pt idx="9">
                  <c:v>1.1238459999999999</c:v>
                </c:pt>
                <c:pt idx="10">
                  <c:v>1.12768</c:v>
                </c:pt>
                <c:pt idx="11">
                  <c:v>1.3476919999999999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'24_g'!$S$66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'24_g'!$T$62:$AE$62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'24_g'!$T$66:$AE$66</c:f>
              <c:numCache>
                <c:formatCode>#,##0.00_ ;\-#,##0.00\ </c:formatCode>
                <c:ptCount val="12"/>
                <c:pt idx="0">
                  <c:v>0.95618148999999997</c:v>
                </c:pt>
                <c:pt idx="1">
                  <c:v>0.98153317000000018</c:v>
                </c:pt>
                <c:pt idx="2">
                  <c:v>1.27315326</c:v>
                </c:pt>
                <c:pt idx="3">
                  <c:v>1.2946153200000001</c:v>
                </c:pt>
                <c:pt idx="4">
                  <c:v>1.0229925500000001</c:v>
                </c:pt>
                <c:pt idx="5">
                  <c:v>1.1920711399999999</c:v>
                </c:pt>
                <c:pt idx="6">
                  <c:v>1.0766158300000002</c:v>
                </c:pt>
                <c:pt idx="7">
                  <c:v>1.10126919</c:v>
                </c:pt>
                <c:pt idx="8">
                  <c:v>1.0603984000000002</c:v>
                </c:pt>
                <c:pt idx="9">
                  <c:v>1.0035259600000004</c:v>
                </c:pt>
                <c:pt idx="10">
                  <c:v>1.1397303699999999</c:v>
                </c:pt>
                <c:pt idx="11">
                  <c:v>1.39042142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3760"/>
        <c:axId val="260401984"/>
      </c:lineChart>
      <c:catAx>
        <c:axId val="25893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401984"/>
        <c:crosses val="autoZero"/>
        <c:auto val="1"/>
        <c:lblAlgn val="ctr"/>
        <c:lblOffset val="100"/>
        <c:noMultiLvlLbl val="0"/>
      </c:catAx>
      <c:valAx>
        <c:axId val="2604019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89337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'24_g'!$T$85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'24_g'!$U$85:$AF$85</c:f>
              <c:numCache>
                <c:formatCode>#,##0.00_ ;\-#,##0.00\ </c:formatCode>
                <c:ptCount val="12"/>
                <c:pt idx="0">
                  <c:v>1.0967441200000001</c:v>
                </c:pt>
                <c:pt idx="1">
                  <c:v>2.2069473500000001</c:v>
                </c:pt>
                <c:pt idx="2">
                  <c:v>3.3003003099999999</c:v>
                </c:pt>
                <c:pt idx="3">
                  <c:v>4.3477896700000001</c:v>
                </c:pt>
                <c:pt idx="4">
                  <c:v>5.4267187300000002</c:v>
                </c:pt>
                <c:pt idx="5">
                  <c:v>6.5295954099999998</c:v>
                </c:pt>
                <c:pt idx="6">
                  <c:v>7.6903147499999998</c:v>
                </c:pt>
                <c:pt idx="7">
                  <c:v>8.972979969999999</c:v>
                </c:pt>
                <c:pt idx="8">
                  <c:v>10.089555319999999</c:v>
                </c:pt>
                <c:pt idx="9">
                  <c:v>11.127907249999998</c:v>
                </c:pt>
                <c:pt idx="10">
                  <c:v>12.182888659999998</c:v>
                </c:pt>
                <c:pt idx="11">
                  <c:v>13.594875969999999</c:v>
                </c:pt>
              </c:numCache>
            </c:numRef>
          </c:val>
        </c:ser>
        <c:ser>
          <c:idx val="0"/>
          <c:order val="2"/>
          <c:tx>
            <c:strRef>
              <c:f>'24_g'!$T$87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'24_g'!$U$87:$AF$87</c:f>
              <c:numCache>
                <c:formatCode>#,##0.00_ ;\-#,##0.00\ </c:formatCode>
                <c:ptCount val="12"/>
                <c:pt idx="0">
                  <c:v>0.95618148999999997</c:v>
                </c:pt>
                <c:pt idx="1">
                  <c:v>1.9377146600000001</c:v>
                </c:pt>
                <c:pt idx="2">
                  <c:v>3.2108679200000001</c:v>
                </c:pt>
                <c:pt idx="3">
                  <c:v>4.5054832400000002</c:v>
                </c:pt>
                <c:pt idx="4">
                  <c:v>5.5284757899999999</c:v>
                </c:pt>
                <c:pt idx="5">
                  <c:v>6.7205469299999994</c:v>
                </c:pt>
                <c:pt idx="6">
                  <c:v>7.7971627599999991</c:v>
                </c:pt>
                <c:pt idx="7">
                  <c:v>8.8984319499999991</c:v>
                </c:pt>
                <c:pt idx="8">
                  <c:v>9.9588303499999995</c:v>
                </c:pt>
                <c:pt idx="9">
                  <c:v>10.962356310000001</c:v>
                </c:pt>
                <c:pt idx="10">
                  <c:v>12.102086680000001</c:v>
                </c:pt>
                <c:pt idx="11">
                  <c:v>13.492508100000002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0699136"/>
        <c:axId val="260404288"/>
      </c:barChart>
      <c:lineChart>
        <c:grouping val="standard"/>
        <c:varyColors val="0"/>
        <c:ser>
          <c:idx val="3"/>
          <c:order val="1"/>
          <c:tx>
            <c:strRef>
              <c:f>'24_g'!$T$86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'24_g'!$U$83:$AF$83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'24_g'!$U$86:$AF$86</c:f>
              <c:numCache>
                <c:formatCode>#,##0.00_ ;\-#,##0.00\ </c:formatCode>
                <c:ptCount val="12"/>
                <c:pt idx="0">
                  <c:v>1.084878</c:v>
                </c:pt>
                <c:pt idx="1">
                  <c:v>2.234054</c:v>
                </c:pt>
                <c:pt idx="2">
                  <c:v>3.323804</c:v>
                </c:pt>
                <c:pt idx="3">
                  <c:v>4.3896169999999994</c:v>
                </c:pt>
                <c:pt idx="4">
                  <c:v>5.5427479999999996</c:v>
                </c:pt>
                <c:pt idx="5">
                  <c:v>6.6918019999999991</c:v>
                </c:pt>
                <c:pt idx="6">
                  <c:v>7.8316479999999995</c:v>
                </c:pt>
                <c:pt idx="7">
                  <c:v>9.1156539999999993</c:v>
                </c:pt>
                <c:pt idx="8">
                  <c:v>10.293265</c:v>
                </c:pt>
                <c:pt idx="9">
                  <c:v>11.417111</c:v>
                </c:pt>
                <c:pt idx="10">
                  <c:v>12.544791</c:v>
                </c:pt>
                <c:pt idx="11">
                  <c:v>13.892483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9136"/>
        <c:axId val="260404288"/>
      </c:lineChart>
      <c:catAx>
        <c:axId val="2606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404288"/>
        <c:crosses val="autoZero"/>
        <c:auto val="1"/>
        <c:lblAlgn val="ctr"/>
        <c:lblOffset val="100"/>
        <c:noMultiLvlLbl val="0"/>
      </c:catAx>
      <c:valAx>
        <c:axId val="2604042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6991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'24_g'!$AI$64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'24_g'!$AJ$62:$AU$62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'24_g'!$AJ$64:$AU$64</c:f>
              <c:numCache>
                <c:formatCode>#,##0.00_ ;\-#,##0.00\ </c:formatCode>
                <c:ptCount val="12"/>
                <c:pt idx="0">
                  <c:v>0.80007353000000037</c:v>
                </c:pt>
                <c:pt idx="1">
                  <c:v>0.88550018999999969</c:v>
                </c:pt>
                <c:pt idx="2">
                  <c:v>0.98407530999999993</c:v>
                </c:pt>
                <c:pt idx="3">
                  <c:v>1.0669131299999999</c:v>
                </c:pt>
                <c:pt idx="4">
                  <c:v>0.96683478000000012</c:v>
                </c:pt>
                <c:pt idx="5">
                  <c:v>0.97987951999999989</c:v>
                </c:pt>
                <c:pt idx="6">
                  <c:v>1.3298375500000001</c:v>
                </c:pt>
                <c:pt idx="7">
                  <c:v>1.6695275900000002</c:v>
                </c:pt>
                <c:pt idx="8">
                  <c:v>1.4218283800000002</c:v>
                </c:pt>
                <c:pt idx="9">
                  <c:v>0.96108189000000022</c:v>
                </c:pt>
                <c:pt idx="10">
                  <c:v>0.94055792999999999</c:v>
                </c:pt>
                <c:pt idx="11">
                  <c:v>0.56573722999999987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'24_g'!$AI$65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'24_g'!$AJ$62:$AU$62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'24_g'!$AJ$65:$AU$65</c:f>
              <c:numCache>
                <c:formatCode>#,##0.00_ ;\-#,##0.00\ </c:formatCode>
                <c:ptCount val="12"/>
                <c:pt idx="0">
                  <c:v>0.88427300000000009</c:v>
                </c:pt>
                <c:pt idx="1">
                  <c:v>0.92304900000000001</c:v>
                </c:pt>
                <c:pt idx="2">
                  <c:v>0.97246100000000002</c:v>
                </c:pt>
                <c:pt idx="3">
                  <c:v>1.076711</c:v>
                </c:pt>
                <c:pt idx="4">
                  <c:v>0.95248099999999991</c:v>
                </c:pt>
                <c:pt idx="5">
                  <c:v>0.99704799999999993</c:v>
                </c:pt>
                <c:pt idx="6">
                  <c:v>1.3769</c:v>
                </c:pt>
                <c:pt idx="7">
                  <c:v>1.4411259999999999</c:v>
                </c:pt>
                <c:pt idx="8">
                  <c:v>1.2743580000000001</c:v>
                </c:pt>
                <c:pt idx="9">
                  <c:v>1.0324040000000001</c:v>
                </c:pt>
                <c:pt idx="10">
                  <c:v>1.019331</c:v>
                </c:pt>
                <c:pt idx="11">
                  <c:v>0.78222799999999992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'24_g'!$AI$66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'24_g'!$AJ$62:$AU$62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'24_g'!$AJ$66:$AU$66</c:f>
              <c:numCache>
                <c:formatCode>#,##0.00_ ;\-#,##0.00\ </c:formatCode>
                <c:ptCount val="12"/>
                <c:pt idx="0">
                  <c:v>0.99716163000000002</c:v>
                </c:pt>
                <c:pt idx="1">
                  <c:v>1.0186179800000001</c:v>
                </c:pt>
                <c:pt idx="2">
                  <c:v>0.68421858999999974</c:v>
                </c:pt>
                <c:pt idx="3">
                  <c:v>0.9329361399999998</c:v>
                </c:pt>
                <c:pt idx="4">
                  <c:v>1.0678006899999999</c:v>
                </c:pt>
                <c:pt idx="5">
                  <c:v>0.96754391999999978</c:v>
                </c:pt>
                <c:pt idx="6">
                  <c:v>1.3954628100000006</c:v>
                </c:pt>
                <c:pt idx="7">
                  <c:v>1.4587195199999998</c:v>
                </c:pt>
                <c:pt idx="8">
                  <c:v>1.11162505</c:v>
                </c:pt>
                <c:pt idx="9">
                  <c:v>1.0132454399999997</c:v>
                </c:pt>
                <c:pt idx="10">
                  <c:v>0.94211135000000046</c:v>
                </c:pt>
                <c:pt idx="11">
                  <c:v>0.66492547999999996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9648"/>
        <c:axId val="260406592"/>
      </c:lineChart>
      <c:catAx>
        <c:axId val="26069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406592"/>
        <c:crosses val="autoZero"/>
        <c:auto val="1"/>
        <c:lblAlgn val="ctr"/>
        <c:lblOffset val="100"/>
        <c:noMultiLvlLbl val="0"/>
      </c:catAx>
      <c:valAx>
        <c:axId val="260406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39820829426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6996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764848977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'24_g'!$AJ$85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'24_g'!$AK$85:$AV$85</c:f>
              <c:numCache>
                <c:formatCode>#,##0.00_ ;\-#,##0.00\ </c:formatCode>
                <c:ptCount val="12"/>
                <c:pt idx="0">
                  <c:v>0.80007353000000037</c:v>
                </c:pt>
                <c:pt idx="1">
                  <c:v>1.6855737200000001</c:v>
                </c:pt>
                <c:pt idx="2">
                  <c:v>2.66964903</c:v>
                </c:pt>
                <c:pt idx="3">
                  <c:v>3.7365621600000001</c:v>
                </c:pt>
                <c:pt idx="4">
                  <c:v>4.7033969400000002</c:v>
                </c:pt>
                <c:pt idx="5">
                  <c:v>5.6832764600000001</c:v>
                </c:pt>
                <c:pt idx="6">
                  <c:v>7.0131140100000007</c:v>
                </c:pt>
                <c:pt idx="7">
                  <c:v>8.6826416000000002</c:v>
                </c:pt>
                <c:pt idx="8">
                  <c:v>10.104469980000001</c:v>
                </c:pt>
                <c:pt idx="9">
                  <c:v>11.065551870000002</c:v>
                </c:pt>
                <c:pt idx="10">
                  <c:v>12.006109800000003</c:v>
                </c:pt>
                <c:pt idx="11">
                  <c:v>12.571847030000002</c:v>
                </c:pt>
              </c:numCache>
            </c:numRef>
          </c:val>
        </c:ser>
        <c:ser>
          <c:idx val="0"/>
          <c:order val="2"/>
          <c:tx>
            <c:strRef>
              <c:f>'24_g'!$AJ$87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'24_g'!$AK$83:$AV$83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'24_g'!$AK$87:$AV$87</c:f>
              <c:numCache>
                <c:formatCode>#,##0.00_ ;\-#,##0.00\ </c:formatCode>
                <c:ptCount val="12"/>
                <c:pt idx="0">
                  <c:v>0.99716163000000002</c:v>
                </c:pt>
                <c:pt idx="1">
                  <c:v>2.0157796100000001</c:v>
                </c:pt>
                <c:pt idx="2">
                  <c:v>2.6999981999999996</c:v>
                </c:pt>
                <c:pt idx="3">
                  <c:v>3.6329343399999994</c:v>
                </c:pt>
                <c:pt idx="4">
                  <c:v>4.7007350299999988</c:v>
                </c:pt>
                <c:pt idx="5">
                  <c:v>5.6682789499999986</c:v>
                </c:pt>
                <c:pt idx="6">
                  <c:v>7.0637417599999992</c:v>
                </c:pt>
                <c:pt idx="7">
                  <c:v>8.5224612799999981</c:v>
                </c:pt>
                <c:pt idx="8">
                  <c:v>9.6340863299999988</c:v>
                </c:pt>
                <c:pt idx="9">
                  <c:v>10.647331769999999</c:v>
                </c:pt>
                <c:pt idx="10">
                  <c:v>11.58944312</c:v>
                </c:pt>
                <c:pt idx="11">
                  <c:v>12.254368599999999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0700160"/>
        <c:axId val="261007040"/>
      </c:barChart>
      <c:lineChart>
        <c:grouping val="standard"/>
        <c:varyColors val="0"/>
        <c:ser>
          <c:idx val="3"/>
          <c:order val="1"/>
          <c:tx>
            <c:strRef>
              <c:f>'24_g'!$AJ$86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'24_g'!$AK$83:$AV$83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'24_g'!$AK$86:$AV$86</c:f>
              <c:numCache>
                <c:formatCode>#,##0.00_ ;\-#,##0.00\ </c:formatCode>
                <c:ptCount val="12"/>
                <c:pt idx="0">
                  <c:v>0.88427300000000009</c:v>
                </c:pt>
                <c:pt idx="1">
                  <c:v>1.8073220000000001</c:v>
                </c:pt>
                <c:pt idx="2">
                  <c:v>2.7797830000000001</c:v>
                </c:pt>
                <c:pt idx="3">
                  <c:v>3.8564940000000001</c:v>
                </c:pt>
                <c:pt idx="4">
                  <c:v>4.8089750000000002</c:v>
                </c:pt>
                <c:pt idx="5">
                  <c:v>5.8060229999999997</c:v>
                </c:pt>
                <c:pt idx="6">
                  <c:v>7.1829229999999997</c:v>
                </c:pt>
                <c:pt idx="7">
                  <c:v>8.6240489999999994</c:v>
                </c:pt>
                <c:pt idx="8">
                  <c:v>9.8984069999999988</c:v>
                </c:pt>
                <c:pt idx="9">
                  <c:v>10.930810999999999</c:v>
                </c:pt>
                <c:pt idx="10">
                  <c:v>11.950141999999998</c:v>
                </c:pt>
                <c:pt idx="11">
                  <c:v>12.732369999999998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00160"/>
        <c:axId val="261007040"/>
      </c:lineChart>
      <c:catAx>
        <c:axId val="2607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007040"/>
        <c:crosses val="autoZero"/>
        <c:auto val="1"/>
        <c:lblAlgn val="ctr"/>
        <c:lblOffset val="100"/>
        <c:noMultiLvlLbl val="0"/>
      </c:catAx>
      <c:valAx>
        <c:axId val="2610070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9749130195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7001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40719038022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'24_g'!$T$21:$U$21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'24_g'!$V$20:$AC$20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'24_g'!$V$21:$AC$21</c:f>
              <c:numCache>
                <c:formatCode>#,##0</c:formatCode>
                <c:ptCount val="8"/>
                <c:pt idx="0">
                  <c:v>42.984143763213538</c:v>
                </c:pt>
                <c:pt idx="1">
                  <c:v>41</c:v>
                </c:pt>
                <c:pt idx="2">
                  <c:v>124.76109936575054</c:v>
                </c:pt>
                <c:pt idx="3">
                  <c:v>96</c:v>
                </c:pt>
                <c:pt idx="4">
                  <c:v>214.05813953488376</c:v>
                </c:pt>
                <c:pt idx="5">
                  <c:v>136</c:v>
                </c:pt>
                <c:pt idx="6">
                  <c:v>272.00000000000006</c:v>
                </c:pt>
                <c:pt idx="7">
                  <c:v>190</c:v>
                </c:pt>
              </c:numCache>
            </c:numRef>
          </c:val>
        </c:ser>
        <c:ser>
          <c:idx val="0"/>
          <c:order val="1"/>
          <c:tx>
            <c:strRef>
              <c:f>'24_g'!$T$22:$U$22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'24_g'!$V$20:$AC$20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'24_g'!$V$22:$AC$22</c:f>
              <c:numCache>
                <c:formatCode>#,##0</c:formatCode>
                <c:ptCount val="8"/>
                <c:pt idx="0">
                  <c:v>6</c:v>
                </c:pt>
                <c:pt idx="1">
                  <c:v>9</c:v>
                </c:pt>
                <c:pt idx="2">
                  <c:v>12</c:v>
                </c:pt>
                <c:pt idx="3">
                  <c:v>10</c:v>
                </c:pt>
                <c:pt idx="4">
                  <c:v>21</c:v>
                </c:pt>
                <c:pt idx="5">
                  <c:v>11</c:v>
                </c:pt>
                <c:pt idx="6">
                  <c:v>39</c:v>
                </c:pt>
                <c:pt idx="7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60701696"/>
        <c:axId val="261009344"/>
      </c:barChart>
      <c:catAx>
        <c:axId val="26070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261009344"/>
        <c:crosses val="autoZero"/>
        <c:auto val="1"/>
        <c:lblAlgn val="ctr"/>
        <c:lblOffset val="100"/>
        <c:noMultiLvlLbl val="0"/>
      </c:catAx>
      <c:valAx>
        <c:axId val="261009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60701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('25'!$A$9,'25'!$A$13,'25'!$A$17)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('25'!$B$9,'25'!$B$13,'25'!$B$17)</c:f>
              <c:numCache>
                <c:formatCode>_-* #,##0_-;\-* #,##0_-;_-* "-"??_-;_-@_-</c:formatCode>
                <c:ptCount val="3"/>
                <c:pt idx="0">
                  <c:v>9135</c:v>
                </c:pt>
                <c:pt idx="1">
                  <c:v>2135</c:v>
                </c:pt>
                <c:pt idx="2">
                  <c:v>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('25'!$A$9,'25'!$A$13,'25'!$A$17)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('25'!$G$9,'25'!$G$13,'25'!$G$17)</c:f>
              <c:numCache>
                <c:formatCode>_-* #,##0_-;\-* #,##0_-;_-* "-"??_-;_-@_-</c:formatCode>
                <c:ptCount val="3"/>
                <c:pt idx="0">
                  <c:v>9442</c:v>
                </c:pt>
                <c:pt idx="1">
                  <c:v>2062</c:v>
                </c:pt>
                <c:pt idx="2">
                  <c:v>861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('25'!$A$9,'25'!$A$13,'25'!$A$17)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('25'!$C$9,'25'!$C$13,'25'!$C$17)</c:f>
              <c:numCache>
                <c:formatCode>_(* #,##0.00_);_(* \(#,##0.00\);_(* "-"??_);_(@_)</c:formatCode>
                <c:ptCount val="3"/>
                <c:pt idx="0">
                  <c:v>1.4693419999999999</c:v>
                </c:pt>
                <c:pt idx="1">
                  <c:v>0.71406999999999998</c:v>
                </c:pt>
                <c:pt idx="2">
                  <c:v>0.41554200000000002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('25'!$A$9,'25'!$A$13,'25'!$A$17)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('25'!$H$9,'25'!$H$13,'25'!$H$17)</c:f>
              <c:numCache>
                <c:formatCode>_(* #,##0.00_);_(* \(#,##0.00\);_(* "-"??_);_(@_)</c:formatCode>
                <c:ptCount val="3"/>
                <c:pt idx="0">
                  <c:v>1.4408129999999999</c:v>
                </c:pt>
                <c:pt idx="1">
                  <c:v>0.75283</c:v>
                </c:pt>
                <c:pt idx="2">
                  <c:v>0.35089300000000001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'11_g'!$AI$18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'11_g'!$AJ$16:$AU$16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'11_g'!$AJ$18:$AU$18</c:f>
              <c:numCache>
                <c:formatCode>#,##0.000_ ;\-#,##0.000\ </c:formatCode>
                <c:ptCount val="12"/>
                <c:pt idx="0">
                  <c:v>2.6210870000000002</c:v>
                </c:pt>
                <c:pt idx="1">
                  <c:v>2.7336420000000001</c:v>
                </c:pt>
                <c:pt idx="2">
                  <c:v>2.6689419999999999</c:v>
                </c:pt>
                <c:pt idx="3">
                  <c:v>2.8164940000000001</c:v>
                </c:pt>
                <c:pt idx="4">
                  <c:v>2.6924519999999998</c:v>
                </c:pt>
                <c:pt idx="5">
                  <c:v>2.6126459999999998</c:v>
                </c:pt>
                <c:pt idx="6">
                  <c:v>3.0476299999999998</c:v>
                </c:pt>
                <c:pt idx="7">
                  <c:v>3.014691</c:v>
                </c:pt>
                <c:pt idx="8">
                  <c:v>2.9353929999999999</c:v>
                </c:pt>
                <c:pt idx="9">
                  <c:v>2.710118</c:v>
                </c:pt>
                <c:pt idx="10">
                  <c:v>2.6041289999999999</c:v>
                </c:pt>
                <c:pt idx="11">
                  <c:v>2.7947350000000002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'11_g'!$AJ$16:$AU$16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'11_g'!$AJ$19:$AU$19</c:f>
              <c:numCache>
                <c:formatCode>#,##0.000_ ;\-#,##0.000\ </c:formatCode>
                <c:ptCount val="12"/>
                <c:pt idx="0">
                  <c:v>2.7783169999999999</c:v>
                </c:pt>
                <c:pt idx="1">
                  <c:v>2.906603</c:v>
                </c:pt>
                <c:pt idx="2">
                  <c:v>2.867388</c:v>
                </c:pt>
                <c:pt idx="3">
                  <c:v>2.9779629999999999</c:v>
                </c:pt>
                <c:pt idx="4">
                  <c:v>2.9073370000000001</c:v>
                </c:pt>
                <c:pt idx="5">
                  <c:v>2.825707</c:v>
                </c:pt>
                <c:pt idx="6">
                  <c:v>3.145756</c:v>
                </c:pt>
                <c:pt idx="7">
                  <c:v>3.2394720000000001</c:v>
                </c:pt>
                <c:pt idx="8">
                  <c:v>3.1596760000000002</c:v>
                </c:pt>
                <c:pt idx="9">
                  <c:v>2.9755029999999998</c:v>
                </c:pt>
                <c:pt idx="10">
                  <c:v>2.924121</c:v>
                </c:pt>
                <c:pt idx="11">
                  <c:v>3.0116969999999998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'11_g'!$AI$20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'11_g'!$AJ$16:$AU$16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'11_g'!$AJ$20:$AU$20</c:f>
              <c:numCache>
                <c:formatCode>#,##0.000_ ;\-#,##0.000\ </c:formatCode>
                <c:ptCount val="12"/>
                <c:pt idx="0">
                  <c:v>2.6004860000000001</c:v>
                </c:pt>
                <c:pt idx="1">
                  <c:v>2.6556259999999998</c:v>
                </c:pt>
                <c:pt idx="2">
                  <c:v>2.715541</c:v>
                </c:pt>
                <c:pt idx="3">
                  <c:v>2.8848199999999999</c:v>
                </c:pt>
                <c:pt idx="4">
                  <c:v>2.7957709999999998</c:v>
                </c:pt>
                <c:pt idx="5">
                  <c:v>2.7811119999999998</c:v>
                </c:pt>
                <c:pt idx="6">
                  <c:v>3.2441399999999998</c:v>
                </c:pt>
                <c:pt idx="7">
                  <c:v>3.0268969999999999</c:v>
                </c:pt>
                <c:pt idx="8">
                  <c:v>2.862279</c:v>
                </c:pt>
                <c:pt idx="9">
                  <c:v>2.7132170000000002</c:v>
                </c:pt>
                <c:pt idx="10">
                  <c:v>2.802378</c:v>
                </c:pt>
                <c:pt idx="11">
                  <c:v>2.8291119999999998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62560"/>
        <c:axId val="185660480"/>
      </c:lineChart>
      <c:catAx>
        <c:axId val="1721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85660480"/>
        <c:crosses val="autoZero"/>
        <c:auto val="1"/>
        <c:lblAlgn val="ctr"/>
        <c:lblOffset val="100"/>
        <c:noMultiLvlLbl val="0"/>
      </c:catAx>
      <c:valAx>
        <c:axId val="1856604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46731227563E-2"/>
              <c:y val="8.919460910082869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1625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7620297462"/>
          <c:y val="2.2161373086791118E-2"/>
          <c:w val="0.3512889552599028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('25'!$A$9,'25'!$A$13,'25'!$A$17)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('25'!$E$9,'25'!$E$13,'25'!$E$17)</c:f>
              <c:numCache>
                <c:formatCode>_(* #,##0.00_);_(* \(#,##0.00\);_(* "-"??_);_(@_)</c:formatCode>
                <c:ptCount val="3"/>
                <c:pt idx="0">
                  <c:v>20.673431750000002</c:v>
                </c:pt>
                <c:pt idx="1">
                  <c:v>14.847232949999999</c:v>
                </c:pt>
                <c:pt idx="2">
                  <c:v>11.127743600000002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('25'!$A$9,'25'!$A$13,'25'!$A$17)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('25'!$J$9,'25'!$J$13,'25'!$J$17)</c:f>
              <c:numCache>
                <c:formatCode>_(* #,##0.00_);_(* \(#,##0.00\);_(* "-"??_);_(@_)</c:formatCode>
                <c:ptCount val="3"/>
                <c:pt idx="0">
                  <c:v>20.07945046</c:v>
                </c:pt>
                <c:pt idx="1">
                  <c:v>15.992079669999997</c:v>
                </c:pt>
                <c:pt idx="2">
                  <c:v>9.3219249499999997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('25'!$A$9,'25'!$A$13,'25'!$A$17,'25'!$A$20)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('25'!$D$9,'25'!$D$13,'25'!$D$17,'25'!$D$20)</c:f>
              <c:numCache>
                <c:formatCode>_-* #,##0.000_-;\-* #,##0.000_-;_-* "-"??_-;_-@_-</c:formatCode>
                <c:ptCount val="4"/>
                <c:pt idx="0">
                  <c:v>0.4448662305832628</c:v>
                </c:pt>
                <c:pt idx="1">
                  <c:v>0.96491056196476532</c:v>
                </c:pt>
                <c:pt idx="2">
                  <c:v>1.2777454914441215</c:v>
                </c:pt>
                <c:pt idx="3">
                  <c:v>0.59497989703849752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('25'!$A$9,'25'!$A$13,'25'!$A$17,'25'!$A$20)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('25'!$I$9,'25'!$I$13,'25'!$I$17,'25'!$I$20)</c:f>
              <c:numCache>
                <c:formatCode>_-* #,##0.000_-;\-* #,##0.000_-;_-* "-"??_-;_-@_-</c:formatCode>
                <c:ptCount val="4"/>
                <c:pt idx="0">
                  <c:v>0.42498066175510885</c:v>
                </c:pt>
                <c:pt idx="1">
                  <c:v>0.98286773657635429</c:v>
                </c:pt>
                <c:pt idx="2">
                  <c:v>1.1037321296572984</c:v>
                </c:pt>
                <c:pt idx="3">
                  <c:v>0.56871687933180903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61432832"/>
        <c:axId val="261510208"/>
      </c:barChart>
      <c:catAx>
        <c:axId val="26143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510208"/>
        <c:crosses val="autoZero"/>
        <c:auto val="1"/>
        <c:lblAlgn val="ctr"/>
        <c:lblOffset val="100"/>
        <c:noMultiLvlLbl val="0"/>
      </c:catAx>
      <c:valAx>
        <c:axId val="2615102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432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('25'!$A$9,'25'!$A$13,'25'!$A$17,'25'!$A$20)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('25'!$F$9,'25'!$F$13,'25'!$F$17,'25'!$F$20)</c:f>
              <c:numCache>
                <c:formatCode>_(* #,##0.00_);_(* \(#,##0.00\);_(* "-"??_);_(@_)</c:formatCode>
                <c:ptCount val="4"/>
                <c:pt idx="0">
                  <c:v>14.069856949573349</c:v>
                </c:pt>
                <c:pt idx="1">
                  <c:v>20.792405436441804</c:v>
                </c:pt>
                <c:pt idx="2">
                  <c:v>26.778866155527002</c:v>
                </c:pt>
                <c:pt idx="3">
                  <c:v>17.948916487171381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('25'!$A$9,'25'!$A$13,'25'!$A$17,'25'!$A$20)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('25'!$K$9,'25'!$K$13,'25'!$K$17,'25'!$K$20)</c:f>
              <c:numCache>
                <c:formatCode>_(* #,##0.00_);_(* \(#,##0.00\);_(* "-"??_);_(@_)</c:formatCode>
                <c:ptCount val="4"/>
                <c:pt idx="0">
                  <c:v>13.936194676200174</c:v>
                </c:pt>
                <c:pt idx="1">
                  <c:v>21.242617416946718</c:v>
                </c:pt>
                <c:pt idx="2">
                  <c:v>26.566289296167206</c:v>
                </c:pt>
                <c:pt idx="3">
                  <c:v>17.839580607230552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61433856"/>
        <c:axId val="261511936"/>
      </c:barChart>
      <c:catAx>
        <c:axId val="2614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511936"/>
        <c:crosses val="autoZero"/>
        <c:auto val="1"/>
        <c:lblAlgn val="ctr"/>
        <c:lblOffset val="100"/>
        <c:noMultiLvlLbl val="0"/>
      </c:catAx>
      <c:valAx>
        <c:axId val="2615119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4338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'25_g'!$A$18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'25_g'!$B$16:$M$16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'25_g'!$B$18:$M$18</c:f>
              <c:numCache>
                <c:formatCode>#,##0_ ;\-#,##0\ </c:formatCode>
                <c:ptCount val="12"/>
                <c:pt idx="0">
                  <c:v>31</c:v>
                </c:pt>
                <c:pt idx="1">
                  <c:v>46</c:v>
                </c:pt>
                <c:pt idx="2">
                  <c:v>48</c:v>
                </c:pt>
                <c:pt idx="3">
                  <c:v>40</c:v>
                </c:pt>
                <c:pt idx="4">
                  <c:v>23</c:v>
                </c:pt>
                <c:pt idx="5">
                  <c:v>36</c:v>
                </c:pt>
                <c:pt idx="6">
                  <c:v>47</c:v>
                </c:pt>
                <c:pt idx="7">
                  <c:v>47</c:v>
                </c:pt>
                <c:pt idx="8">
                  <c:v>49</c:v>
                </c:pt>
                <c:pt idx="9">
                  <c:v>38</c:v>
                </c:pt>
                <c:pt idx="10">
                  <c:v>57</c:v>
                </c:pt>
                <c:pt idx="11">
                  <c:v>40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'25_g'!$A$19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'25_g'!$B$16:$M$16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'25_g'!$B$19:$M$19</c:f>
              <c:numCache>
                <c:formatCode>#,##0_ ;\-#,##0\ </c:formatCode>
                <c:ptCount val="12"/>
                <c:pt idx="0">
                  <c:v>48.934705464868706</c:v>
                </c:pt>
                <c:pt idx="1">
                  <c:v>34.3584102200142</c:v>
                </c:pt>
                <c:pt idx="2">
                  <c:v>41.299503193754433</c:v>
                </c:pt>
                <c:pt idx="3">
                  <c:v>30.540809084457063</c:v>
                </c:pt>
                <c:pt idx="4">
                  <c:v>45.811213626685593</c:v>
                </c:pt>
                <c:pt idx="5">
                  <c:v>41.299503193754433</c:v>
                </c:pt>
                <c:pt idx="6">
                  <c:v>38.523066004258347</c:v>
                </c:pt>
                <c:pt idx="7">
                  <c:v>36.440738112136266</c:v>
                </c:pt>
                <c:pt idx="8">
                  <c:v>53.446415897799866</c:v>
                </c:pt>
                <c:pt idx="9">
                  <c:v>39.911284599006393</c:v>
                </c:pt>
                <c:pt idx="10">
                  <c:v>40.258339247693399</c:v>
                </c:pt>
                <c:pt idx="11">
                  <c:v>38.176011355571333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'25_g'!$A$20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'25_g'!$B$16:$M$16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'25_g'!$B$20:$M$20</c:f>
              <c:numCache>
                <c:formatCode>#,##0_ ;\-#,##0\ </c:formatCode>
                <c:ptCount val="12"/>
                <c:pt idx="0">
                  <c:v>32</c:v>
                </c:pt>
                <c:pt idx="1">
                  <c:v>42</c:v>
                </c:pt>
                <c:pt idx="2">
                  <c:v>14</c:v>
                </c:pt>
                <c:pt idx="3">
                  <c:v>34</c:v>
                </c:pt>
                <c:pt idx="4">
                  <c:v>29</c:v>
                </c:pt>
                <c:pt idx="5">
                  <c:v>43</c:v>
                </c:pt>
                <c:pt idx="6">
                  <c:v>44</c:v>
                </c:pt>
                <c:pt idx="7">
                  <c:v>41</c:v>
                </c:pt>
                <c:pt idx="8">
                  <c:v>16</c:v>
                </c:pt>
                <c:pt idx="9">
                  <c:v>19</c:v>
                </c:pt>
                <c:pt idx="10">
                  <c:v>28</c:v>
                </c:pt>
                <c:pt idx="11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65984"/>
        <c:axId val="262046272"/>
      </c:lineChart>
      <c:catAx>
        <c:axId val="26186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046272"/>
        <c:crosses val="autoZero"/>
        <c:auto val="1"/>
        <c:lblAlgn val="ctr"/>
        <c:lblOffset val="100"/>
        <c:noMultiLvlLbl val="0"/>
      </c:catAx>
      <c:valAx>
        <c:axId val="2620462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8659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'25_g'!$B$39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'25_g'!$C$39:$N$39</c:f>
              <c:numCache>
                <c:formatCode>#,##0_ ;\-#,##0\ </c:formatCode>
                <c:ptCount val="12"/>
                <c:pt idx="0">
                  <c:v>31</c:v>
                </c:pt>
                <c:pt idx="1">
                  <c:v>77</c:v>
                </c:pt>
                <c:pt idx="2">
                  <c:v>125</c:v>
                </c:pt>
                <c:pt idx="3">
                  <c:v>165</c:v>
                </c:pt>
                <c:pt idx="4">
                  <c:v>188</c:v>
                </c:pt>
                <c:pt idx="5">
                  <c:v>224</c:v>
                </c:pt>
                <c:pt idx="6">
                  <c:v>271</c:v>
                </c:pt>
                <c:pt idx="7">
                  <c:v>318</c:v>
                </c:pt>
                <c:pt idx="8">
                  <c:v>367</c:v>
                </c:pt>
                <c:pt idx="9">
                  <c:v>405</c:v>
                </c:pt>
                <c:pt idx="10">
                  <c:v>462</c:v>
                </c:pt>
                <c:pt idx="11">
                  <c:v>502</c:v>
                </c:pt>
              </c:numCache>
            </c:numRef>
          </c:val>
        </c:ser>
        <c:ser>
          <c:idx val="0"/>
          <c:order val="2"/>
          <c:tx>
            <c:strRef>
              <c:f>'25_g'!$B$41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'25_g'!$C$41:$N$41</c:f>
              <c:numCache>
                <c:formatCode>#,##0_ ;\-#,##0\ </c:formatCode>
                <c:ptCount val="12"/>
                <c:pt idx="0">
                  <c:v>32</c:v>
                </c:pt>
                <c:pt idx="1">
                  <c:v>74</c:v>
                </c:pt>
                <c:pt idx="2">
                  <c:v>88</c:v>
                </c:pt>
                <c:pt idx="3">
                  <c:v>122</c:v>
                </c:pt>
                <c:pt idx="4">
                  <c:v>151</c:v>
                </c:pt>
                <c:pt idx="5">
                  <c:v>194</c:v>
                </c:pt>
                <c:pt idx="6">
                  <c:v>238</c:v>
                </c:pt>
                <c:pt idx="7">
                  <c:v>279</c:v>
                </c:pt>
                <c:pt idx="8">
                  <c:v>295</c:v>
                </c:pt>
                <c:pt idx="9">
                  <c:v>314</c:v>
                </c:pt>
                <c:pt idx="10">
                  <c:v>342</c:v>
                </c:pt>
                <c:pt idx="11">
                  <c:v>368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1201920"/>
        <c:axId val="262048576"/>
      </c:barChart>
      <c:lineChart>
        <c:grouping val="standard"/>
        <c:varyColors val="0"/>
        <c:ser>
          <c:idx val="3"/>
          <c:order val="1"/>
          <c:tx>
            <c:strRef>
              <c:f>'25_g'!$B$40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'25_g'!$C$37:$N$37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'25_g'!$C$40:$N$40</c:f>
              <c:numCache>
                <c:formatCode>#,##0_ ;\-#,##0\ </c:formatCode>
                <c:ptCount val="12"/>
                <c:pt idx="0">
                  <c:v>48.934705464868706</c:v>
                </c:pt>
                <c:pt idx="1">
                  <c:v>83.293115684882906</c:v>
                </c:pt>
                <c:pt idx="2">
                  <c:v>124.59261887863734</c:v>
                </c:pt>
                <c:pt idx="3">
                  <c:v>155.13342796309439</c:v>
                </c:pt>
                <c:pt idx="4">
                  <c:v>200.94464158977999</c:v>
                </c:pt>
                <c:pt idx="5">
                  <c:v>242.24414478353441</c:v>
                </c:pt>
                <c:pt idx="6">
                  <c:v>280.76721078779275</c:v>
                </c:pt>
                <c:pt idx="7">
                  <c:v>317.20794889992902</c:v>
                </c:pt>
                <c:pt idx="8">
                  <c:v>370.65436479772887</c:v>
                </c:pt>
                <c:pt idx="9">
                  <c:v>410.56564939673524</c:v>
                </c:pt>
                <c:pt idx="10">
                  <c:v>450.82398864442865</c:v>
                </c:pt>
                <c:pt idx="11">
                  <c:v>489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01920"/>
        <c:axId val="262048576"/>
      </c:lineChart>
      <c:catAx>
        <c:axId val="2612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048576"/>
        <c:crosses val="autoZero"/>
        <c:auto val="1"/>
        <c:lblAlgn val="ctr"/>
        <c:lblOffset val="100"/>
        <c:noMultiLvlLbl val="0"/>
      </c:catAx>
      <c:valAx>
        <c:axId val="2620485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2019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'25_g'!$AI$18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'25_g'!$AJ$16:$AU$16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'25_g'!$AJ$18:$AU$18</c:f>
              <c:numCache>
                <c:formatCode>#,##0.000_ ;\-#,##0.000\ </c:formatCode>
                <c:ptCount val="12"/>
                <c:pt idx="0">
                  <c:v>0.20672599999999999</c:v>
                </c:pt>
                <c:pt idx="1">
                  <c:v>0.20537900000000001</c:v>
                </c:pt>
                <c:pt idx="2">
                  <c:v>0.211785</c:v>
                </c:pt>
                <c:pt idx="3">
                  <c:v>0.209063</c:v>
                </c:pt>
                <c:pt idx="4">
                  <c:v>0.20708099999999999</c:v>
                </c:pt>
                <c:pt idx="5">
                  <c:v>0.20127500000000001</c:v>
                </c:pt>
                <c:pt idx="6">
                  <c:v>0.239866</c:v>
                </c:pt>
                <c:pt idx="7">
                  <c:v>0.25448399999999999</c:v>
                </c:pt>
                <c:pt idx="8">
                  <c:v>0.23438899999999999</c:v>
                </c:pt>
                <c:pt idx="9">
                  <c:v>0.221612</c:v>
                </c:pt>
                <c:pt idx="10">
                  <c:v>0.199601</c:v>
                </c:pt>
                <c:pt idx="11">
                  <c:v>0.210261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'25_g'!$AI$19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'25_g'!$AJ$16:$AU$16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'25_g'!$AJ$19:$AU$19</c:f>
              <c:numCache>
                <c:formatCode>#,##0.000_ ;\-#,##0.000\ </c:formatCode>
                <c:ptCount val="12"/>
                <c:pt idx="0">
                  <c:v>0.212286</c:v>
                </c:pt>
                <c:pt idx="1">
                  <c:v>0.21598800000000001</c:v>
                </c:pt>
                <c:pt idx="2">
                  <c:v>0.21699099999999999</c:v>
                </c:pt>
                <c:pt idx="3">
                  <c:v>0.21912799999999999</c:v>
                </c:pt>
                <c:pt idx="4">
                  <c:v>0.212723</c:v>
                </c:pt>
                <c:pt idx="5">
                  <c:v>0.20833499999999999</c:v>
                </c:pt>
                <c:pt idx="6">
                  <c:v>0.24496100000000001</c:v>
                </c:pt>
                <c:pt idx="7">
                  <c:v>0.25323800000000002</c:v>
                </c:pt>
                <c:pt idx="8">
                  <c:v>0.24010300000000001</c:v>
                </c:pt>
                <c:pt idx="9">
                  <c:v>0.23058000000000001</c:v>
                </c:pt>
                <c:pt idx="10">
                  <c:v>0.21881100000000001</c:v>
                </c:pt>
                <c:pt idx="11">
                  <c:v>0.22004499999999999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'25_g'!$AI$20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'25_g'!$AJ$16:$AU$16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'25_g'!$AJ$20:$AU$20</c:f>
              <c:numCache>
                <c:formatCode>#,##0.000_ ;\-#,##0.000\ </c:formatCode>
                <c:ptCount val="12"/>
                <c:pt idx="0">
                  <c:v>0.19789499999999999</c:v>
                </c:pt>
                <c:pt idx="1">
                  <c:v>0.20990600000000001</c:v>
                </c:pt>
                <c:pt idx="2">
                  <c:v>0.205704</c:v>
                </c:pt>
                <c:pt idx="3">
                  <c:v>0.212449</c:v>
                </c:pt>
                <c:pt idx="4">
                  <c:v>0.20675399999999999</c:v>
                </c:pt>
                <c:pt idx="5">
                  <c:v>0.19666</c:v>
                </c:pt>
                <c:pt idx="6">
                  <c:v>0.233102</c:v>
                </c:pt>
                <c:pt idx="7">
                  <c:v>0.22784299999999999</c:v>
                </c:pt>
                <c:pt idx="8">
                  <c:v>0.223303</c:v>
                </c:pt>
                <c:pt idx="9">
                  <c:v>0.210509</c:v>
                </c:pt>
                <c:pt idx="10">
                  <c:v>0.21188699999999999</c:v>
                </c:pt>
                <c:pt idx="11">
                  <c:v>0.21010699999999999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03456"/>
        <c:axId val="262050880"/>
      </c:lineChart>
      <c:catAx>
        <c:axId val="26120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050880"/>
        <c:crosses val="autoZero"/>
        <c:auto val="1"/>
        <c:lblAlgn val="ctr"/>
        <c:lblOffset val="100"/>
        <c:noMultiLvlLbl val="0"/>
      </c:catAx>
      <c:valAx>
        <c:axId val="2620508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9044762518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2034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833734373"/>
          <c:y val="2.2161373086791118E-2"/>
          <c:w val="0.3512889511479644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'25_g'!$AJ$39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'25_g'!$AK$39:$AV$39</c:f>
              <c:numCache>
                <c:formatCode>#,##0.000_ ;\-#,##0.000\ </c:formatCode>
                <c:ptCount val="12"/>
                <c:pt idx="0">
                  <c:v>0.20672599999999999</c:v>
                </c:pt>
                <c:pt idx="1">
                  <c:v>0.412105</c:v>
                </c:pt>
                <c:pt idx="2">
                  <c:v>0.62389000000000006</c:v>
                </c:pt>
                <c:pt idx="3">
                  <c:v>0.83295300000000005</c:v>
                </c:pt>
                <c:pt idx="4">
                  <c:v>1.0400340000000001</c:v>
                </c:pt>
                <c:pt idx="5">
                  <c:v>1.2413090000000002</c:v>
                </c:pt>
                <c:pt idx="6">
                  <c:v>1.4811750000000001</c:v>
                </c:pt>
                <c:pt idx="7">
                  <c:v>1.7356590000000001</c:v>
                </c:pt>
                <c:pt idx="8">
                  <c:v>1.970048</c:v>
                </c:pt>
                <c:pt idx="9">
                  <c:v>2.1916600000000002</c:v>
                </c:pt>
                <c:pt idx="10">
                  <c:v>2.3912610000000001</c:v>
                </c:pt>
                <c:pt idx="11">
                  <c:v>2.6015220000000001</c:v>
                </c:pt>
              </c:numCache>
            </c:numRef>
          </c:val>
        </c:ser>
        <c:ser>
          <c:idx val="0"/>
          <c:order val="2"/>
          <c:tx>
            <c:strRef>
              <c:f>'25_g'!$AJ$41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'25_g'!$AK$41:$AV$41</c:f>
              <c:numCache>
                <c:formatCode>#,##0.000_ ;\-#,##0.000\ </c:formatCode>
                <c:ptCount val="12"/>
                <c:pt idx="0">
                  <c:v>0.19789499999999999</c:v>
                </c:pt>
                <c:pt idx="1">
                  <c:v>0.40780099999999997</c:v>
                </c:pt>
                <c:pt idx="2">
                  <c:v>0.61350499999999997</c:v>
                </c:pt>
                <c:pt idx="3">
                  <c:v>0.82595399999999997</c:v>
                </c:pt>
                <c:pt idx="4">
                  <c:v>1.032708</c:v>
                </c:pt>
                <c:pt idx="5">
                  <c:v>1.229368</c:v>
                </c:pt>
                <c:pt idx="6">
                  <c:v>1.4624699999999999</c:v>
                </c:pt>
                <c:pt idx="7">
                  <c:v>1.690313</c:v>
                </c:pt>
                <c:pt idx="8">
                  <c:v>1.913616</c:v>
                </c:pt>
                <c:pt idx="9">
                  <c:v>2.1241249999999998</c:v>
                </c:pt>
                <c:pt idx="10">
                  <c:v>2.3360119999999998</c:v>
                </c:pt>
                <c:pt idx="11">
                  <c:v>2.5461189999999996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1203968"/>
        <c:axId val="262053184"/>
      </c:barChart>
      <c:lineChart>
        <c:grouping val="standard"/>
        <c:varyColors val="0"/>
        <c:ser>
          <c:idx val="3"/>
          <c:order val="1"/>
          <c:tx>
            <c:strRef>
              <c:f>'25_g'!$AJ$40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'25_g'!$AK$37:$AV$37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'25_g'!$AK$40:$AV$40</c:f>
              <c:numCache>
                <c:formatCode>#,##0.000_ ;\-#,##0.000\ </c:formatCode>
                <c:ptCount val="12"/>
                <c:pt idx="0">
                  <c:v>0.212286</c:v>
                </c:pt>
                <c:pt idx="1">
                  <c:v>0.42827400000000004</c:v>
                </c:pt>
                <c:pt idx="2">
                  <c:v>0.64526499999999998</c:v>
                </c:pt>
                <c:pt idx="3">
                  <c:v>0.86439299999999997</c:v>
                </c:pt>
                <c:pt idx="4">
                  <c:v>1.077116</c:v>
                </c:pt>
                <c:pt idx="5">
                  <c:v>1.2854509999999999</c:v>
                </c:pt>
                <c:pt idx="6">
                  <c:v>1.5304119999999999</c:v>
                </c:pt>
                <c:pt idx="7">
                  <c:v>1.78365</c:v>
                </c:pt>
                <c:pt idx="8">
                  <c:v>2.0237530000000001</c:v>
                </c:pt>
                <c:pt idx="9">
                  <c:v>2.2543329999999999</c:v>
                </c:pt>
                <c:pt idx="10">
                  <c:v>2.473144</c:v>
                </c:pt>
                <c:pt idx="11">
                  <c:v>2.6931889999999998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03968"/>
        <c:axId val="262053184"/>
      </c:lineChart>
      <c:catAx>
        <c:axId val="26120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053184"/>
        <c:crosses val="autoZero"/>
        <c:auto val="1"/>
        <c:lblAlgn val="ctr"/>
        <c:lblOffset val="100"/>
        <c:noMultiLvlLbl val="0"/>
      </c:catAx>
      <c:valAx>
        <c:axId val="2620531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71053618299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2039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7619047622"/>
          <c:y val="2.2161373086791118E-2"/>
          <c:w val="0.33180952380952378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'25_g'!$AY$18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'25_g'!$AZ$16:$BK$16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'25_g'!$AZ$18:$BK$18</c:f>
              <c:numCache>
                <c:formatCode>#,##0.000_ ;\-#,##0.000\ </c:formatCode>
                <c:ptCount val="12"/>
                <c:pt idx="0">
                  <c:v>0.10031886999999999</c:v>
                </c:pt>
                <c:pt idx="1">
                  <c:v>0.13710590999999997</c:v>
                </c:pt>
                <c:pt idx="2">
                  <c:v>0.12603945000000003</c:v>
                </c:pt>
                <c:pt idx="3">
                  <c:v>0.12484081</c:v>
                </c:pt>
                <c:pt idx="4">
                  <c:v>0.10090132</c:v>
                </c:pt>
                <c:pt idx="5">
                  <c:v>0.14418666999999999</c:v>
                </c:pt>
                <c:pt idx="6">
                  <c:v>0.11870502000000002</c:v>
                </c:pt>
                <c:pt idx="7">
                  <c:v>9.6843340000000028E-2</c:v>
                </c:pt>
                <c:pt idx="8">
                  <c:v>0.12414446000000003</c:v>
                </c:pt>
                <c:pt idx="9">
                  <c:v>0.12431984000000003</c:v>
                </c:pt>
                <c:pt idx="10">
                  <c:v>0.13871292999999998</c:v>
                </c:pt>
                <c:pt idx="11">
                  <c:v>0.12310904999999998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'25_g'!$AY$19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'25_g'!$AZ$16:$BK$16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'25_g'!$AZ$19:$BK$19</c:f>
              <c:numCache>
                <c:formatCode>#,##0.000_ ;\-#,##0.000\ </c:formatCode>
                <c:ptCount val="12"/>
                <c:pt idx="0">
                  <c:v>9.6697000000000005E-2</c:v>
                </c:pt>
                <c:pt idx="1">
                  <c:v>9.6787999999999999E-2</c:v>
                </c:pt>
                <c:pt idx="2">
                  <c:v>0.103146</c:v>
                </c:pt>
                <c:pt idx="3">
                  <c:v>9.3258999999999995E-2</c:v>
                </c:pt>
                <c:pt idx="4">
                  <c:v>7.0319999999999994E-2</c:v>
                </c:pt>
                <c:pt idx="5">
                  <c:v>0.111941</c:v>
                </c:pt>
                <c:pt idx="6">
                  <c:v>7.2556999999999996E-2</c:v>
                </c:pt>
                <c:pt idx="7">
                  <c:v>6.5138000000000001E-2</c:v>
                </c:pt>
                <c:pt idx="8">
                  <c:v>7.5488E-2</c:v>
                </c:pt>
                <c:pt idx="9">
                  <c:v>9.1466000000000006E-2</c:v>
                </c:pt>
                <c:pt idx="10">
                  <c:v>0.114694</c:v>
                </c:pt>
                <c:pt idx="11">
                  <c:v>0.10854800000000001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'25_g'!$AY$20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'25_g'!$AZ$16:$BK$16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'25_g'!$AZ$20:$BK$20</c:f>
              <c:numCache>
                <c:formatCode>#,##0.000_ ;\-#,##0.000\ </c:formatCode>
                <c:ptCount val="12"/>
                <c:pt idx="0">
                  <c:v>0.15165607</c:v>
                </c:pt>
                <c:pt idx="1">
                  <c:v>0.12774522999999999</c:v>
                </c:pt>
                <c:pt idx="2">
                  <c:v>0.15073612</c:v>
                </c:pt>
                <c:pt idx="3">
                  <c:v>0.11852802000000001</c:v>
                </c:pt>
                <c:pt idx="4">
                  <c:v>0.10492084000000003</c:v>
                </c:pt>
                <c:pt idx="5">
                  <c:v>0.13999178000000004</c:v>
                </c:pt>
                <c:pt idx="6">
                  <c:v>9.5045479999999988E-2</c:v>
                </c:pt>
                <c:pt idx="7">
                  <c:v>0.10608134999999998</c:v>
                </c:pt>
                <c:pt idx="8">
                  <c:v>9.7036679999999986E-2</c:v>
                </c:pt>
                <c:pt idx="9">
                  <c:v>0.1120135</c:v>
                </c:pt>
                <c:pt idx="10">
                  <c:v>0.11046809000000002</c:v>
                </c:pt>
                <c:pt idx="11">
                  <c:v>0.11518023999999999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04992"/>
        <c:axId val="262620864"/>
      </c:lineChart>
      <c:catAx>
        <c:axId val="2612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620864"/>
        <c:crosses val="autoZero"/>
        <c:auto val="1"/>
        <c:lblAlgn val="ctr"/>
        <c:lblOffset val="100"/>
        <c:noMultiLvlLbl val="0"/>
      </c:catAx>
      <c:valAx>
        <c:axId val="2626208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06716187302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2049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1100993143"/>
          <c:y val="2.2161373086791118E-2"/>
          <c:w val="0.35300968899006857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'25_g'!$AY$39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'25_g'!$AZ$37:$BO$37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'25_g'!$AZ$39:$BO$39</c:f>
              <c:numCache>
                <c:formatCode>_(* #,##0.00_);_(* \(#,##0.00\);_(* "-"??_);_(@_)</c:formatCode>
                <c:ptCount val="16"/>
                <c:pt idx="0">
                  <c:v>32.662381677708197</c:v>
                </c:pt>
                <c:pt idx="1">
                  <c:v>40.019949566529064</c:v>
                </c:pt>
                <c:pt idx="2">
                  <c:v>37.28531600286297</c:v>
                </c:pt>
                <c:pt idx="3">
                  <c:v>36.796323180372077</c:v>
                </c:pt>
                <c:pt idx="4">
                  <c:v>37.366209917300111</c:v>
                </c:pt>
                <c:pt idx="5">
                  <c:v>32.741956649307923</c:v>
                </c:pt>
                <c:pt idx="6">
                  <c:v>41.697433898757886</c:v>
                </c:pt>
                <c:pt idx="7">
                  <c:v>37.11807440005596</c:v>
                </c:pt>
                <c:pt idx="8">
                  <c:v>33.069055798871986</c:v>
                </c:pt>
                <c:pt idx="9">
                  <c:v>27.542097087151131</c:v>
                </c:pt>
                <c:pt idx="10">
                  <c:v>34.621957921581384</c:v>
                </c:pt>
                <c:pt idx="11">
                  <c:v>35.241032084228451</c:v>
                </c:pt>
                <c:pt idx="12">
                  <c:v>35.937357451478441</c:v>
                </c:pt>
                <c:pt idx="13">
                  <c:v>41.000762212041195</c:v>
                </c:pt>
                <c:pt idx="14">
                  <c:v>36.928314991268792</c:v>
                </c:pt>
                <c:pt idx="15">
                  <c:v>35.918427646885917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'25_g'!$AY$40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'25_g'!$AZ$37:$BO$37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'25_g'!$AZ$40:$BO$40</c:f>
              <c:numCache>
                <c:formatCode>_(* #,##0.00_);_(* \(#,##0.00\);_(* "-"??_);_(@_)</c:formatCode>
                <c:ptCount val="16"/>
                <c:pt idx="0">
                  <c:v>29.000139722611074</c:v>
                </c:pt>
                <c:pt idx="1">
                  <c:v>29.000139722611074</c:v>
                </c:pt>
                <c:pt idx="2">
                  <c:v>29.000139722611074</c:v>
                </c:pt>
                <c:pt idx="3">
                  <c:v>29.000139722611074</c:v>
                </c:pt>
                <c:pt idx="4">
                  <c:v>29.000139722611074</c:v>
                </c:pt>
                <c:pt idx="5">
                  <c:v>29.000139722611074</c:v>
                </c:pt>
                <c:pt idx="6">
                  <c:v>29.000139722611074</c:v>
                </c:pt>
                <c:pt idx="7">
                  <c:v>29.000139722611074</c:v>
                </c:pt>
                <c:pt idx="8">
                  <c:v>29.000139722611074</c:v>
                </c:pt>
                <c:pt idx="9">
                  <c:v>29.000139722611074</c:v>
                </c:pt>
                <c:pt idx="10">
                  <c:v>29.000139722611074</c:v>
                </c:pt>
                <c:pt idx="11">
                  <c:v>29.000139722611074</c:v>
                </c:pt>
                <c:pt idx="12">
                  <c:v>29.000139722611074</c:v>
                </c:pt>
                <c:pt idx="13">
                  <c:v>29.000139722611074</c:v>
                </c:pt>
                <c:pt idx="14">
                  <c:v>29.000139722611074</c:v>
                </c:pt>
                <c:pt idx="15">
                  <c:v>29.000139722611074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'25_g'!$AY$41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'25_g'!$AZ$37:$BO$37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'25_g'!$AZ$41:$BO$41</c:f>
              <c:numCache>
                <c:formatCode>_(* #,##0.00_);_(* \(#,##0.00\);_(* "-"??_);_(@_)</c:formatCode>
                <c:ptCount val="16"/>
                <c:pt idx="0">
                  <c:v>43.385582665365618</c:v>
                </c:pt>
                <c:pt idx="1">
                  <c:v>37.833037563197223</c:v>
                </c:pt>
                <c:pt idx="2">
                  <c:v>42.288731572478817</c:v>
                </c:pt>
                <c:pt idx="3">
                  <c:v>41.214544944867868</c:v>
                </c:pt>
                <c:pt idx="4">
                  <c:v>35.811339341085727</c:v>
                </c:pt>
                <c:pt idx="5">
                  <c:v>33.663125799621177</c:v>
                </c:pt>
                <c:pt idx="6">
                  <c:v>41.583061487909106</c:v>
                </c:pt>
                <c:pt idx="7">
                  <c:v>39.228402844877344</c:v>
                </c:pt>
                <c:pt idx="8">
                  <c:v>28.962756724920379</c:v>
                </c:pt>
                <c:pt idx="9">
                  <c:v>31.765605276353202</c:v>
                </c:pt>
                <c:pt idx="10">
                  <c:v>30.291334945846454</c:v>
                </c:pt>
                <c:pt idx="11">
                  <c:v>36.325665635655305</c:v>
                </c:pt>
                <c:pt idx="12">
                  <c:v>34.730014432922566</c:v>
                </c:pt>
                <c:pt idx="13">
                  <c:v>34.268856937503692</c:v>
                </c:pt>
                <c:pt idx="14">
                  <c:v>35.408452463867349</c:v>
                </c:pt>
                <c:pt idx="15">
                  <c:v>35.954394220708352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205504"/>
        <c:axId val="262623168"/>
      </c:lineChart>
      <c:catAx>
        <c:axId val="26120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623168"/>
        <c:crosses val="autoZero"/>
        <c:auto val="1"/>
        <c:lblAlgn val="ctr"/>
        <c:lblOffset val="100"/>
        <c:noMultiLvlLbl val="0"/>
      </c:catAx>
      <c:valAx>
        <c:axId val="2626231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15401771963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2055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550663561"/>
          <c:y val="2.2161373086791118E-2"/>
          <c:w val="0.2830306951067735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'11_g'!$AJ$39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'11_g'!$AK$39:$AV$39</c:f>
              <c:numCache>
                <c:formatCode>#,##0.000_ ;\-#,##0.000\ </c:formatCode>
                <c:ptCount val="12"/>
                <c:pt idx="0">
                  <c:v>2.6210870000000002</c:v>
                </c:pt>
                <c:pt idx="1">
                  <c:v>5.3547290000000007</c:v>
                </c:pt>
                <c:pt idx="2">
                  <c:v>8.0236710000000002</c:v>
                </c:pt>
                <c:pt idx="3">
                  <c:v>10.840165000000001</c:v>
                </c:pt>
                <c:pt idx="4">
                  <c:v>13.532617</c:v>
                </c:pt>
                <c:pt idx="5">
                  <c:v>16.145263</c:v>
                </c:pt>
                <c:pt idx="6">
                  <c:v>19.192892999999998</c:v>
                </c:pt>
                <c:pt idx="7">
                  <c:v>22.207583999999997</c:v>
                </c:pt>
                <c:pt idx="8">
                  <c:v>25.142976999999998</c:v>
                </c:pt>
                <c:pt idx="9">
                  <c:v>27.853095</c:v>
                </c:pt>
                <c:pt idx="10">
                  <c:v>30.457224</c:v>
                </c:pt>
                <c:pt idx="11">
                  <c:v>33.251958999999999</c:v>
                </c:pt>
              </c:numCache>
            </c:numRef>
          </c:val>
        </c:ser>
        <c:ser>
          <c:idx val="0"/>
          <c:order val="2"/>
          <c:tx>
            <c:strRef>
              <c:f>'11_g'!$AJ$41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'11_g'!$AK$41:$AV$41</c:f>
              <c:numCache>
                <c:formatCode>#,##0.000_ ;\-#,##0.000\ </c:formatCode>
                <c:ptCount val="12"/>
                <c:pt idx="0">
                  <c:v>2.6004860000000001</c:v>
                </c:pt>
                <c:pt idx="1">
                  <c:v>5.2561119999999999</c:v>
                </c:pt>
                <c:pt idx="2">
                  <c:v>7.9716529999999999</c:v>
                </c:pt>
                <c:pt idx="3">
                  <c:v>10.856472999999999</c:v>
                </c:pt>
                <c:pt idx="4">
                  <c:v>13.652244</c:v>
                </c:pt>
                <c:pt idx="5">
                  <c:v>16.433356</c:v>
                </c:pt>
                <c:pt idx="6">
                  <c:v>19.677495999999998</c:v>
                </c:pt>
                <c:pt idx="7">
                  <c:v>22.704392999999996</c:v>
                </c:pt>
                <c:pt idx="8">
                  <c:v>25.566671999999997</c:v>
                </c:pt>
                <c:pt idx="9">
                  <c:v>28.279888999999997</c:v>
                </c:pt>
                <c:pt idx="10">
                  <c:v>31.082266999999998</c:v>
                </c:pt>
                <c:pt idx="11">
                  <c:v>33.911378999999997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3027328"/>
        <c:axId val="185662784"/>
      </c:barChart>
      <c:lineChart>
        <c:grouping val="standard"/>
        <c:varyColors val="0"/>
        <c:ser>
          <c:idx val="3"/>
          <c:order val="1"/>
          <c:tx>
            <c:strRef>
              <c:f>'11_g'!$AJ$40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'11_g'!$AK$37:$AV$37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'11_g'!$AK$40:$AV$40</c:f>
              <c:numCache>
                <c:formatCode>#,##0.000_ ;\-#,##0.000\ </c:formatCode>
                <c:ptCount val="12"/>
                <c:pt idx="0">
                  <c:v>2.7783169999999999</c:v>
                </c:pt>
                <c:pt idx="1">
                  <c:v>5.68492</c:v>
                </c:pt>
                <c:pt idx="2">
                  <c:v>8.552308</c:v>
                </c:pt>
                <c:pt idx="3">
                  <c:v>11.530270999999999</c:v>
                </c:pt>
                <c:pt idx="4">
                  <c:v>14.437607999999999</c:v>
                </c:pt>
                <c:pt idx="5">
                  <c:v>17.263314999999999</c:v>
                </c:pt>
                <c:pt idx="6">
                  <c:v>20.409070999999997</c:v>
                </c:pt>
                <c:pt idx="7">
                  <c:v>23.648542999999997</c:v>
                </c:pt>
                <c:pt idx="8">
                  <c:v>26.808218999999998</c:v>
                </c:pt>
                <c:pt idx="9">
                  <c:v>29.783721999999997</c:v>
                </c:pt>
                <c:pt idx="10">
                  <c:v>32.707842999999997</c:v>
                </c:pt>
                <c:pt idx="11">
                  <c:v>35.719539999999995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27328"/>
        <c:axId val="185662784"/>
      </c:lineChart>
      <c:catAx>
        <c:axId val="17302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85662784"/>
        <c:crosses val="autoZero"/>
        <c:auto val="1"/>
        <c:lblAlgn val="ctr"/>
        <c:lblOffset val="100"/>
        <c:noMultiLvlLbl val="0"/>
      </c:catAx>
      <c:valAx>
        <c:axId val="185662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75326588448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02732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7191750602"/>
          <c:y val="2.2161373086791118E-2"/>
          <c:w val="0.33180952808249398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'25_g'!$A$64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'25_g'!$B$62:$M$62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'25_g'!$B$64:$M$64</c:f>
              <c:numCache>
                <c:formatCode>#,##0.00_ ;\-#,##0.00\ </c:formatCode>
                <c:ptCount val="12"/>
                <c:pt idx="0">
                  <c:v>4.1164567100000005</c:v>
                </c:pt>
                <c:pt idx="1">
                  <c:v>4.1087737899999999</c:v>
                </c:pt>
                <c:pt idx="2">
                  <c:v>4.2413433699999992</c:v>
                </c:pt>
                <c:pt idx="3">
                  <c:v>4.1729369699999994</c:v>
                </c:pt>
                <c:pt idx="4">
                  <c:v>4.2271200799999997</c:v>
                </c:pt>
                <c:pt idx="5">
                  <c:v>4.0136359400000003</c:v>
                </c:pt>
                <c:pt idx="6">
                  <c:v>4.8316802600000006</c:v>
                </c:pt>
                <c:pt idx="7">
                  <c:v>5.0401032199999989</c:v>
                </c:pt>
                <c:pt idx="8">
                  <c:v>4.6577129800000003</c:v>
                </c:pt>
                <c:pt idx="9">
                  <c:v>4.3660957200000006</c:v>
                </c:pt>
                <c:pt idx="10">
                  <c:v>3.9378858600000006</c:v>
                </c:pt>
                <c:pt idx="11">
                  <c:v>4.2183339499999999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'25_g'!$A$65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'25_g'!$B$62:$M$62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'25_g'!$B$65:$M$65</c:f>
              <c:numCache>
                <c:formatCode>#,##0.00_ ;\-#,##0.00\ </c:formatCode>
                <c:ptCount val="12"/>
                <c:pt idx="0">
                  <c:v>4.254893</c:v>
                </c:pt>
                <c:pt idx="1">
                  <c:v>4.2878040000000004</c:v>
                </c:pt>
                <c:pt idx="2">
                  <c:v>4.3413950000000003</c:v>
                </c:pt>
                <c:pt idx="3">
                  <c:v>4.3570359999999999</c:v>
                </c:pt>
                <c:pt idx="4">
                  <c:v>4.3055750000000002</c:v>
                </c:pt>
                <c:pt idx="5">
                  <c:v>4.1683269999999997</c:v>
                </c:pt>
                <c:pt idx="6">
                  <c:v>4.8491210000000002</c:v>
                </c:pt>
                <c:pt idx="7">
                  <c:v>5.0602530000000003</c:v>
                </c:pt>
                <c:pt idx="8">
                  <c:v>4.7785000000000002</c:v>
                </c:pt>
                <c:pt idx="9">
                  <c:v>4.5592269999999999</c:v>
                </c:pt>
                <c:pt idx="10">
                  <c:v>4.3436469999999998</c:v>
                </c:pt>
                <c:pt idx="11">
                  <c:v>4.3633699999999997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'25_g'!$A$66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'25_g'!$B$62:$M$62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'25_g'!$B$66:$M$66</c:f>
              <c:numCache>
                <c:formatCode>#,##0.00_ ;\-#,##0.00\ </c:formatCode>
                <c:ptCount val="12"/>
                <c:pt idx="0">
                  <c:v>3.9965098500000003</c:v>
                </c:pt>
                <c:pt idx="1">
                  <c:v>4.3513508900000009</c:v>
                </c:pt>
                <c:pt idx="2">
                  <c:v>4.2248911299999996</c:v>
                </c:pt>
                <c:pt idx="3">
                  <c:v>4.3579736900000006</c:v>
                </c:pt>
                <c:pt idx="4">
                  <c:v>4.1463875900000007</c:v>
                </c:pt>
                <c:pt idx="5">
                  <c:v>3.9500426799999997</c:v>
                </c:pt>
                <c:pt idx="6">
                  <c:v>4.6607865699999991</c:v>
                </c:pt>
                <c:pt idx="7">
                  <c:v>4.564856540000001</c:v>
                </c:pt>
                <c:pt idx="8">
                  <c:v>4.4363012499999996</c:v>
                </c:pt>
                <c:pt idx="9">
                  <c:v>4.1816743000000001</c:v>
                </c:pt>
                <c:pt idx="10">
                  <c:v>4.2193662099999987</c:v>
                </c:pt>
                <c:pt idx="11">
                  <c:v>4.2026507600000009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26624"/>
        <c:axId val="262625472"/>
      </c:lineChart>
      <c:catAx>
        <c:axId val="26242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625472"/>
        <c:crosses val="autoZero"/>
        <c:auto val="1"/>
        <c:lblAlgn val="ctr"/>
        <c:lblOffset val="100"/>
        <c:noMultiLvlLbl val="0"/>
      </c:catAx>
      <c:valAx>
        <c:axId val="2626254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4266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'25_g'!$B$85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'25_g'!$C$85:$N$85</c:f>
              <c:numCache>
                <c:formatCode>#,##0.00_ ;\-#,##0.00\ </c:formatCode>
                <c:ptCount val="12"/>
                <c:pt idx="0">
                  <c:v>4.1164567100000005</c:v>
                </c:pt>
                <c:pt idx="1">
                  <c:v>8.2252305000000003</c:v>
                </c:pt>
                <c:pt idx="2">
                  <c:v>12.46657387</c:v>
                </c:pt>
                <c:pt idx="3">
                  <c:v>16.63951084</c:v>
                </c:pt>
                <c:pt idx="4">
                  <c:v>20.866630919999999</c:v>
                </c:pt>
                <c:pt idx="5">
                  <c:v>24.880266859999999</c:v>
                </c:pt>
                <c:pt idx="6">
                  <c:v>29.711947119999998</c:v>
                </c:pt>
                <c:pt idx="7">
                  <c:v>34.752050339999997</c:v>
                </c:pt>
                <c:pt idx="8">
                  <c:v>39.409763319999996</c:v>
                </c:pt>
                <c:pt idx="9">
                  <c:v>43.77585904</c:v>
                </c:pt>
                <c:pt idx="10">
                  <c:v>47.713744900000002</c:v>
                </c:pt>
                <c:pt idx="11">
                  <c:v>51.932078850000003</c:v>
                </c:pt>
              </c:numCache>
            </c:numRef>
          </c:val>
        </c:ser>
        <c:ser>
          <c:idx val="0"/>
          <c:order val="2"/>
          <c:tx>
            <c:strRef>
              <c:f>'25_g'!$B$87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'25_g'!$C$87:$N$87</c:f>
              <c:numCache>
                <c:formatCode>#,##0.00_ ;\-#,##0.00\ </c:formatCode>
                <c:ptCount val="12"/>
                <c:pt idx="0">
                  <c:v>3.9965098500000003</c:v>
                </c:pt>
                <c:pt idx="1">
                  <c:v>8.3478607400000016</c:v>
                </c:pt>
                <c:pt idx="2">
                  <c:v>12.572751870000001</c:v>
                </c:pt>
                <c:pt idx="3">
                  <c:v>16.930725560000003</c:v>
                </c:pt>
                <c:pt idx="4">
                  <c:v>21.077113150000002</c:v>
                </c:pt>
                <c:pt idx="5">
                  <c:v>25.027155830000002</c:v>
                </c:pt>
                <c:pt idx="6">
                  <c:v>29.687942400000001</c:v>
                </c:pt>
                <c:pt idx="7">
                  <c:v>34.252798940000005</c:v>
                </c:pt>
                <c:pt idx="8">
                  <c:v>38.689100190000005</c:v>
                </c:pt>
                <c:pt idx="9">
                  <c:v>42.870774490000002</c:v>
                </c:pt>
                <c:pt idx="10">
                  <c:v>47.090140699999999</c:v>
                </c:pt>
                <c:pt idx="11">
                  <c:v>51.292791460000004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2427136"/>
        <c:axId val="262496832"/>
      </c:barChart>
      <c:lineChart>
        <c:grouping val="standard"/>
        <c:varyColors val="0"/>
        <c:ser>
          <c:idx val="3"/>
          <c:order val="1"/>
          <c:tx>
            <c:strRef>
              <c:f>'25_g'!$B$86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'25_g'!$C$83:$N$83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'25_g'!$C$86:$N$86</c:f>
              <c:numCache>
                <c:formatCode>#,##0.00_ ;\-#,##0.00\ </c:formatCode>
                <c:ptCount val="12"/>
                <c:pt idx="0">
                  <c:v>4.254893</c:v>
                </c:pt>
                <c:pt idx="1">
                  <c:v>8.5426970000000004</c:v>
                </c:pt>
                <c:pt idx="2">
                  <c:v>12.884092000000001</c:v>
                </c:pt>
                <c:pt idx="3">
                  <c:v>17.241128</c:v>
                </c:pt>
                <c:pt idx="4">
                  <c:v>21.546703000000001</c:v>
                </c:pt>
                <c:pt idx="5">
                  <c:v>25.715029999999999</c:v>
                </c:pt>
                <c:pt idx="6">
                  <c:v>30.564150999999999</c:v>
                </c:pt>
                <c:pt idx="7">
                  <c:v>35.624403999999998</c:v>
                </c:pt>
                <c:pt idx="8">
                  <c:v>40.402903999999999</c:v>
                </c:pt>
                <c:pt idx="9">
                  <c:v>44.962130999999999</c:v>
                </c:pt>
                <c:pt idx="10">
                  <c:v>49.305777999999997</c:v>
                </c:pt>
                <c:pt idx="11">
                  <c:v>53.669147999999993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27136"/>
        <c:axId val="262496832"/>
      </c:lineChart>
      <c:catAx>
        <c:axId val="26242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496832"/>
        <c:crosses val="autoZero"/>
        <c:auto val="1"/>
        <c:lblAlgn val="ctr"/>
        <c:lblOffset val="100"/>
        <c:noMultiLvlLbl val="0"/>
      </c:catAx>
      <c:valAx>
        <c:axId val="2624968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4271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'25_g'!$S$64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'25_g'!$T$62:$AE$62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'25_g'!$T$64:$AE$64</c:f>
              <c:numCache>
                <c:formatCode>#,##0.00_ ;\-#,##0.00\ </c:formatCode>
                <c:ptCount val="12"/>
                <c:pt idx="0">
                  <c:v>1.8434407399999999</c:v>
                </c:pt>
                <c:pt idx="1">
                  <c:v>1.6964476100000001</c:v>
                </c:pt>
                <c:pt idx="2">
                  <c:v>1.7328933999999998</c:v>
                </c:pt>
                <c:pt idx="3">
                  <c:v>1.8243930799999999</c:v>
                </c:pt>
                <c:pt idx="4">
                  <c:v>1.8984897500000002</c:v>
                </c:pt>
                <c:pt idx="5">
                  <c:v>1.7910956199999997</c:v>
                </c:pt>
                <c:pt idx="6">
                  <c:v>1.7343318000000003</c:v>
                </c:pt>
                <c:pt idx="7">
                  <c:v>1.86237144</c:v>
                </c:pt>
                <c:pt idx="8">
                  <c:v>2.0645048399999997</c:v>
                </c:pt>
                <c:pt idx="9">
                  <c:v>1.9882153</c:v>
                </c:pt>
                <c:pt idx="10">
                  <c:v>2.1479489899999997</c:v>
                </c:pt>
                <c:pt idx="11">
                  <c:v>2.4248950700000003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'25_g'!$S$65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'25_g'!$T$62:$AE$62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'25_g'!$T$65:$AE$65</c:f>
              <c:numCache>
                <c:formatCode>#,##0.00_ ;\-#,##0.00\ </c:formatCode>
                <c:ptCount val="12"/>
                <c:pt idx="0">
                  <c:v>1.8286169999999999</c:v>
                </c:pt>
                <c:pt idx="1">
                  <c:v>1.762176</c:v>
                </c:pt>
                <c:pt idx="2">
                  <c:v>1.736262</c:v>
                </c:pt>
                <c:pt idx="3">
                  <c:v>1.8458239999999999</c:v>
                </c:pt>
                <c:pt idx="4">
                  <c:v>1.8174650000000001</c:v>
                </c:pt>
                <c:pt idx="5">
                  <c:v>1.948885</c:v>
                </c:pt>
                <c:pt idx="6">
                  <c:v>1.7947029999999999</c:v>
                </c:pt>
                <c:pt idx="7">
                  <c:v>1.8774850000000001</c:v>
                </c:pt>
                <c:pt idx="8">
                  <c:v>2.0323069999999999</c:v>
                </c:pt>
                <c:pt idx="9">
                  <c:v>1.8748549999999999</c:v>
                </c:pt>
                <c:pt idx="10">
                  <c:v>1.9517960000000001</c:v>
                </c:pt>
                <c:pt idx="11">
                  <c:v>2.1248930000000001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'25_g'!$S$66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'25_g'!$T$62:$AE$62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'25_g'!$T$66:$AE$66</c:f>
              <c:numCache>
                <c:formatCode>#,##0.00_ ;\-#,##0.00\ </c:formatCode>
                <c:ptCount val="12"/>
                <c:pt idx="0">
                  <c:v>1.60586925</c:v>
                </c:pt>
                <c:pt idx="1">
                  <c:v>1.5020300799999999</c:v>
                </c:pt>
                <c:pt idx="2">
                  <c:v>1.7520188399999999</c:v>
                </c:pt>
                <c:pt idx="3">
                  <c:v>1.6131414999999998</c:v>
                </c:pt>
                <c:pt idx="4">
                  <c:v>1.5246625800000002</c:v>
                </c:pt>
                <c:pt idx="5">
                  <c:v>1.95179233</c:v>
                </c:pt>
                <c:pt idx="6">
                  <c:v>1.6960940600000001</c:v>
                </c:pt>
                <c:pt idx="7">
                  <c:v>1.7766103199999999</c:v>
                </c:pt>
                <c:pt idx="8">
                  <c:v>1.8174683299999999</c:v>
                </c:pt>
                <c:pt idx="9">
                  <c:v>1.8518554599999999</c:v>
                </c:pt>
                <c:pt idx="10">
                  <c:v>1.7825012099999999</c:v>
                </c:pt>
                <c:pt idx="11">
                  <c:v>2.0419819399999999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65472"/>
        <c:axId val="262499136"/>
      </c:lineChart>
      <c:catAx>
        <c:axId val="26186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499136"/>
        <c:crosses val="autoZero"/>
        <c:auto val="1"/>
        <c:lblAlgn val="ctr"/>
        <c:lblOffset val="100"/>
        <c:noMultiLvlLbl val="0"/>
      </c:catAx>
      <c:valAx>
        <c:axId val="2624991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18654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'25_g'!$T$85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'25_g'!$U$85:$AF$85</c:f>
              <c:numCache>
                <c:formatCode>#,##0.00_ ;\-#,##0.00\ </c:formatCode>
                <c:ptCount val="12"/>
                <c:pt idx="0">
                  <c:v>1.8434407399999999</c:v>
                </c:pt>
                <c:pt idx="1">
                  <c:v>3.53988835</c:v>
                </c:pt>
                <c:pt idx="2">
                  <c:v>5.27278175</c:v>
                </c:pt>
                <c:pt idx="3">
                  <c:v>7.0971748300000002</c:v>
                </c:pt>
                <c:pt idx="4">
                  <c:v>8.9956645799999997</c:v>
                </c:pt>
                <c:pt idx="5">
                  <c:v>10.7867602</c:v>
                </c:pt>
                <c:pt idx="6">
                  <c:v>12.521091999999999</c:v>
                </c:pt>
                <c:pt idx="7">
                  <c:v>14.38346344</c:v>
                </c:pt>
                <c:pt idx="8">
                  <c:v>16.447968279999998</c:v>
                </c:pt>
                <c:pt idx="9">
                  <c:v>18.436183579999998</c:v>
                </c:pt>
                <c:pt idx="10">
                  <c:v>20.584132569999998</c:v>
                </c:pt>
                <c:pt idx="11">
                  <c:v>23.009027639999999</c:v>
                </c:pt>
              </c:numCache>
            </c:numRef>
          </c:val>
        </c:ser>
        <c:ser>
          <c:idx val="0"/>
          <c:order val="2"/>
          <c:tx>
            <c:strRef>
              <c:f>'25_g'!$T$87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'25_g'!$U$87:$AF$87</c:f>
              <c:numCache>
                <c:formatCode>#,##0.00_ ;\-#,##0.00\ </c:formatCode>
                <c:ptCount val="12"/>
                <c:pt idx="0">
                  <c:v>1.60586925</c:v>
                </c:pt>
                <c:pt idx="1">
                  <c:v>3.10789933</c:v>
                </c:pt>
                <c:pt idx="2">
                  <c:v>4.8599181700000003</c:v>
                </c:pt>
                <c:pt idx="3">
                  <c:v>6.4730596699999996</c:v>
                </c:pt>
                <c:pt idx="4">
                  <c:v>7.9977222499999998</c:v>
                </c:pt>
                <c:pt idx="5">
                  <c:v>9.9495145799999989</c:v>
                </c:pt>
                <c:pt idx="6">
                  <c:v>11.645608639999999</c:v>
                </c:pt>
                <c:pt idx="7">
                  <c:v>13.422218959999999</c:v>
                </c:pt>
                <c:pt idx="8">
                  <c:v>15.239687289999999</c:v>
                </c:pt>
                <c:pt idx="9">
                  <c:v>17.091542749999999</c:v>
                </c:pt>
                <c:pt idx="10">
                  <c:v>18.874043959999998</c:v>
                </c:pt>
                <c:pt idx="11">
                  <c:v>20.916025899999998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2428160"/>
        <c:axId val="262501440"/>
      </c:barChart>
      <c:lineChart>
        <c:grouping val="standard"/>
        <c:varyColors val="0"/>
        <c:ser>
          <c:idx val="3"/>
          <c:order val="1"/>
          <c:tx>
            <c:strRef>
              <c:f>'25_g'!$T$86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'25_g'!$U$83:$AF$83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'25_g'!$U$86:$AF$86</c:f>
              <c:numCache>
                <c:formatCode>#,##0.00_ ;\-#,##0.00\ </c:formatCode>
                <c:ptCount val="12"/>
                <c:pt idx="0">
                  <c:v>1.8286169999999999</c:v>
                </c:pt>
                <c:pt idx="1">
                  <c:v>3.5907929999999997</c:v>
                </c:pt>
                <c:pt idx="2">
                  <c:v>5.3270549999999997</c:v>
                </c:pt>
                <c:pt idx="3">
                  <c:v>7.172879</c:v>
                </c:pt>
                <c:pt idx="4">
                  <c:v>8.9903440000000003</c:v>
                </c:pt>
                <c:pt idx="5">
                  <c:v>10.939229000000001</c:v>
                </c:pt>
                <c:pt idx="6">
                  <c:v>12.733932000000001</c:v>
                </c:pt>
                <c:pt idx="7">
                  <c:v>14.611417000000001</c:v>
                </c:pt>
                <c:pt idx="8">
                  <c:v>16.643724000000002</c:v>
                </c:pt>
                <c:pt idx="9">
                  <c:v>18.518579000000003</c:v>
                </c:pt>
                <c:pt idx="10">
                  <c:v>20.470375000000004</c:v>
                </c:pt>
                <c:pt idx="11">
                  <c:v>22.595268000000004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28160"/>
        <c:axId val="262501440"/>
      </c:lineChart>
      <c:catAx>
        <c:axId val="26242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501440"/>
        <c:crosses val="autoZero"/>
        <c:auto val="1"/>
        <c:lblAlgn val="ctr"/>
        <c:lblOffset val="100"/>
        <c:noMultiLvlLbl val="0"/>
      </c:catAx>
      <c:valAx>
        <c:axId val="2625014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4281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'25_g'!$AI$64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'25_g'!$AJ$62:$AU$62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'25_g'!$AJ$64:$AU$64</c:f>
              <c:numCache>
                <c:formatCode>#,##0.00_ ;\-#,##0.00\ </c:formatCode>
                <c:ptCount val="12"/>
                <c:pt idx="0">
                  <c:v>2.2730159700000003</c:v>
                </c:pt>
                <c:pt idx="1">
                  <c:v>2.41232618</c:v>
                </c:pt>
                <c:pt idx="2">
                  <c:v>2.5084499699999991</c:v>
                </c:pt>
                <c:pt idx="3">
                  <c:v>2.3485438899999993</c:v>
                </c:pt>
                <c:pt idx="4">
                  <c:v>2.3286303299999993</c:v>
                </c:pt>
                <c:pt idx="5">
                  <c:v>2.2225403200000007</c:v>
                </c:pt>
                <c:pt idx="6">
                  <c:v>3.0973484600000001</c:v>
                </c:pt>
                <c:pt idx="7">
                  <c:v>3.1777317799999989</c:v>
                </c:pt>
                <c:pt idx="8">
                  <c:v>2.5932081400000007</c:v>
                </c:pt>
                <c:pt idx="9">
                  <c:v>2.3778804200000003</c:v>
                </c:pt>
                <c:pt idx="10">
                  <c:v>1.7899368700000009</c:v>
                </c:pt>
                <c:pt idx="11">
                  <c:v>1.7934388799999996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'25_g'!$AI$65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'25_g'!$AJ$62:$AU$62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'25_g'!$AJ$65:$AU$65</c:f>
              <c:numCache>
                <c:formatCode>#,##0.00_ ;\-#,##0.00\ </c:formatCode>
                <c:ptCount val="12"/>
                <c:pt idx="0">
                  <c:v>2.4262760000000001</c:v>
                </c:pt>
                <c:pt idx="1">
                  <c:v>2.5256280000000002</c:v>
                </c:pt>
                <c:pt idx="2">
                  <c:v>2.6051330000000004</c:v>
                </c:pt>
                <c:pt idx="3">
                  <c:v>2.511212</c:v>
                </c:pt>
                <c:pt idx="4">
                  <c:v>2.4881099999999998</c:v>
                </c:pt>
                <c:pt idx="5">
                  <c:v>2.2194419999999999</c:v>
                </c:pt>
                <c:pt idx="6">
                  <c:v>3.0544180000000001</c:v>
                </c:pt>
                <c:pt idx="7">
                  <c:v>3.1827680000000003</c:v>
                </c:pt>
                <c:pt idx="8">
                  <c:v>2.7461930000000003</c:v>
                </c:pt>
                <c:pt idx="9">
                  <c:v>2.6843719999999998</c:v>
                </c:pt>
                <c:pt idx="10">
                  <c:v>2.3918509999999999</c:v>
                </c:pt>
                <c:pt idx="11">
                  <c:v>2.2384769999999996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'25_g'!$AI$66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'25_g'!$AJ$62:$AU$62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'25_g'!$AJ$66:$AU$66</c:f>
              <c:numCache>
                <c:formatCode>#,##0.00_ ;\-#,##0.00\ </c:formatCode>
                <c:ptCount val="12"/>
                <c:pt idx="0">
                  <c:v>2.3906406000000002</c:v>
                </c:pt>
                <c:pt idx="1">
                  <c:v>2.8493208100000009</c:v>
                </c:pt>
                <c:pt idx="2">
                  <c:v>2.4728722899999998</c:v>
                </c:pt>
                <c:pt idx="3">
                  <c:v>2.7448321900000008</c:v>
                </c:pt>
                <c:pt idx="4">
                  <c:v>2.6217250100000005</c:v>
                </c:pt>
                <c:pt idx="5">
                  <c:v>1.9982503499999997</c:v>
                </c:pt>
                <c:pt idx="6">
                  <c:v>2.964692509999999</c:v>
                </c:pt>
                <c:pt idx="7">
                  <c:v>2.7882462200000013</c:v>
                </c:pt>
                <c:pt idx="8">
                  <c:v>2.61883292</c:v>
                </c:pt>
                <c:pt idx="9">
                  <c:v>2.3298188400000002</c:v>
                </c:pt>
                <c:pt idx="10">
                  <c:v>2.4368649999999987</c:v>
                </c:pt>
                <c:pt idx="11">
                  <c:v>2.160668820000001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29184"/>
        <c:axId val="262503744"/>
      </c:lineChart>
      <c:catAx>
        <c:axId val="2624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503744"/>
        <c:crosses val="autoZero"/>
        <c:auto val="1"/>
        <c:lblAlgn val="ctr"/>
        <c:lblOffset val="100"/>
        <c:noMultiLvlLbl val="0"/>
      </c:catAx>
      <c:valAx>
        <c:axId val="2625037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300805348049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4291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2670510204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'25_g'!$AJ$85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'25_g'!$AK$85:$AV$85</c:f>
              <c:numCache>
                <c:formatCode>#,##0.00_ ;\-#,##0.00\ </c:formatCode>
                <c:ptCount val="12"/>
                <c:pt idx="0">
                  <c:v>2.2730159700000003</c:v>
                </c:pt>
                <c:pt idx="1">
                  <c:v>4.6853421500000003</c:v>
                </c:pt>
                <c:pt idx="2">
                  <c:v>7.1937921199999995</c:v>
                </c:pt>
                <c:pt idx="3">
                  <c:v>9.5423360099999996</c:v>
                </c:pt>
                <c:pt idx="4">
                  <c:v>11.870966339999999</c:v>
                </c:pt>
                <c:pt idx="5">
                  <c:v>14.093506659999999</c:v>
                </c:pt>
                <c:pt idx="6">
                  <c:v>17.190855119999998</c:v>
                </c:pt>
                <c:pt idx="7">
                  <c:v>20.368586899999997</c:v>
                </c:pt>
                <c:pt idx="8">
                  <c:v>22.961795039999998</c:v>
                </c:pt>
                <c:pt idx="9">
                  <c:v>25.339675459999999</c:v>
                </c:pt>
                <c:pt idx="10">
                  <c:v>27.12961233</c:v>
                </c:pt>
                <c:pt idx="11">
                  <c:v>28.923051210000001</c:v>
                </c:pt>
              </c:numCache>
            </c:numRef>
          </c:val>
        </c:ser>
        <c:ser>
          <c:idx val="0"/>
          <c:order val="2"/>
          <c:tx>
            <c:strRef>
              <c:f>'25_g'!$AJ$87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'25_g'!$AK$83:$AV$83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'25_g'!$AK$87:$AV$87</c:f>
              <c:numCache>
                <c:formatCode>#,##0.00_ ;\-#,##0.00\ </c:formatCode>
                <c:ptCount val="12"/>
                <c:pt idx="0">
                  <c:v>2.3906406000000002</c:v>
                </c:pt>
                <c:pt idx="1">
                  <c:v>5.2399614100000012</c:v>
                </c:pt>
                <c:pt idx="2">
                  <c:v>7.7128337000000009</c:v>
                </c:pt>
                <c:pt idx="3">
                  <c:v>10.457665890000001</c:v>
                </c:pt>
                <c:pt idx="4">
                  <c:v>13.079390900000002</c:v>
                </c:pt>
                <c:pt idx="5">
                  <c:v>15.077641250000001</c:v>
                </c:pt>
                <c:pt idx="6">
                  <c:v>18.042333759999998</c:v>
                </c:pt>
                <c:pt idx="7">
                  <c:v>20.83057998</c:v>
                </c:pt>
                <c:pt idx="8">
                  <c:v>23.449412899999999</c:v>
                </c:pt>
                <c:pt idx="9">
                  <c:v>25.77923174</c:v>
                </c:pt>
                <c:pt idx="10">
                  <c:v>28.216096739999998</c:v>
                </c:pt>
                <c:pt idx="11">
                  <c:v>30.376765559999999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2429696"/>
        <c:axId val="262792896"/>
      </c:barChart>
      <c:lineChart>
        <c:grouping val="standard"/>
        <c:varyColors val="0"/>
        <c:ser>
          <c:idx val="3"/>
          <c:order val="1"/>
          <c:tx>
            <c:strRef>
              <c:f>'25_g'!$AJ$86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'25_g'!$AK$83:$AV$83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'25_g'!$AK$86:$AV$86</c:f>
              <c:numCache>
                <c:formatCode>#,##0.00_ ;\-#,##0.00\ </c:formatCode>
                <c:ptCount val="12"/>
                <c:pt idx="0">
                  <c:v>2.4262760000000001</c:v>
                </c:pt>
                <c:pt idx="1">
                  <c:v>4.9519040000000007</c:v>
                </c:pt>
                <c:pt idx="2">
                  <c:v>7.5570370000000011</c:v>
                </c:pt>
                <c:pt idx="3">
                  <c:v>10.068249000000002</c:v>
                </c:pt>
                <c:pt idx="4">
                  <c:v>12.556359</c:v>
                </c:pt>
                <c:pt idx="5">
                  <c:v>14.775801000000001</c:v>
                </c:pt>
                <c:pt idx="6">
                  <c:v>17.830219</c:v>
                </c:pt>
                <c:pt idx="7">
                  <c:v>21.012986999999999</c:v>
                </c:pt>
                <c:pt idx="8">
                  <c:v>23.759180000000001</c:v>
                </c:pt>
                <c:pt idx="9">
                  <c:v>26.443552</c:v>
                </c:pt>
                <c:pt idx="10">
                  <c:v>28.835402999999999</c:v>
                </c:pt>
                <c:pt idx="11">
                  <c:v>31.073879999999999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29696"/>
        <c:axId val="262792896"/>
      </c:lineChart>
      <c:catAx>
        <c:axId val="26242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792896"/>
        <c:crosses val="autoZero"/>
        <c:auto val="1"/>
        <c:lblAlgn val="ctr"/>
        <c:lblOffset val="100"/>
        <c:noMultiLvlLbl val="0"/>
      </c:catAx>
      <c:valAx>
        <c:axId val="2627928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132772196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4296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9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'25_g'!$T$21:$U$21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'25_g'!$V$20:$AC$20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'25_g'!$V$21:$AC$21</c:f>
              <c:numCache>
                <c:formatCode>#,##0</c:formatCode>
                <c:ptCount val="8"/>
                <c:pt idx="0">
                  <c:v>119.59261887863734</c:v>
                </c:pt>
                <c:pt idx="1">
                  <c:v>84</c:v>
                </c:pt>
                <c:pt idx="2">
                  <c:v>233.24414478353441</c:v>
                </c:pt>
                <c:pt idx="3">
                  <c:v>189</c:v>
                </c:pt>
                <c:pt idx="4">
                  <c:v>353.65436479772887</c:v>
                </c:pt>
                <c:pt idx="5">
                  <c:v>285</c:v>
                </c:pt>
                <c:pt idx="6">
                  <c:v>458</c:v>
                </c:pt>
                <c:pt idx="7">
                  <c:v>351</c:v>
                </c:pt>
              </c:numCache>
            </c:numRef>
          </c:val>
        </c:ser>
        <c:ser>
          <c:idx val="0"/>
          <c:order val="1"/>
          <c:tx>
            <c:strRef>
              <c:f>'25_g'!$T$22:$U$22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'25_g'!$V$20:$AC$20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'25_g'!$V$22:$AC$22</c:f>
              <c:numCache>
                <c:formatCode>#,##0</c:formatCode>
                <c:ptCount val="8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5</c:v>
                </c:pt>
                <c:pt idx="4">
                  <c:v>17</c:v>
                </c:pt>
                <c:pt idx="5">
                  <c:v>10</c:v>
                </c:pt>
                <c:pt idx="6">
                  <c:v>31</c:v>
                </c:pt>
                <c:pt idx="7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62430208"/>
        <c:axId val="262795200"/>
      </c:barChart>
      <c:catAx>
        <c:axId val="26243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262795200"/>
        <c:crosses val="autoZero"/>
        <c:auto val="1"/>
        <c:lblAlgn val="ctr"/>
        <c:lblOffset val="100"/>
        <c:noMultiLvlLbl val="0"/>
      </c:catAx>
      <c:valAx>
        <c:axId val="262795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62430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('26'!$A$9,'26'!$A$13,'26'!$A$17)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('26'!$B$9,'26'!$B$13,'26'!$B$17)</c:f>
              <c:numCache>
                <c:formatCode>_-* #,##0_-;\-* #,##0_-;_-* "-"??_-;_-@_-</c:formatCode>
                <c:ptCount val="3"/>
                <c:pt idx="0">
                  <c:v>5112</c:v>
                </c:pt>
                <c:pt idx="1">
                  <c:v>704</c:v>
                </c:pt>
                <c:pt idx="2">
                  <c:v>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('26'!$A$9,'26'!$A$13,'26'!$A$17)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('26'!$G$9,'26'!$G$13,'26'!$G$17)</c:f>
              <c:numCache>
                <c:formatCode>_-* #,##0_-;\-* #,##0_-;_-* "-"??_-;_-@_-</c:formatCode>
                <c:ptCount val="3"/>
                <c:pt idx="0">
                  <c:v>5199</c:v>
                </c:pt>
                <c:pt idx="1">
                  <c:v>712</c:v>
                </c:pt>
                <c:pt idx="2">
                  <c:v>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('26'!$A$9,'26'!$A$13,'26'!$A$17)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('26'!$C$9,'26'!$C$13,'26'!$C$17)</c:f>
              <c:numCache>
                <c:formatCode>_(* #,##0.00_);_(* \(#,##0.00\);_(* "-"??_);_(@_)</c:formatCode>
                <c:ptCount val="3"/>
                <c:pt idx="0">
                  <c:v>0.74150700000000003</c:v>
                </c:pt>
                <c:pt idx="1">
                  <c:v>0.24951100000000001</c:v>
                </c:pt>
                <c:pt idx="2">
                  <c:v>0.109029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'11_g'!$AZ$18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'11_g'!$BA$16:$BL$16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'11_g'!$BA$18:$BL$18</c:f>
              <c:numCache>
                <c:formatCode>#,##0.000_ ;\-#,##0.000\ </c:formatCode>
                <c:ptCount val="12"/>
                <c:pt idx="0">
                  <c:v>0.97171176999999997</c:v>
                </c:pt>
                <c:pt idx="1">
                  <c:v>1.2492966600000002</c:v>
                </c:pt>
                <c:pt idx="2">
                  <c:v>1.44824931</c:v>
                </c:pt>
                <c:pt idx="3">
                  <c:v>1.1147174100000001</c:v>
                </c:pt>
                <c:pt idx="4">
                  <c:v>1.156685</c:v>
                </c:pt>
                <c:pt idx="5">
                  <c:v>1.4744012500000001</c:v>
                </c:pt>
                <c:pt idx="6">
                  <c:v>0.7711430600000001</c:v>
                </c:pt>
                <c:pt idx="7">
                  <c:v>0.95097429999999983</c:v>
                </c:pt>
                <c:pt idx="8">
                  <c:v>0.66129466000000015</c:v>
                </c:pt>
                <c:pt idx="9">
                  <c:v>1.0657272799999997</c:v>
                </c:pt>
                <c:pt idx="10">
                  <c:v>1.3645725699999998</c:v>
                </c:pt>
                <c:pt idx="11">
                  <c:v>0.87953395000000023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'11_g'!$AZ$19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'11_g'!$BA$16:$BL$16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'11_g'!$BA$19:$BL$19</c:f>
              <c:numCache>
                <c:formatCode>#,##0.000_ ;\-#,##0.000\ </c:formatCode>
                <c:ptCount val="12"/>
                <c:pt idx="0">
                  <c:v>1.21696</c:v>
                </c:pt>
                <c:pt idx="1">
                  <c:v>1.262173</c:v>
                </c:pt>
                <c:pt idx="2">
                  <c:v>1.2982830000000001</c:v>
                </c:pt>
                <c:pt idx="3">
                  <c:v>1.0290550000000001</c:v>
                </c:pt>
                <c:pt idx="4">
                  <c:v>1.0371300000000001</c:v>
                </c:pt>
                <c:pt idx="5">
                  <c:v>1.401513</c:v>
                </c:pt>
                <c:pt idx="6">
                  <c:v>0.931029</c:v>
                </c:pt>
                <c:pt idx="7">
                  <c:v>1.026937</c:v>
                </c:pt>
                <c:pt idx="8">
                  <c:v>0.839615</c:v>
                </c:pt>
                <c:pt idx="9">
                  <c:v>1.1022799999999999</c:v>
                </c:pt>
                <c:pt idx="10">
                  <c:v>1.1775850000000001</c:v>
                </c:pt>
                <c:pt idx="11">
                  <c:v>0.92903199999999997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'11_g'!$AZ$20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'11_g'!$BA$16:$BL$16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'11_g'!$BA$20:$BL$20</c:f>
              <c:numCache>
                <c:formatCode>#,##0.000_ ;\-#,##0.000\ </c:formatCode>
                <c:ptCount val="12"/>
                <c:pt idx="0">
                  <c:v>1.24031906</c:v>
                </c:pt>
                <c:pt idx="1">
                  <c:v>0.99043201999999997</c:v>
                </c:pt>
                <c:pt idx="2">
                  <c:v>1.0016266899999999</c:v>
                </c:pt>
                <c:pt idx="3">
                  <c:v>1.0543877400000001</c:v>
                </c:pt>
                <c:pt idx="4">
                  <c:v>0.88537352999999974</c:v>
                </c:pt>
                <c:pt idx="5">
                  <c:v>1.5293853600000002</c:v>
                </c:pt>
                <c:pt idx="6">
                  <c:v>0.80220866000000013</c:v>
                </c:pt>
                <c:pt idx="7">
                  <c:v>1.15368881</c:v>
                </c:pt>
                <c:pt idx="8">
                  <c:v>1.3185024100000002</c:v>
                </c:pt>
                <c:pt idx="9">
                  <c:v>0.92312116999999994</c:v>
                </c:pt>
                <c:pt idx="10">
                  <c:v>0.69956370999999995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28352"/>
        <c:axId val="172772160"/>
      </c:lineChart>
      <c:catAx>
        <c:axId val="17302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772160"/>
        <c:crosses val="autoZero"/>
        <c:auto val="1"/>
        <c:lblAlgn val="ctr"/>
        <c:lblOffset val="100"/>
        <c:noMultiLvlLbl val="0"/>
      </c:catAx>
      <c:valAx>
        <c:axId val="1727721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41387527154E-2"/>
              <c:y val="8.919460910082869E-3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0283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52039483"/>
          <c:y val="2.2161373086791118E-2"/>
          <c:w val="0.3530097147960517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('26'!$A$9,'26'!$A$13,'26'!$A$17)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('26'!$H$9,'26'!$H$13,'26'!$H$17)</c:f>
              <c:numCache>
                <c:formatCode>_(* #,##0.00_);_(* \(#,##0.00\);_(* "-"??_);_(@_)</c:formatCode>
                <c:ptCount val="3"/>
                <c:pt idx="0">
                  <c:v>0.75067399999999995</c:v>
                </c:pt>
                <c:pt idx="1">
                  <c:v>0.26146200000000003</c:v>
                </c:pt>
                <c:pt idx="2">
                  <c:v>0.108198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('26'!$A$9,'26'!$A$13,'26'!$A$17)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('26'!$E$9,'26'!$E$13,'26'!$E$17)</c:f>
              <c:numCache>
                <c:formatCode>_(* #,##0.00_);_(* \(#,##0.00\);_(* "-"??_);_(@_)</c:formatCode>
                <c:ptCount val="3"/>
                <c:pt idx="0">
                  <c:v>9.8793099799999986</c:v>
                </c:pt>
                <c:pt idx="1">
                  <c:v>5.467303199999999</c:v>
                </c:pt>
                <c:pt idx="2">
                  <c:v>3.0223196500000005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('26'!$A$9,'26'!$A$13,'26'!$A$17)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('26'!$J$9,'26'!$J$13,'26'!$J$17)</c:f>
              <c:numCache>
                <c:formatCode>_(* #,##0.00_);_(* \(#,##0.00\);_(* "-"??_);_(@_)</c:formatCode>
                <c:ptCount val="3"/>
                <c:pt idx="0">
                  <c:v>9.9532129799999982</c:v>
                </c:pt>
                <c:pt idx="1">
                  <c:v>5.750811950000001</c:v>
                </c:pt>
                <c:pt idx="2">
                  <c:v>3.0307094999999999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('26'!$A$9,'26'!$A$13,'26'!$A$17,'26'!$A$20)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('26'!$D$9,'26'!$D$13,'26'!$D$17,'26'!$D$20)</c:f>
              <c:numCache>
                <c:formatCode>_-* #,##0.000_-;\-* #,##0.000_-;_-* "-"??_-;_-@_-</c:formatCode>
                <c:ptCount val="4"/>
                <c:pt idx="0">
                  <c:v>0.40288071936485087</c:v>
                </c:pt>
                <c:pt idx="1">
                  <c:v>0.96348383484414069</c:v>
                </c:pt>
                <c:pt idx="2">
                  <c:v>1.4861173584134124</c:v>
                </c:pt>
                <c:pt idx="3">
                  <c:v>0.5062703506232612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('26'!$A$9,'26'!$A$13,'26'!$A$17,'26'!$A$20)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('26'!$I$9,'26'!$I$13,'26'!$I$17,'26'!$I$20)</c:f>
              <c:numCache>
                <c:formatCode>_-* #,##0.000_-;\-* #,##0.000_-;_-* "-"??_-;_-@_-</c:formatCode>
                <c:ptCount val="4"/>
                <c:pt idx="0">
                  <c:v>0.39892175267004382</c:v>
                </c:pt>
                <c:pt idx="1">
                  <c:v>1.0117715347109357</c:v>
                </c:pt>
                <c:pt idx="2">
                  <c:v>1.4602604764154126</c:v>
                </c:pt>
                <c:pt idx="3">
                  <c:v>0.50596030976313888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63837696"/>
        <c:axId val="260756544"/>
      </c:barChart>
      <c:catAx>
        <c:axId val="2638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756544"/>
        <c:crosses val="autoZero"/>
        <c:auto val="1"/>
        <c:lblAlgn val="ctr"/>
        <c:lblOffset val="100"/>
        <c:noMultiLvlLbl val="0"/>
      </c:catAx>
      <c:valAx>
        <c:axId val="2607565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3837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('26'!$A$9,'26'!$A$13,'26'!$A$17,'26'!$A$20)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('26'!$F$9,'26'!$F$13,'26'!$F$17,'26'!$F$20)</c:f>
              <c:numCache>
                <c:formatCode>_(* #,##0.00_);_(* \(#,##0.00\);_(* "-"??_);_(@_)</c:formatCode>
                <c:ptCount val="4"/>
                <c:pt idx="0">
                  <c:v>13.32328619959083</c:v>
                </c:pt>
                <c:pt idx="1">
                  <c:v>21.912072814425009</c:v>
                </c:pt>
                <c:pt idx="2">
                  <c:v>27.720328077850851</c:v>
                </c:pt>
                <c:pt idx="3">
                  <c:v>16.698316371936833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('26'!$A$9,'26'!$A$13,'26'!$A$17,'26'!$A$20)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('26'!$K$9,'26'!$K$13,'26'!$K$17,'26'!$K$20)</c:f>
              <c:numCache>
                <c:formatCode>_(* #,##0.00_);_(* \(#,##0.00\);_(* "-"??_);_(@_)</c:formatCode>
                <c:ptCount val="4"/>
                <c:pt idx="0">
                  <c:v>13.259035187045241</c:v>
                </c:pt>
                <c:pt idx="1">
                  <c:v>21.994828885268223</c:v>
                </c:pt>
                <c:pt idx="2">
                  <c:v>28.010771918150056</c:v>
                </c:pt>
                <c:pt idx="3">
                  <c:v>16.722454580509023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63838720"/>
        <c:axId val="260758272"/>
      </c:barChart>
      <c:catAx>
        <c:axId val="26383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0758272"/>
        <c:crosses val="autoZero"/>
        <c:auto val="1"/>
        <c:lblAlgn val="ctr"/>
        <c:lblOffset val="100"/>
        <c:noMultiLvlLbl val="0"/>
      </c:catAx>
      <c:valAx>
        <c:axId val="2607582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38387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'26_g'!$A$18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'26_g'!$B$16:$M$16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'26_g'!$B$18:$M$18</c:f>
              <c:numCache>
                <c:formatCode>#,##0_ ;\-#,##0\ </c:formatCode>
                <c:ptCount val="12"/>
                <c:pt idx="0">
                  <c:v>6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12</c:v>
                </c:pt>
                <c:pt idx="5">
                  <c:v>33</c:v>
                </c:pt>
                <c:pt idx="6">
                  <c:v>9</c:v>
                </c:pt>
                <c:pt idx="7">
                  <c:v>12</c:v>
                </c:pt>
                <c:pt idx="8">
                  <c:v>17</c:v>
                </c:pt>
                <c:pt idx="9">
                  <c:v>8</c:v>
                </c:pt>
                <c:pt idx="10">
                  <c:v>17</c:v>
                </c:pt>
                <c:pt idx="11">
                  <c:v>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'26_g'!$A$19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'26_g'!$B$16:$M$16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'26_g'!$B$19:$M$19</c:f>
              <c:numCache>
                <c:formatCode>#,##0_ ;\-#,##0\ </c:formatCode>
                <c:ptCount val="12"/>
                <c:pt idx="0">
                  <c:v>12.218181818181819</c:v>
                </c:pt>
                <c:pt idx="1">
                  <c:v>19.854545454545452</c:v>
                </c:pt>
                <c:pt idx="2">
                  <c:v>22.4</c:v>
                </c:pt>
                <c:pt idx="3">
                  <c:v>18.83636363636364</c:v>
                </c:pt>
                <c:pt idx="4">
                  <c:v>33.6</c:v>
                </c:pt>
                <c:pt idx="5">
                  <c:v>32.581818181818178</c:v>
                </c:pt>
                <c:pt idx="6">
                  <c:v>12.218181818181819</c:v>
                </c:pt>
                <c:pt idx="7">
                  <c:v>19.345454545454544</c:v>
                </c:pt>
                <c:pt idx="8">
                  <c:v>26.472727272727273</c:v>
                </c:pt>
                <c:pt idx="9">
                  <c:v>18.83636363636364</c:v>
                </c:pt>
                <c:pt idx="10">
                  <c:v>20.872727272727271</c:v>
                </c:pt>
                <c:pt idx="11">
                  <c:v>14.763636363636362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'26_g'!$A$20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'26_g'!$B$16:$M$16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'26_g'!$B$20:$M$20</c:f>
              <c:numCache>
                <c:formatCode>#,##0_ ;\-#,##0\ </c:formatCode>
                <c:ptCount val="12"/>
                <c:pt idx="0">
                  <c:v>5</c:v>
                </c:pt>
                <c:pt idx="1">
                  <c:v>7</c:v>
                </c:pt>
                <c:pt idx="2">
                  <c:v>20</c:v>
                </c:pt>
                <c:pt idx="3">
                  <c:v>8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12</c:v>
                </c:pt>
                <c:pt idx="8">
                  <c:v>2</c:v>
                </c:pt>
                <c:pt idx="9">
                  <c:v>3</c:v>
                </c:pt>
                <c:pt idx="10">
                  <c:v>12</c:v>
                </c:pt>
                <c:pt idx="11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219776"/>
        <c:axId val="262152768"/>
      </c:lineChart>
      <c:catAx>
        <c:axId val="26221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152768"/>
        <c:crosses val="autoZero"/>
        <c:auto val="1"/>
        <c:lblAlgn val="ctr"/>
        <c:lblOffset val="100"/>
        <c:noMultiLvlLbl val="0"/>
      </c:catAx>
      <c:valAx>
        <c:axId val="2621527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2197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'26_g'!$B$39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'26_g'!$C$39:$N$39</c:f>
              <c:numCache>
                <c:formatCode>#,##0_ ;\-#,##0\ </c:formatCode>
                <c:ptCount val="12"/>
                <c:pt idx="0">
                  <c:v>6</c:v>
                </c:pt>
                <c:pt idx="1">
                  <c:v>20</c:v>
                </c:pt>
                <c:pt idx="2">
                  <c:v>34</c:v>
                </c:pt>
                <c:pt idx="3">
                  <c:v>43</c:v>
                </c:pt>
                <c:pt idx="4">
                  <c:v>55</c:v>
                </c:pt>
                <c:pt idx="5">
                  <c:v>88</c:v>
                </c:pt>
                <c:pt idx="6">
                  <c:v>97</c:v>
                </c:pt>
                <c:pt idx="7">
                  <c:v>109</c:v>
                </c:pt>
                <c:pt idx="8">
                  <c:v>126</c:v>
                </c:pt>
                <c:pt idx="9">
                  <c:v>134</c:v>
                </c:pt>
                <c:pt idx="10">
                  <c:v>151</c:v>
                </c:pt>
                <c:pt idx="11">
                  <c:v>160</c:v>
                </c:pt>
              </c:numCache>
            </c:numRef>
          </c:val>
        </c:ser>
        <c:ser>
          <c:idx val="0"/>
          <c:order val="2"/>
          <c:tx>
            <c:strRef>
              <c:f>'26_g'!$B$41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'26_g'!$C$41:$N$41</c:f>
              <c:numCache>
                <c:formatCode>#,##0_ ;\-#,##0\ </c:formatCode>
                <c:ptCount val="12"/>
                <c:pt idx="0">
                  <c:v>5</c:v>
                </c:pt>
                <c:pt idx="1">
                  <c:v>12</c:v>
                </c:pt>
                <c:pt idx="2">
                  <c:v>32</c:v>
                </c:pt>
                <c:pt idx="3">
                  <c:v>40</c:v>
                </c:pt>
                <c:pt idx="4">
                  <c:v>54</c:v>
                </c:pt>
                <c:pt idx="5">
                  <c:v>78</c:v>
                </c:pt>
                <c:pt idx="6">
                  <c:v>84</c:v>
                </c:pt>
                <c:pt idx="7">
                  <c:v>96</c:v>
                </c:pt>
                <c:pt idx="8">
                  <c:v>98</c:v>
                </c:pt>
                <c:pt idx="9">
                  <c:v>101</c:v>
                </c:pt>
                <c:pt idx="10">
                  <c:v>113</c:v>
                </c:pt>
                <c:pt idx="11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2220800"/>
        <c:axId val="262155072"/>
      </c:barChart>
      <c:lineChart>
        <c:grouping val="standard"/>
        <c:varyColors val="0"/>
        <c:ser>
          <c:idx val="3"/>
          <c:order val="1"/>
          <c:tx>
            <c:strRef>
              <c:f>'26_g'!$B$40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'26_g'!$C$37:$N$37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'26_g'!$C$40:$N$40</c:f>
              <c:numCache>
                <c:formatCode>#,##0_ ;\-#,##0\ </c:formatCode>
                <c:ptCount val="12"/>
                <c:pt idx="0">
                  <c:v>12.218181818181819</c:v>
                </c:pt>
                <c:pt idx="1">
                  <c:v>32.072727272727271</c:v>
                </c:pt>
                <c:pt idx="2">
                  <c:v>54.472727272727269</c:v>
                </c:pt>
                <c:pt idx="3">
                  <c:v>73.309090909090912</c:v>
                </c:pt>
                <c:pt idx="4">
                  <c:v>106.90909090909091</c:v>
                </c:pt>
                <c:pt idx="5">
                  <c:v>139.4909090909091</c:v>
                </c:pt>
                <c:pt idx="6">
                  <c:v>151.70909090909092</c:v>
                </c:pt>
                <c:pt idx="7">
                  <c:v>171.05454545454546</c:v>
                </c:pt>
                <c:pt idx="8">
                  <c:v>197.52727272727273</c:v>
                </c:pt>
                <c:pt idx="9">
                  <c:v>216.36363636363637</c:v>
                </c:pt>
                <c:pt idx="10">
                  <c:v>237.23636363636365</c:v>
                </c:pt>
                <c:pt idx="11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220800"/>
        <c:axId val="262155072"/>
      </c:lineChart>
      <c:catAx>
        <c:axId val="26222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155072"/>
        <c:crosses val="autoZero"/>
        <c:auto val="1"/>
        <c:lblAlgn val="ctr"/>
        <c:lblOffset val="100"/>
        <c:noMultiLvlLbl val="0"/>
      </c:catAx>
      <c:valAx>
        <c:axId val="2621550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2208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'26_g'!$AI$18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'26_g'!$AJ$16:$AU$16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'26_g'!$AJ$18:$AU$18</c:f>
              <c:numCache>
                <c:formatCode>#,##0.000_ ;\-#,##0.000\ </c:formatCode>
                <c:ptCount val="12"/>
                <c:pt idx="0">
                  <c:v>8.7046999999999999E-2</c:v>
                </c:pt>
                <c:pt idx="1">
                  <c:v>8.9770000000000003E-2</c:v>
                </c:pt>
                <c:pt idx="2">
                  <c:v>8.5530999999999996E-2</c:v>
                </c:pt>
                <c:pt idx="3">
                  <c:v>8.6753999999999998E-2</c:v>
                </c:pt>
                <c:pt idx="4">
                  <c:v>8.3277000000000004E-2</c:v>
                </c:pt>
                <c:pt idx="5">
                  <c:v>8.5970000000000005E-2</c:v>
                </c:pt>
                <c:pt idx="6">
                  <c:v>0.104447</c:v>
                </c:pt>
                <c:pt idx="7">
                  <c:v>0.114435</c:v>
                </c:pt>
                <c:pt idx="8">
                  <c:v>0.10123799999999999</c:v>
                </c:pt>
                <c:pt idx="9">
                  <c:v>9.4767000000000004E-2</c:v>
                </c:pt>
                <c:pt idx="10">
                  <c:v>8.5385000000000003E-2</c:v>
                </c:pt>
                <c:pt idx="11">
                  <c:v>8.5763000000000006E-2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'26_g'!$AI$19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'26_g'!$AJ$16:$AU$16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'26_g'!$AJ$19:$AU$19</c:f>
              <c:numCache>
                <c:formatCode>#,##0.000_ ;\-#,##0.000\ </c:formatCode>
                <c:ptCount val="12"/>
                <c:pt idx="0">
                  <c:v>8.9500999999999997E-2</c:v>
                </c:pt>
                <c:pt idx="1">
                  <c:v>8.9898000000000006E-2</c:v>
                </c:pt>
                <c:pt idx="2">
                  <c:v>8.7529999999999997E-2</c:v>
                </c:pt>
                <c:pt idx="3">
                  <c:v>9.2595999999999998E-2</c:v>
                </c:pt>
                <c:pt idx="4">
                  <c:v>8.8378999999999999E-2</c:v>
                </c:pt>
                <c:pt idx="5">
                  <c:v>8.7216000000000002E-2</c:v>
                </c:pt>
                <c:pt idx="6">
                  <c:v>0.10477400000000001</c:v>
                </c:pt>
                <c:pt idx="7">
                  <c:v>0.115401</c:v>
                </c:pt>
                <c:pt idx="8">
                  <c:v>0.106169</c:v>
                </c:pt>
                <c:pt idx="9">
                  <c:v>9.9061999999999997E-2</c:v>
                </c:pt>
                <c:pt idx="10">
                  <c:v>9.1665999999999997E-2</c:v>
                </c:pt>
                <c:pt idx="11">
                  <c:v>8.8727E-2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'26_g'!$AI$20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'26_g'!$AJ$16:$AU$16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'26_g'!$AJ$20:$AU$20</c:f>
              <c:numCache>
                <c:formatCode>#,##0.000_ ;\-#,##0.000\ </c:formatCode>
                <c:ptCount val="12"/>
                <c:pt idx="0">
                  <c:v>8.7942000000000006E-2</c:v>
                </c:pt>
                <c:pt idx="1">
                  <c:v>8.7984999999999994E-2</c:v>
                </c:pt>
                <c:pt idx="2">
                  <c:v>8.9039999999999994E-2</c:v>
                </c:pt>
                <c:pt idx="3">
                  <c:v>9.3789999999999998E-2</c:v>
                </c:pt>
                <c:pt idx="4">
                  <c:v>8.5854E-2</c:v>
                </c:pt>
                <c:pt idx="5">
                  <c:v>8.8598999999999997E-2</c:v>
                </c:pt>
                <c:pt idx="6">
                  <c:v>0.108864</c:v>
                </c:pt>
                <c:pt idx="7">
                  <c:v>0.105974</c:v>
                </c:pt>
                <c:pt idx="8">
                  <c:v>9.7184000000000006E-2</c:v>
                </c:pt>
                <c:pt idx="9">
                  <c:v>9.3690999999999997E-2</c:v>
                </c:pt>
                <c:pt idx="10">
                  <c:v>9.1471999999999998E-2</c:v>
                </c:pt>
                <c:pt idx="11">
                  <c:v>9.0791999999999998E-2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221312"/>
        <c:axId val="262157376"/>
      </c:lineChart>
      <c:catAx>
        <c:axId val="26222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157376"/>
        <c:crosses val="autoZero"/>
        <c:auto val="1"/>
        <c:lblAlgn val="ctr"/>
        <c:lblOffset val="100"/>
        <c:noMultiLvlLbl val="0"/>
      </c:catAx>
      <c:valAx>
        <c:axId val="2621573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4673122756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2213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2535976103"/>
          <c:y val="2.2161373086791118E-2"/>
          <c:w val="0.3512889552599027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'26_g'!$AJ$39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'26_g'!$AK$39:$AV$39</c:f>
              <c:numCache>
                <c:formatCode>#,##0.000_ ;\-#,##0.000\ </c:formatCode>
                <c:ptCount val="12"/>
                <c:pt idx="0">
                  <c:v>8.7046999999999999E-2</c:v>
                </c:pt>
                <c:pt idx="1">
                  <c:v>0.176817</c:v>
                </c:pt>
                <c:pt idx="2">
                  <c:v>0.26234800000000003</c:v>
                </c:pt>
                <c:pt idx="3">
                  <c:v>0.34910200000000002</c:v>
                </c:pt>
                <c:pt idx="4">
                  <c:v>0.43237900000000001</c:v>
                </c:pt>
                <c:pt idx="5">
                  <c:v>0.51834900000000006</c:v>
                </c:pt>
                <c:pt idx="6">
                  <c:v>0.62279600000000002</c:v>
                </c:pt>
                <c:pt idx="7">
                  <c:v>0.73723099999999997</c:v>
                </c:pt>
                <c:pt idx="8">
                  <c:v>0.83846899999999991</c:v>
                </c:pt>
                <c:pt idx="9">
                  <c:v>0.93323599999999995</c:v>
                </c:pt>
                <c:pt idx="10">
                  <c:v>1.018621</c:v>
                </c:pt>
                <c:pt idx="11">
                  <c:v>1.104384</c:v>
                </c:pt>
              </c:numCache>
            </c:numRef>
          </c:val>
        </c:ser>
        <c:ser>
          <c:idx val="0"/>
          <c:order val="2"/>
          <c:tx>
            <c:strRef>
              <c:f>'26_g'!$AJ$41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'26_g'!$AK$41:$AV$41</c:f>
              <c:numCache>
                <c:formatCode>#,##0.000_ ;\-#,##0.000\ </c:formatCode>
                <c:ptCount val="12"/>
                <c:pt idx="0">
                  <c:v>8.7942000000000006E-2</c:v>
                </c:pt>
                <c:pt idx="1">
                  <c:v>0.175927</c:v>
                </c:pt>
                <c:pt idx="2">
                  <c:v>0.26496700000000001</c:v>
                </c:pt>
                <c:pt idx="3">
                  <c:v>0.35875699999999999</c:v>
                </c:pt>
                <c:pt idx="4">
                  <c:v>0.44461099999999998</c:v>
                </c:pt>
                <c:pt idx="5">
                  <c:v>0.53320999999999996</c:v>
                </c:pt>
                <c:pt idx="6">
                  <c:v>0.64207399999999992</c:v>
                </c:pt>
                <c:pt idx="7">
                  <c:v>0.74804799999999994</c:v>
                </c:pt>
                <c:pt idx="8">
                  <c:v>0.84523199999999998</c:v>
                </c:pt>
                <c:pt idx="9">
                  <c:v>0.93892299999999995</c:v>
                </c:pt>
                <c:pt idx="10">
                  <c:v>1.0303949999999999</c:v>
                </c:pt>
                <c:pt idx="11">
                  <c:v>1.1211869999999999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4949760"/>
        <c:axId val="262159680"/>
      </c:barChart>
      <c:lineChart>
        <c:grouping val="standard"/>
        <c:varyColors val="0"/>
        <c:ser>
          <c:idx val="3"/>
          <c:order val="1"/>
          <c:tx>
            <c:strRef>
              <c:f>'26_g'!$AJ$40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'26_g'!$AK$37:$AV$37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'26_g'!$AK$40:$AV$40</c:f>
              <c:numCache>
                <c:formatCode>#,##0.000_ ;\-#,##0.000\ </c:formatCode>
                <c:ptCount val="12"/>
                <c:pt idx="0">
                  <c:v>8.9500999999999997E-2</c:v>
                </c:pt>
                <c:pt idx="1">
                  <c:v>0.179399</c:v>
                </c:pt>
                <c:pt idx="2">
                  <c:v>0.26692899999999997</c:v>
                </c:pt>
                <c:pt idx="3">
                  <c:v>0.35952499999999998</c:v>
                </c:pt>
                <c:pt idx="4">
                  <c:v>0.44790399999999997</c:v>
                </c:pt>
                <c:pt idx="5">
                  <c:v>0.53511999999999993</c:v>
                </c:pt>
                <c:pt idx="6">
                  <c:v>0.63989399999999996</c:v>
                </c:pt>
                <c:pt idx="7">
                  <c:v>0.75529499999999994</c:v>
                </c:pt>
                <c:pt idx="8">
                  <c:v>0.8614639999999999</c:v>
                </c:pt>
                <c:pt idx="9">
                  <c:v>0.96052599999999988</c:v>
                </c:pt>
                <c:pt idx="10">
                  <c:v>1.0521919999999998</c:v>
                </c:pt>
                <c:pt idx="11">
                  <c:v>1.1409189999999998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949760"/>
        <c:axId val="262159680"/>
      </c:lineChart>
      <c:catAx>
        <c:axId val="26494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159680"/>
        <c:crosses val="autoZero"/>
        <c:auto val="1"/>
        <c:lblAlgn val="ctr"/>
        <c:lblOffset val="100"/>
        <c:noMultiLvlLbl val="0"/>
      </c:catAx>
      <c:valAx>
        <c:axId val="2621596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9497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0323822176"/>
          <c:y val="2.2161373086791118E-2"/>
          <c:w val="0.33180959676177824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'26_g'!$AY$18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'26_g'!$AZ$16:$BK$16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'26_g'!$AZ$18:$BK$18</c:f>
              <c:numCache>
                <c:formatCode>#,##0.000_ ;\-#,##0.000\ </c:formatCode>
                <c:ptCount val="12"/>
                <c:pt idx="0">
                  <c:v>2.6520999999999999E-2</c:v>
                </c:pt>
                <c:pt idx="1">
                  <c:v>2.2887000000000001E-2</c:v>
                </c:pt>
                <c:pt idx="2">
                  <c:v>2.8091999999999999E-2</c:v>
                </c:pt>
                <c:pt idx="3">
                  <c:v>2.7709999999999999E-2</c:v>
                </c:pt>
                <c:pt idx="4">
                  <c:v>2.5520999999999999E-2</c:v>
                </c:pt>
                <c:pt idx="5">
                  <c:v>2.6938E-2</c:v>
                </c:pt>
                <c:pt idx="6">
                  <c:v>4.2243000000000003E-2</c:v>
                </c:pt>
                <c:pt idx="7">
                  <c:v>3.2638E-2</c:v>
                </c:pt>
                <c:pt idx="8">
                  <c:v>2.5319000000000001E-2</c:v>
                </c:pt>
                <c:pt idx="9">
                  <c:v>2.3900999999999999E-2</c:v>
                </c:pt>
                <c:pt idx="10">
                  <c:v>2.3990000000000001E-2</c:v>
                </c:pt>
                <c:pt idx="11">
                  <c:v>2.3675000000000002E-2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'26_g'!$AY$19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'26_g'!$AZ$16:$BK$16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'26_g'!$AZ$19:$BK$19</c:f>
              <c:numCache>
                <c:formatCode>#,##0.000_ ;\-#,##0.000\ </c:formatCode>
                <c:ptCount val="12"/>
                <c:pt idx="0">
                  <c:v>3.0905999999999999E-2</c:v>
                </c:pt>
                <c:pt idx="1">
                  <c:v>3.0886E-2</c:v>
                </c:pt>
                <c:pt idx="2">
                  <c:v>3.3066999999999999E-2</c:v>
                </c:pt>
                <c:pt idx="3">
                  <c:v>3.1233E-2</c:v>
                </c:pt>
                <c:pt idx="4">
                  <c:v>2.7341000000000001E-2</c:v>
                </c:pt>
                <c:pt idx="5">
                  <c:v>2.8160999999999999E-2</c:v>
                </c:pt>
                <c:pt idx="6">
                  <c:v>3.2006E-2</c:v>
                </c:pt>
                <c:pt idx="7">
                  <c:v>2.7577999999999998E-2</c:v>
                </c:pt>
                <c:pt idx="8">
                  <c:v>2.4687000000000001E-2</c:v>
                </c:pt>
                <c:pt idx="9">
                  <c:v>2.53E-2</c:v>
                </c:pt>
                <c:pt idx="10">
                  <c:v>2.5867999999999999E-2</c:v>
                </c:pt>
                <c:pt idx="11">
                  <c:v>2.3758999999999999E-2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'26_g'!$AY$20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'26_g'!$AZ$16:$BK$16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'26_g'!$AZ$20:$BK$20</c:f>
              <c:numCache>
                <c:formatCode>#,##0.000_ ;\-#,##0.000\ </c:formatCode>
                <c:ptCount val="12"/>
                <c:pt idx="0">
                  <c:v>2.3102999999999999E-2</c:v>
                </c:pt>
                <c:pt idx="1">
                  <c:v>2.2945E-2</c:v>
                </c:pt>
                <c:pt idx="2">
                  <c:v>2.5294000000000001E-2</c:v>
                </c:pt>
                <c:pt idx="3">
                  <c:v>2.4093E-2</c:v>
                </c:pt>
                <c:pt idx="4">
                  <c:v>2.2696000000000001E-2</c:v>
                </c:pt>
                <c:pt idx="5">
                  <c:v>2.4229000000000001E-2</c:v>
                </c:pt>
                <c:pt idx="6">
                  <c:v>2.7747999999999998E-2</c:v>
                </c:pt>
                <c:pt idx="7">
                  <c:v>2.7274E-2</c:v>
                </c:pt>
                <c:pt idx="8">
                  <c:v>2.5062999999999998E-2</c:v>
                </c:pt>
                <c:pt idx="9">
                  <c:v>2.6126E-2</c:v>
                </c:pt>
                <c:pt idx="10">
                  <c:v>2.6381999999999999E-2</c:v>
                </c:pt>
                <c:pt idx="11">
                  <c:v>2.8340000000000001E-2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951296"/>
        <c:axId val="264586944"/>
      </c:lineChart>
      <c:catAx>
        <c:axId val="26495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586944"/>
        <c:crosses val="autoZero"/>
        <c:auto val="1"/>
        <c:lblAlgn val="ctr"/>
        <c:lblOffset val="100"/>
        <c:noMultiLvlLbl val="0"/>
      </c:catAx>
      <c:valAx>
        <c:axId val="2645869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55269731554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9512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5743953942"/>
          <c:y val="2.2161373086791118E-2"/>
          <c:w val="0.35300974256046047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'11_g'!$AZ$39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'11_g'!$BA$37:$BP$37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'11_g'!$BA$39:$BP$39</c:f>
              <c:numCache>
                <c:formatCode>_(* #,##0.00_);_(* \(#,##0.00\);_(* "-"??_);_(@_)</c:formatCode>
                <c:ptCount val="16"/>
                <c:pt idx="0">
                  <c:v>27.017662116249962</c:v>
                </c:pt>
                <c:pt idx="1">
                  <c:v>31.349777055136958</c:v>
                </c:pt>
                <c:pt idx="2">
                  <c:v>35.158890622164961</c:v>
                </c:pt>
                <c:pt idx="3">
                  <c:v>31.35913827770484</c:v>
                </c:pt>
                <c:pt idx="4">
                  <c:v>28.334905760050678</c:v>
                </c:pt>
                <c:pt idx="5">
                  <c:v>30.025813137183949</c:v>
                </c:pt>
                <c:pt idx="6">
                  <c:v>36.057629551579467</c:v>
                </c:pt>
                <c:pt idx="7">
                  <c:v>31.45153053459812</c:v>
                </c:pt>
                <c:pt idx="8">
                  <c:v>20.185046254417696</c:v>
                </c:pt>
                <c:pt idx="9">
                  <c:v>23.963004455349402</c:v>
                </c:pt>
                <c:pt idx="10">
                  <c:v>18.379467819142999</c:v>
                </c:pt>
                <c:pt idx="11">
                  <c:v>28.025232652235115</c:v>
                </c:pt>
                <c:pt idx="12">
                  <c:v>28.218334511745862</c:v>
                </c:pt>
                <c:pt idx="13">
                  <c:v>34.37416082040393</c:v>
                </c:pt>
                <c:pt idx="14">
                  <c:v>23.934153874396046</c:v>
                </c:pt>
                <c:pt idx="15">
                  <c:v>28.260206497387401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'11_g'!$AZ$40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'11_g'!$BA$37:$BP$37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'11_g'!$BA$40:$BP$40</c:f>
              <c:numCache>
                <c:formatCode>_(* #,##0.00_);_(* \(#,##0.00\);_(* "-"??_);_(@_)</c:formatCode>
                <c:ptCount val="16"/>
                <c:pt idx="0">
                  <c:v>27.060008621406123</c:v>
                </c:pt>
                <c:pt idx="1">
                  <c:v>27.060008621406123</c:v>
                </c:pt>
                <c:pt idx="2">
                  <c:v>27.060008621406123</c:v>
                </c:pt>
                <c:pt idx="3">
                  <c:v>27.060008621406123</c:v>
                </c:pt>
                <c:pt idx="4">
                  <c:v>27.060008621406123</c:v>
                </c:pt>
                <c:pt idx="5">
                  <c:v>27.060008621406123</c:v>
                </c:pt>
                <c:pt idx="6">
                  <c:v>27.060008621406123</c:v>
                </c:pt>
                <c:pt idx="7">
                  <c:v>27.060008621406123</c:v>
                </c:pt>
                <c:pt idx="8">
                  <c:v>27.060008621406123</c:v>
                </c:pt>
                <c:pt idx="9">
                  <c:v>27.060008621406123</c:v>
                </c:pt>
                <c:pt idx="10">
                  <c:v>27.060008621406123</c:v>
                </c:pt>
                <c:pt idx="11">
                  <c:v>27.060008621406123</c:v>
                </c:pt>
                <c:pt idx="12">
                  <c:v>27.060008621406123</c:v>
                </c:pt>
                <c:pt idx="13">
                  <c:v>27.060008621406123</c:v>
                </c:pt>
                <c:pt idx="14">
                  <c:v>27.060008621406123</c:v>
                </c:pt>
                <c:pt idx="15">
                  <c:v>27.060008621406123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'11_g'!$AZ$41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'11_g'!$BA$37:$BP$37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'11_g'!$BA$41:$BP$41</c:f>
              <c:numCache>
                <c:formatCode>_(* #,##0.00_);_(* \(#,##0.00\);_(* "-"??_);_(@_)</c:formatCode>
                <c:ptCount val="16"/>
                <c:pt idx="0">
                  <c:v>32.287034978111087</c:v>
                </c:pt>
                <c:pt idx="1">
                  <c:v>27.158934259301663</c:v>
                </c:pt>
                <c:pt idx="2">
                  <c:v>26.94523246851978</c:v>
                </c:pt>
                <c:pt idx="3">
                  <c:v>28.846072755230836</c:v>
                </c:pt>
                <c:pt idx="4">
                  <c:v>26.765785741039121</c:v>
                </c:pt>
                <c:pt idx="5">
                  <c:v>24.050994925335544</c:v>
                </c:pt>
                <c:pt idx="6">
                  <c:v>35.478320117057031</c:v>
                </c:pt>
                <c:pt idx="7">
                  <c:v>28.964641888462012</c:v>
                </c:pt>
                <c:pt idx="8">
                  <c:v>19.823648238116544</c:v>
                </c:pt>
                <c:pt idx="9">
                  <c:v>27.595643554505401</c:v>
                </c:pt>
                <c:pt idx="10">
                  <c:v>28.048946518268338</c:v>
                </c:pt>
                <c:pt idx="11">
                  <c:v>32.702693122747327</c:v>
                </c:pt>
                <c:pt idx="12">
                  <c:v>24.777624577199369</c:v>
                </c:pt>
                <c:pt idx="13">
                  <c:v>19.824499529896094</c:v>
                </c:pt>
                <c:pt idx="15">
                  <c:v>27.267427784864047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28864"/>
        <c:axId val="172774464"/>
      </c:lineChart>
      <c:catAx>
        <c:axId val="17302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774464"/>
        <c:crosses val="autoZero"/>
        <c:auto val="1"/>
        <c:lblAlgn val="ctr"/>
        <c:lblOffset val="100"/>
        <c:noMultiLvlLbl val="0"/>
      </c:catAx>
      <c:valAx>
        <c:axId val="1727744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23309965483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0288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63019689628"/>
          <c:y val="2.2161373086791118E-2"/>
          <c:w val="0.283030776345488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'26_g'!$AY$39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'26_g'!$AZ$37:$BO$37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'26_g'!$AZ$39:$BO$39</c:f>
              <c:numCache>
                <c:formatCode>_(* #,##0.00_);_(* \(#,##0.00\);_(* "-"??_);_(@_)</c:formatCode>
                <c:ptCount val="16"/>
                <c:pt idx="0">
                  <c:v>23.34800598644247</c:v>
                </c:pt>
                <c:pt idx="1">
                  <c:v>20.313845225309983</c:v>
                </c:pt>
                <c:pt idx="2">
                  <c:v>24.720168954593451</c:v>
                </c:pt>
                <c:pt idx="3">
                  <c:v>22.801025016402026</c:v>
                </c:pt>
                <c:pt idx="4">
                  <c:v>24.205735649955887</c:v>
                </c:pt>
                <c:pt idx="5">
                  <c:v>23.453352448169387</c:v>
                </c:pt>
                <c:pt idx="6">
                  <c:v>23.751708327822598</c:v>
                </c:pt>
                <c:pt idx="7">
                  <c:v>23.302961107293029</c:v>
                </c:pt>
                <c:pt idx="8">
                  <c:v>28.718956292363231</c:v>
                </c:pt>
                <c:pt idx="9">
                  <c:v>22.176019350849657</c:v>
                </c:pt>
                <c:pt idx="10">
                  <c:v>20.003792337897305</c:v>
                </c:pt>
                <c:pt idx="11">
                  <c:v>23.497235394243351</c:v>
                </c:pt>
                <c:pt idx="12">
                  <c:v>20.138011222890654</c:v>
                </c:pt>
                <c:pt idx="13">
                  <c:v>21.930706645945701</c:v>
                </c:pt>
                <c:pt idx="14">
                  <c:v>21.631079315480271</c:v>
                </c:pt>
                <c:pt idx="15">
                  <c:v>22.957638806134486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'26_g'!$AY$40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'26_g'!$AZ$37:$BO$37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'26_g'!$AZ$40:$BO$40</c:f>
              <c:numCache>
                <c:formatCode>_(* #,##0.00_);_(* \(#,##0.00\);_(* "-"??_);_(@_)</c:formatCode>
                <c:ptCount val="16"/>
                <c:pt idx="0">
                  <c:v>22.99991226353335</c:v>
                </c:pt>
                <c:pt idx="1">
                  <c:v>22.99991226353335</c:v>
                </c:pt>
                <c:pt idx="2">
                  <c:v>22.99991226353335</c:v>
                </c:pt>
                <c:pt idx="3">
                  <c:v>22.99991226353335</c:v>
                </c:pt>
                <c:pt idx="4">
                  <c:v>22.99991226353335</c:v>
                </c:pt>
                <c:pt idx="5">
                  <c:v>22.99991226353335</c:v>
                </c:pt>
                <c:pt idx="6">
                  <c:v>22.99991226353335</c:v>
                </c:pt>
                <c:pt idx="7">
                  <c:v>22.99991226353335</c:v>
                </c:pt>
                <c:pt idx="8">
                  <c:v>22.99991226353335</c:v>
                </c:pt>
                <c:pt idx="9">
                  <c:v>22.99991226353335</c:v>
                </c:pt>
                <c:pt idx="10">
                  <c:v>22.99991226353335</c:v>
                </c:pt>
                <c:pt idx="11">
                  <c:v>22.99991226353335</c:v>
                </c:pt>
                <c:pt idx="12">
                  <c:v>22.99991226353335</c:v>
                </c:pt>
                <c:pt idx="13">
                  <c:v>22.99991226353335</c:v>
                </c:pt>
                <c:pt idx="14">
                  <c:v>22.99991226353335</c:v>
                </c:pt>
                <c:pt idx="15">
                  <c:v>22.99991226353335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'26_g'!$AY$41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'26_g'!$AZ$37:$BO$37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'26_g'!$AZ$41:$BO$41</c:f>
              <c:numCache>
                <c:formatCode>_(* #,##0.00_);_(* \(#,##0.00\);_(* "-"??_);_(@_)</c:formatCode>
                <c:ptCount val="16"/>
                <c:pt idx="0">
                  <c:v>20.800957980318184</c:v>
                </c:pt>
                <c:pt idx="1">
                  <c:v>20.681045904801394</c:v>
                </c:pt>
                <c:pt idx="2">
                  <c:v>22.119807608220377</c:v>
                </c:pt>
                <c:pt idx="3">
                  <c:v>21.209760854312592</c:v>
                </c:pt>
                <c:pt idx="4">
                  <c:v>20.435114503816791</c:v>
                </c:pt>
                <c:pt idx="5">
                  <c:v>20.905448348915396</c:v>
                </c:pt>
                <c:pt idx="6">
                  <c:v>21.470093043863535</c:v>
                </c:pt>
                <c:pt idx="7">
                  <c:v>21.069176339652408</c:v>
                </c:pt>
                <c:pt idx="8">
                  <c:v>20.282439623413836</c:v>
                </c:pt>
                <c:pt idx="9">
                  <c:v>20.461382647511158</c:v>
                </c:pt>
                <c:pt idx="10">
                  <c:v>20.499754621298869</c:v>
                </c:pt>
                <c:pt idx="11">
                  <c:v>20.827364466940438</c:v>
                </c:pt>
                <c:pt idx="12">
                  <c:v>21.802553617624966</c:v>
                </c:pt>
                <c:pt idx="13">
                  <c:v>22.382285568847035</c:v>
                </c:pt>
                <c:pt idx="14">
                  <c:v>23.785144775493077</c:v>
                </c:pt>
                <c:pt idx="15">
                  <c:v>21.285332502393164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952832"/>
        <c:axId val="264589248"/>
      </c:lineChart>
      <c:catAx>
        <c:axId val="26495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589248"/>
        <c:crosses val="autoZero"/>
        <c:auto val="1"/>
        <c:lblAlgn val="ctr"/>
        <c:lblOffset val="100"/>
        <c:noMultiLvlLbl val="0"/>
      </c:catAx>
      <c:valAx>
        <c:axId val="2645892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02553768457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9528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9347439391"/>
          <c:y val="2.2161373086791118E-2"/>
          <c:w val="0.2830308119068054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'26_g'!$A$64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'26_g'!$B$62:$M$62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'26_g'!$B$64:$M$64</c:f>
              <c:numCache>
                <c:formatCode>#,##0.00_ ;\-#,##0.00\ </c:formatCode>
                <c:ptCount val="12"/>
                <c:pt idx="0">
                  <c:v>1.6610829599999999</c:v>
                </c:pt>
                <c:pt idx="1">
                  <c:v>1.7732985700000004</c:v>
                </c:pt>
                <c:pt idx="2">
                  <c:v>1.6419844099999998</c:v>
                </c:pt>
                <c:pt idx="3">
                  <c:v>1.6436389200000001</c:v>
                </c:pt>
                <c:pt idx="4">
                  <c:v>1.58896495</c:v>
                </c:pt>
                <c:pt idx="5">
                  <c:v>1.6671736000000001</c:v>
                </c:pt>
                <c:pt idx="6">
                  <c:v>1.9903363000000003</c:v>
                </c:pt>
                <c:pt idx="7">
                  <c:v>2.15296631</c:v>
                </c:pt>
                <c:pt idx="8">
                  <c:v>1.9378325700000001</c:v>
                </c:pt>
                <c:pt idx="9">
                  <c:v>1.8284105400000004</c:v>
                </c:pt>
                <c:pt idx="10">
                  <c:v>1.6113109499999998</c:v>
                </c:pt>
                <c:pt idx="11">
                  <c:v>1.6306309800000001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'26_g'!$A$65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'26_g'!$B$62:$M$62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'26_g'!$B$65:$M$65</c:f>
              <c:numCache>
                <c:formatCode>#,##0.00_ ;\-#,##0.00\ </c:formatCode>
                <c:ptCount val="12"/>
                <c:pt idx="0">
                  <c:v>1.6994089999999999</c:v>
                </c:pt>
                <c:pt idx="1">
                  <c:v>1.708725</c:v>
                </c:pt>
                <c:pt idx="2">
                  <c:v>1.7531650000000001</c:v>
                </c:pt>
                <c:pt idx="3">
                  <c:v>1.7765919999999999</c:v>
                </c:pt>
                <c:pt idx="4">
                  <c:v>1.7220340000000001</c:v>
                </c:pt>
                <c:pt idx="5">
                  <c:v>1.6908719999999999</c:v>
                </c:pt>
                <c:pt idx="6">
                  <c:v>1.9920659999999999</c:v>
                </c:pt>
                <c:pt idx="7">
                  <c:v>2.1896789999999999</c:v>
                </c:pt>
                <c:pt idx="8">
                  <c:v>2.0536660000000002</c:v>
                </c:pt>
                <c:pt idx="9">
                  <c:v>1.904506</c:v>
                </c:pt>
                <c:pt idx="10">
                  <c:v>1.73363</c:v>
                </c:pt>
                <c:pt idx="11">
                  <c:v>1.689066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'26_g'!$A$66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'26_g'!$B$62:$M$62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'26_g'!$B$66:$M$66</c:f>
              <c:numCache>
                <c:formatCode>#,##0.00_ ;\-#,##0.00\ </c:formatCode>
                <c:ptCount val="12"/>
                <c:pt idx="0">
                  <c:v>1.7056017699999997</c:v>
                </c:pt>
                <c:pt idx="1">
                  <c:v>1.6885916400000001</c:v>
                </c:pt>
                <c:pt idx="2">
                  <c:v>1.7366860100000001</c:v>
                </c:pt>
                <c:pt idx="3">
                  <c:v>1.7851330799999998</c:v>
                </c:pt>
                <c:pt idx="4">
                  <c:v>1.63219899</c:v>
                </c:pt>
                <c:pt idx="5">
                  <c:v>1.7058585000000002</c:v>
                </c:pt>
                <c:pt idx="6">
                  <c:v>2.0680051399999999</c:v>
                </c:pt>
                <c:pt idx="7">
                  <c:v>2.0189154500000002</c:v>
                </c:pt>
                <c:pt idx="8">
                  <c:v>1.8525821999999998</c:v>
                </c:pt>
                <c:pt idx="9">
                  <c:v>1.79656777</c:v>
                </c:pt>
                <c:pt idx="10">
                  <c:v>1.7767175800000001</c:v>
                </c:pt>
                <c:pt idx="11">
                  <c:v>1.75057558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77440"/>
        <c:axId val="264591552"/>
      </c:lineChart>
      <c:catAx>
        <c:axId val="2652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591552"/>
        <c:crosses val="autoZero"/>
        <c:auto val="1"/>
        <c:lblAlgn val="ctr"/>
        <c:lblOffset val="100"/>
        <c:noMultiLvlLbl val="0"/>
      </c:catAx>
      <c:valAx>
        <c:axId val="2645915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52774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'26_g'!$B$85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'26_g'!$C$85:$N$85</c:f>
              <c:numCache>
                <c:formatCode>#,##0.00_ ;\-#,##0.00\ </c:formatCode>
                <c:ptCount val="12"/>
                <c:pt idx="0">
                  <c:v>1.6610829599999999</c:v>
                </c:pt>
                <c:pt idx="1">
                  <c:v>3.4343815300000005</c:v>
                </c:pt>
                <c:pt idx="2">
                  <c:v>5.0763659400000005</c:v>
                </c:pt>
                <c:pt idx="3">
                  <c:v>6.7200048600000004</c:v>
                </c:pt>
                <c:pt idx="4">
                  <c:v>8.3089698100000007</c:v>
                </c:pt>
                <c:pt idx="5">
                  <c:v>9.9761434100000006</c:v>
                </c:pt>
                <c:pt idx="6">
                  <c:v>11.966479710000002</c:v>
                </c:pt>
                <c:pt idx="7">
                  <c:v>14.119446020000002</c:v>
                </c:pt>
                <c:pt idx="8">
                  <c:v>16.057278590000003</c:v>
                </c:pt>
                <c:pt idx="9">
                  <c:v>17.885689130000003</c:v>
                </c:pt>
                <c:pt idx="10">
                  <c:v>19.497000080000003</c:v>
                </c:pt>
                <c:pt idx="11">
                  <c:v>21.127631060000002</c:v>
                </c:pt>
              </c:numCache>
            </c:numRef>
          </c:val>
        </c:ser>
        <c:ser>
          <c:idx val="0"/>
          <c:order val="2"/>
          <c:tx>
            <c:strRef>
              <c:f>'26_g'!$B$87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'26_g'!$C$87:$N$87</c:f>
              <c:numCache>
                <c:formatCode>#,##0.00_ ;\-#,##0.00\ </c:formatCode>
                <c:ptCount val="12"/>
                <c:pt idx="0">
                  <c:v>1.7056017699999997</c:v>
                </c:pt>
                <c:pt idx="1">
                  <c:v>3.3941934099999997</c:v>
                </c:pt>
                <c:pt idx="2">
                  <c:v>5.1308794199999994</c:v>
                </c:pt>
                <c:pt idx="3">
                  <c:v>6.916012499999999</c:v>
                </c:pt>
                <c:pt idx="4">
                  <c:v>8.5482114899999999</c:v>
                </c:pt>
                <c:pt idx="5">
                  <c:v>10.25406999</c:v>
                </c:pt>
                <c:pt idx="6">
                  <c:v>12.32207513</c:v>
                </c:pt>
                <c:pt idx="7">
                  <c:v>14.34099058</c:v>
                </c:pt>
                <c:pt idx="8">
                  <c:v>16.19357278</c:v>
                </c:pt>
                <c:pt idx="9">
                  <c:v>17.99014055</c:v>
                </c:pt>
                <c:pt idx="10">
                  <c:v>19.766858129999999</c:v>
                </c:pt>
                <c:pt idx="11">
                  <c:v>21.517433709999999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5277952"/>
        <c:axId val="264806976"/>
      </c:barChart>
      <c:lineChart>
        <c:grouping val="standard"/>
        <c:varyColors val="0"/>
        <c:ser>
          <c:idx val="3"/>
          <c:order val="1"/>
          <c:tx>
            <c:strRef>
              <c:f>'26_g'!$B$86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'26_g'!$C$83:$N$83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'26_g'!$C$86:$N$86</c:f>
              <c:numCache>
                <c:formatCode>#,##0.00_ ;\-#,##0.00\ </c:formatCode>
                <c:ptCount val="12"/>
                <c:pt idx="0">
                  <c:v>1.6994089999999999</c:v>
                </c:pt>
                <c:pt idx="1">
                  <c:v>3.408134</c:v>
                </c:pt>
                <c:pt idx="2">
                  <c:v>5.1612989999999996</c:v>
                </c:pt>
                <c:pt idx="3">
                  <c:v>6.9378909999999996</c:v>
                </c:pt>
                <c:pt idx="4">
                  <c:v>8.6599249999999994</c:v>
                </c:pt>
                <c:pt idx="5">
                  <c:v>10.350797</c:v>
                </c:pt>
                <c:pt idx="6">
                  <c:v>12.342862999999999</c:v>
                </c:pt>
                <c:pt idx="7">
                  <c:v>14.532541999999999</c:v>
                </c:pt>
                <c:pt idx="8">
                  <c:v>16.586207999999999</c:v>
                </c:pt>
                <c:pt idx="9">
                  <c:v>18.490714000000001</c:v>
                </c:pt>
                <c:pt idx="10">
                  <c:v>20.224344000000002</c:v>
                </c:pt>
                <c:pt idx="11">
                  <c:v>21.913410000000002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77952"/>
        <c:axId val="264806976"/>
      </c:lineChart>
      <c:catAx>
        <c:axId val="26527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806976"/>
        <c:crosses val="autoZero"/>
        <c:auto val="1"/>
        <c:lblAlgn val="ctr"/>
        <c:lblOffset val="100"/>
        <c:noMultiLvlLbl val="0"/>
      </c:catAx>
      <c:valAx>
        <c:axId val="2648069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52779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'26_g'!$S$64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'26_g'!$T$62:$AE$62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'26_g'!$T$64:$AE$64</c:f>
              <c:numCache>
                <c:formatCode>#,##0.00_ ;\-#,##0.00\ </c:formatCode>
                <c:ptCount val="12"/>
                <c:pt idx="0">
                  <c:v>0.87509977000000005</c:v>
                </c:pt>
                <c:pt idx="1">
                  <c:v>0.91198968999999996</c:v>
                </c:pt>
                <c:pt idx="2">
                  <c:v>0.88161666000000005</c:v>
                </c:pt>
                <c:pt idx="3">
                  <c:v>0.91633474999999998</c:v>
                </c:pt>
                <c:pt idx="4">
                  <c:v>0.91071155999999998</c:v>
                </c:pt>
                <c:pt idx="5">
                  <c:v>1.00893462</c:v>
                </c:pt>
                <c:pt idx="6">
                  <c:v>0.92622692000000018</c:v>
                </c:pt>
                <c:pt idx="7">
                  <c:v>0.87277386999999995</c:v>
                </c:pt>
                <c:pt idx="8">
                  <c:v>1.1960567100000001</c:v>
                </c:pt>
                <c:pt idx="9">
                  <c:v>0.95247354000000006</c:v>
                </c:pt>
                <c:pt idx="10">
                  <c:v>0.92228706999999988</c:v>
                </c:pt>
                <c:pt idx="11">
                  <c:v>1.02385715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'26_g'!$S$65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'26_g'!$T$62:$AE$62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'26_g'!$T$65:$AE$65</c:f>
              <c:numCache>
                <c:formatCode>#,##0.00_ ;\-#,##0.00\ </c:formatCode>
                <c:ptCount val="12"/>
                <c:pt idx="0">
                  <c:v>0.95426900000000003</c:v>
                </c:pt>
                <c:pt idx="1">
                  <c:v>0.92037599999999997</c:v>
                </c:pt>
                <c:pt idx="2">
                  <c:v>0.92571300000000001</c:v>
                </c:pt>
                <c:pt idx="3">
                  <c:v>0.96977400000000002</c:v>
                </c:pt>
                <c:pt idx="4">
                  <c:v>0.97790900000000003</c:v>
                </c:pt>
                <c:pt idx="5">
                  <c:v>1.0049729999999999</c:v>
                </c:pt>
                <c:pt idx="6">
                  <c:v>0.94953200000000004</c:v>
                </c:pt>
                <c:pt idx="7">
                  <c:v>0.95081700000000002</c:v>
                </c:pt>
                <c:pt idx="8">
                  <c:v>1.1044560000000001</c:v>
                </c:pt>
                <c:pt idx="9">
                  <c:v>0.98894400000000005</c:v>
                </c:pt>
                <c:pt idx="10">
                  <c:v>0.97464799999999996</c:v>
                </c:pt>
                <c:pt idx="11">
                  <c:v>1.0351999999999999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'26_g'!$S$66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'26_g'!$T$62:$AE$62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'26_g'!$T$66:$AE$66</c:f>
              <c:numCache>
                <c:formatCode>#,##0.00_ ;\-#,##0.00\ </c:formatCode>
                <c:ptCount val="12"/>
                <c:pt idx="0">
                  <c:v>0.85176074000000002</c:v>
                </c:pt>
                <c:pt idx="1">
                  <c:v>0.86519737000000008</c:v>
                </c:pt>
                <c:pt idx="2">
                  <c:v>1.0716020399999997</c:v>
                </c:pt>
                <c:pt idx="3">
                  <c:v>0.75337530000000008</c:v>
                </c:pt>
                <c:pt idx="4">
                  <c:v>0.81855750000000005</c:v>
                </c:pt>
                <c:pt idx="5">
                  <c:v>0.93661327000000005</c:v>
                </c:pt>
                <c:pt idx="6">
                  <c:v>0.85874838999999992</c:v>
                </c:pt>
                <c:pt idx="7">
                  <c:v>0.91677514000000004</c:v>
                </c:pt>
                <c:pt idx="8">
                  <c:v>0.90394242000000002</c:v>
                </c:pt>
                <c:pt idx="9">
                  <c:v>0.89560095000000006</c:v>
                </c:pt>
                <c:pt idx="10">
                  <c:v>0.89696705000000021</c:v>
                </c:pt>
                <c:pt idx="11">
                  <c:v>1.0136323500000002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78976"/>
        <c:axId val="264809280"/>
      </c:lineChart>
      <c:catAx>
        <c:axId val="26527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809280"/>
        <c:crosses val="autoZero"/>
        <c:auto val="1"/>
        <c:lblAlgn val="ctr"/>
        <c:lblOffset val="100"/>
        <c:noMultiLvlLbl val="0"/>
      </c:catAx>
      <c:valAx>
        <c:axId val="2648092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52789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'26_g'!$T$85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'26_g'!$U$85:$AF$85</c:f>
              <c:numCache>
                <c:formatCode>#,##0.00_ ;\-#,##0.00\ </c:formatCode>
                <c:ptCount val="12"/>
                <c:pt idx="0">
                  <c:v>0.87509977000000005</c:v>
                </c:pt>
                <c:pt idx="1">
                  <c:v>1.78708946</c:v>
                </c:pt>
                <c:pt idx="2">
                  <c:v>2.66870612</c:v>
                </c:pt>
                <c:pt idx="3">
                  <c:v>3.5850408699999998</c:v>
                </c:pt>
                <c:pt idx="4">
                  <c:v>4.4957524299999996</c:v>
                </c:pt>
                <c:pt idx="5">
                  <c:v>5.5046870499999994</c:v>
                </c:pt>
                <c:pt idx="6">
                  <c:v>6.4309139699999998</c:v>
                </c:pt>
                <c:pt idx="7">
                  <c:v>7.3036878399999994</c:v>
                </c:pt>
                <c:pt idx="8">
                  <c:v>8.4997445499999991</c:v>
                </c:pt>
                <c:pt idx="9">
                  <c:v>9.4522180899999988</c:v>
                </c:pt>
                <c:pt idx="10">
                  <c:v>10.374505159999998</c:v>
                </c:pt>
                <c:pt idx="11">
                  <c:v>11.398362309999998</c:v>
                </c:pt>
              </c:numCache>
            </c:numRef>
          </c:val>
        </c:ser>
        <c:ser>
          <c:idx val="0"/>
          <c:order val="2"/>
          <c:tx>
            <c:strRef>
              <c:f>'26_g'!$T$87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'26_g'!$U$87:$AF$87</c:f>
              <c:numCache>
                <c:formatCode>#,##0.00_ ;\-#,##0.00\ </c:formatCode>
                <c:ptCount val="12"/>
                <c:pt idx="0">
                  <c:v>0.85176074000000002</c:v>
                </c:pt>
                <c:pt idx="1">
                  <c:v>1.7169581100000002</c:v>
                </c:pt>
                <c:pt idx="2">
                  <c:v>2.7885601499999999</c:v>
                </c:pt>
                <c:pt idx="3">
                  <c:v>3.54193545</c:v>
                </c:pt>
                <c:pt idx="4">
                  <c:v>4.3604929500000003</c:v>
                </c:pt>
                <c:pt idx="5">
                  <c:v>5.2971062199999999</c:v>
                </c:pt>
                <c:pt idx="6">
                  <c:v>6.1558546099999996</c:v>
                </c:pt>
                <c:pt idx="7">
                  <c:v>7.0726297499999999</c:v>
                </c:pt>
                <c:pt idx="8">
                  <c:v>7.9765721699999999</c:v>
                </c:pt>
                <c:pt idx="9">
                  <c:v>8.8721731199999994</c:v>
                </c:pt>
                <c:pt idx="10">
                  <c:v>9.76914017</c:v>
                </c:pt>
                <c:pt idx="11">
                  <c:v>10.78277252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5279488"/>
        <c:axId val="264811584"/>
      </c:barChart>
      <c:lineChart>
        <c:grouping val="standard"/>
        <c:varyColors val="0"/>
        <c:ser>
          <c:idx val="3"/>
          <c:order val="1"/>
          <c:tx>
            <c:strRef>
              <c:f>'26_g'!$T$86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'26_g'!$U$83:$AF$83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'26_g'!$U$86:$AF$86</c:f>
              <c:numCache>
                <c:formatCode>#,##0.00_ ;\-#,##0.00\ </c:formatCode>
                <c:ptCount val="12"/>
                <c:pt idx="0">
                  <c:v>0.95426900000000003</c:v>
                </c:pt>
                <c:pt idx="1">
                  <c:v>1.8746450000000001</c:v>
                </c:pt>
                <c:pt idx="2">
                  <c:v>2.8003580000000001</c:v>
                </c:pt>
                <c:pt idx="3">
                  <c:v>3.7701320000000003</c:v>
                </c:pt>
                <c:pt idx="4">
                  <c:v>4.7480410000000006</c:v>
                </c:pt>
                <c:pt idx="5">
                  <c:v>5.7530140000000003</c:v>
                </c:pt>
                <c:pt idx="6">
                  <c:v>6.7025459999999999</c:v>
                </c:pt>
                <c:pt idx="7">
                  <c:v>7.6533629999999997</c:v>
                </c:pt>
                <c:pt idx="8">
                  <c:v>8.7578189999999996</c:v>
                </c:pt>
                <c:pt idx="9">
                  <c:v>9.7467629999999996</c:v>
                </c:pt>
                <c:pt idx="10">
                  <c:v>10.721411</c:v>
                </c:pt>
                <c:pt idx="11">
                  <c:v>11.756610999999999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79488"/>
        <c:axId val="264811584"/>
      </c:lineChart>
      <c:catAx>
        <c:axId val="2652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811584"/>
        <c:crosses val="autoZero"/>
        <c:auto val="1"/>
        <c:lblAlgn val="ctr"/>
        <c:lblOffset val="100"/>
        <c:noMultiLvlLbl val="0"/>
      </c:catAx>
      <c:valAx>
        <c:axId val="2648115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52794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'26_g'!$AI$64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'26_g'!$AJ$62:$AU$62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'26_g'!$AJ$64:$AU$64</c:f>
              <c:numCache>
                <c:formatCode>#,##0.00_ ;\-#,##0.00\ </c:formatCode>
                <c:ptCount val="12"/>
                <c:pt idx="0">
                  <c:v>0.78598318999999983</c:v>
                </c:pt>
                <c:pt idx="1">
                  <c:v>0.86130888000000039</c:v>
                </c:pt>
                <c:pt idx="2">
                  <c:v>0.76036774999999979</c:v>
                </c:pt>
                <c:pt idx="3">
                  <c:v>0.72730417000000014</c:v>
                </c:pt>
                <c:pt idx="4">
                  <c:v>0.67825339000000007</c:v>
                </c:pt>
                <c:pt idx="5">
                  <c:v>0.65823898000000014</c:v>
                </c:pt>
                <c:pt idx="6">
                  <c:v>1.0641093800000001</c:v>
                </c:pt>
                <c:pt idx="7">
                  <c:v>1.28019244</c:v>
                </c:pt>
                <c:pt idx="8">
                  <c:v>0.74177585999999995</c:v>
                </c:pt>
                <c:pt idx="9">
                  <c:v>0.8759370000000003</c:v>
                </c:pt>
                <c:pt idx="10">
                  <c:v>0.68902387999999992</c:v>
                </c:pt>
                <c:pt idx="11">
                  <c:v>0.60677383000000007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'26_g'!$AI$65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'26_g'!$AJ$62:$AU$62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'26_g'!$AJ$65:$AU$65</c:f>
              <c:numCache>
                <c:formatCode>#,##0.00_ ;\-#,##0.00\ </c:formatCode>
                <c:ptCount val="12"/>
                <c:pt idx="0">
                  <c:v>0.74513999999999991</c:v>
                </c:pt>
                <c:pt idx="1">
                  <c:v>0.78834900000000008</c:v>
                </c:pt>
                <c:pt idx="2">
                  <c:v>0.82745200000000008</c:v>
                </c:pt>
                <c:pt idx="3">
                  <c:v>0.80681799999999992</c:v>
                </c:pt>
                <c:pt idx="4">
                  <c:v>0.74412500000000004</c:v>
                </c:pt>
                <c:pt idx="5">
                  <c:v>0.68589900000000004</c:v>
                </c:pt>
                <c:pt idx="6">
                  <c:v>1.0425339999999998</c:v>
                </c:pt>
                <c:pt idx="7">
                  <c:v>1.2388619999999999</c:v>
                </c:pt>
                <c:pt idx="8">
                  <c:v>0.94921000000000011</c:v>
                </c:pt>
                <c:pt idx="9">
                  <c:v>0.91556199999999999</c:v>
                </c:pt>
                <c:pt idx="10">
                  <c:v>0.75898200000000005</c:v>
                </c:pt>
                <c:pt idx="11">
                  <c:v>0.65386600000000006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'26_g'!$AI$66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'26_g'!$AJ$62:$AU$62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'26_g'!$AJ$66:$AU$66</c:f>
              <c:numCache>
                <c:formatCode>#,##0.00_ ;\-#,##0.00\ </c:formatCode>
                <c:ptCount val="12"/>
                <c:pt idx="0">
                  <c:v>0.85384102999999967</c:v>
                </c:pt>
                <c:pt idx="1">
                  <c:v>0.82339426999999998</c:v>
                </c:pt>
                <c:pt idx="2">
                  <c:v>0.66508397000000041</c:v>
                </c:pt>
                <c:pt idx="3">
                  <c:v>1.0317577799999997</c:v>
                </c:pt>
                <c:pt idx="4">
                  <c:v>0.81364148999999997</c:v>
                </c:pt>
                <c:pt idx="5">
                  <c:v>0.76924523000000011</c:v>
                </c:pt>
                <c:pt idx="6">
                  <c:v>1.20925675</c:v>
                </c:pt>
                <c:pt idx="7">
                  <c:v>1.1021403100000002</c:v>
                </c:pt>
                <c:pt idx="8">
                  <c:v>0.94863977999999982</c:v>
                </c:pt>
                <c:pt idx="9">
                  <c:v>0.90096681999999995</c:v>
                </c:pt>
                <c:pt idx="10">
                  <c:v>0.87975052999999992</c:v>
                </c:pt>
                <c:pt idx="11">
                  <c:v>0.73694322999999984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80512"/>
        <c:axId val="264813888"/>
      </c:lineChart>
      <c:catAx>
        <c:axId val="26528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813888"/>
        <c:crosses val="autoZero"/>
        <c:auto val="1"/>
        <c:lblAlgn val="ctr"/>
        <c:lblOffset val="100"/>
        <c:noMultiLvlLbl val="0"/>
      </c:catAx>
      <c:valAx>
        <c:axId val="2648138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6453135940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52805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0665079138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'26_g'!$AJ$85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'26_g'!$AK$85:$AV$85</c:f>
              <c:numCache>
                <c:formatCode>#,##0.00_ ;\-#,##0.00\ </c:formatCode>
                <c:ptCount val="12"/>
                <c:pt idx="0">
                  <c:v>0.78598318999999983</c:v>
                </c:pt>
                <c:pt idx="1">
                  <c:v>1.6472920700000002</c:v>
                </c:pt>
                <c:pt idx="2">
                  <c:v>2.4076598200000001</c:v>
                </c:pt>
                <c:pt idx="3">
                  <c:v>3.1349639900000001</c:v>
                </c:pt>
                <c:pt idx="4">
                  <c:v>3.8132173800000002</c:v>
                </c:pt>
                <c:pt idx="5">
                  <c:v>4.4714563600000004</c:v>
                </c:pt>
                <c:pt idx="6">
                  <c:v>5.5355657400000009</c:v>
                </c:pt>
                <c:pt idx="7">
                  <c:v>6.8157581800000013</c:v>
                </c:pt>
                <c:pt idx="8">
                  <c:v>7.5575340400000011</c:v>
                </c:pt>
                <c:pt idx="9">
                  <c:v>8.4334710400000006</c:v>
                </c:pt>
                <c:pt idx="10">
                  <c:v>9.1224949200000012</c:v>
                </c:pt>
                <c:pt idx="11">
                  <c:v>9.729268750000001</c:v>
                </c:pt>
              </c:numCache>
            </c:numRef>
          </c:val>
        </c:ser>
        <c:ser>
          <c:idx val="0"/>
          <c:order val="2"/>
          <c:tx>
            <c:strRef>
              <c:f>'26_g'!$AJ$87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'26_g'!$AK$83:$AV$83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'26_g'!$AK$87:$AV$87</c:f>
              <c:numCache>
                <c:formatCode>#,##0.00_ ;\-#,##0.00\ </c:formatCode>
                <c:ptCount val="12"/>
                <c:pt idx="0">
                  <c:v>0.85384102999999967</c:v>
                </c:pt>
                <c:pt idx="1">
                  <c:v>1.6772352999999995</c:v>
                </c:pt>
                <c:pt idx="2">
                  <c:v>2.34231927</c:v>
                </c:pt>
                <c:pt idx="3">
                  <c:v>3.3740770499999995</c:v>
                </c:pt>
                <c:pt idx="4">
                  <c:v>4.1877185399999997</c:v>
                </c:pt>
                <c:pt idx="5">
                  <c:v>4.9569637699999998</c:v>
                </c:pt>
                <c:pt idx="6">
                  <c:v>6.1662205199999995</c:v>
                </c:pt>
                <c:pt idx="7">
                  <c:v>7.2683608299999998</c:v>
                </c:pt>
                <c:pt idx="8">
                  <c:v>8.2170006099999995</c:v>
                </c:pt>
                <c:pt idx="9">
                  <c:v>9.1179674300000002</c:v>
                </c:pt>
                <c:pt idx="10">
                  <c:v>9.9977179599999992</c:v>
                </c:pt>
                <c:pt idx="11">
                  <c:v>10.734661189999999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5281024"/>
        <c:axId val="265021120"/>
      </c:barChart>
      <c:lineChart>
        <c:grouping val="standard"/>
        <c:varyColors val="0"/>
        <c:ser>
          <c:idx val="3"/>
          <c:order val="1"/>
          <c:tx>
            <c:strRef>
              <c:f>'26_g'!$AJ$86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'26_g'!$AK$83:$AV$83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'26_g'!$AK$86:$AV$86</c:f>
              <c:numCache>
                <c:formatCode>#,##0.00_ ;\-#,##0.00\ </c:formatCode>
                <c:ptCount val="12"/>
                <c:pt idx="0">
                  <c:v>0.74513999999999991</c:v>
                </c:pt>
                <c:pt idx="1">
                  <c:v>1.5334889999999999</c:v>
                </c:pt>
                <c:pt idx="2">
                  <c:v>2.360941</c:v>
                </c:pt>
                <c:pt idx="3">
                  <c:v>3.1677589999999998</c:v>
                </c:pt>
                <c:pt idx="4">
                  <c:v>3.9118839999999997</c:v>
                </c:pt>
                <c:pt idx="5">
                  <c:v>4.5977829999999997</c:v>
                </c:pt>
                <c:pt idx="6">
                  <c:v>5.6403169999999996</c:v>
                </c:pt>
                <c:pt idx="7">
                  <c:v>6.8791789999999997</c:v>
                </c:pt>
                <c:pt idx="8">
                  <c:v>7.8283889999999996</c:v>
                </c:pt>
                <c:pt idx="9">
                  <c:v>8.7439509999999991</c:v>
                </c:pt>
                <c:pt idx="10">
                  <c:v>9.5029329999999987</c:v>
                </c:pt>
                <c:pt idx="11">
                  <c:v>10.156798999999999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81024"/>
        <c:axId val="265021120"/>
      </c:lineChart>
      <c:catAx>
        <c:axId val="26528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5021120"/>
        <c:crosses val="autoZero"/>
        <c:auto val="1"/>
        <c:lblAlgn val="ctr"/>
        <c:lblOffset val="100"/>
        <c:noMultiLvlLbl val="0"/>
      </c:catAx>
      <c:valAx>
        <c:axId val="2650211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11323854302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52810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31124077119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'26_g'!$T$21:$U$21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'26_g'!$V$20:$AC$20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'26_g'!$V$21:$AC$21</c:f>
              <c:numCache>
                <c:formatCode>#,##0</c:formatCode>
                <c:ptCount val="8"/>
                <c:pt idx="0">
                  <c:v>49.472727272727269</c:v>
                </c:pt>
                <c:pt idx="1">
                  <c:v>27</c:v>
                </c:pt>
                <c:pt idx="2">
                  <c:v>130.4909090909091</c:v>
                </c:pt>
                <c:pt idx="3">
                  <c:v>72</c:v>
                </c:pt>
                <c:pt idx="4">
                  <c:v>180.52727272727273</c:v>
                </c:pt>
                <c:pt idx="5">
                  <c:v>92</c:v>
                </c:pt>
                <c:pt idx="6">
                  <c:v>221</c:v>
                </c:pt>
                <c:pt idx="7">
                  <c:v>117</c:v>
                </c:pt>
              </c:numCache>
            </c:numRef>
          </c:val>
        </c:ser>
        <c:ser>
          <c:idx val="0"/>
          <c:order val="1"/>
          <c:tx>
            <c:strRef>
              <c:f>'26_g'!$T$22:$U$22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'26_g'!$V$20:$AC$20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'26_g'!$V$22:$AC$22</c:f>
              <c:numCache>
                <c:formatCode>#,##0</c:formatCode>
                <c:ptCount val="8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6</c:v>
                </c:pt>
                <c:pt idx="4">
                  <c:v>17</c:v>
                </c:pt>
                <c:pt idx="5">
                  <c:v>6</c:v>
                </c:pt>
                <c:pt idx="6">
                  <c:v>31</c:v>
                </c:pt>
                <c:pt idx="7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65458176"/>
        <c:axId val="265023424"/>
      </c:barChart>
      <c:catAx>
        <c:axId val="26545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265023424"/>
        <c:crosses val="autoZero"/>
        <c:auto val="1"/>
        <c:lblAlgn val="ctr"/>
        <c:lblOffset val="100"/>
        <c:noMultiLvlLbl val="0"/>
      </c:catAx>
      <c:valAx>
        <c:axId val="265023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65458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('27'!$A$9,'27'!$A$13,'27'!$A$17)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('27'!$B$9,'27'!$B$13,'27'!$B$17)</c:f>
              <c:numCache>
                <c:formatCode>_-* #,##0_-;\-* #,##0_-;_-* "-"??_-;_-@_-</c:formatCode>
                <c:ptCount val="3"/>
                <c:pt idx="0">
                  <c:v>3074</c:v>
                </c:pt>
                <c:pt idx="1">
                  <c:v>472</c:v>
                </c:pt>
                <c:pt idx="2">
                  <c:v>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('27'!$A$9,'27'!$A$13,'27'!$A$17)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('27'!$G$9,'27'!$G$13,'27'!$G$17)</c:f>
              <c:numCache>
                <c:formatCode>_-* #,##0_-;\-* #,##0_-;_-* "-"??_-;_-@_-</c:formatCode>
                <c:ptCount val="3"/>
                <c:pt idx="0">
                  <c:v>3143</c:v>
                </c:pt>
                <c:pt idx="1">
                  <c:v>488</c:v>
                </c:pt>
                <c:pt idx="2">
                  <c:v>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'11_g'!$A$63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'11_g'!$B$61:$M$61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'11_g'!$B$63:$M$63</c:f>
              <c:numCache>
                <c:formatCode>#,##0_ ;\-#,##0\ </c:formatCode>
                <c:ptCount val="12"/>
                <c:pt idx="0">
                  <c:v>59.055283570000007</c:v>
                </c:pt>
                <c:pt idx="1">
                  <c:v>60.275003820000002</c:v>
                </c:pt>
                <c:pt idx="2">
                  <c:v>59.445871980000007</c:v>
                </c:pt>
                <c:pt idx="3">
                  <c:v>61.875669330000008</c:v>
                </c:pt>
                <c:pt idx="4">
                  <c:v>58.790066820000007</c:v>
                </c:pt>
                <c:pt idx="5">
                  <c:v>57.492511749999991</c:v>
                </c:pt>
                <c:pt idx="6">
                  <c:v>66.100349910000006</c:v>
                </c:pt>
                <c:pt idx="7">
                  <c:v>65.775888190000003</c:v>
                </c:pt>
                <c:pt idx="8">
                  <c:v>63.98817871</c:v>
                </c:pt>
                <c:pt idx="9">
                  <c:v>58.608815799999995</c:v>
                </c:pt>
                <c:pt idx="10">
                  <c:v>56.715575080000001</c:v>
                </c:pt>
                <c:pt idx="11">
                  <c:v>61.461736430000009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'11_g'!$A$64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'11_g'!$B$61:$M$61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'11_g'!$B$64:$M$64</c:f>
              <c:numCache>
                <c:formatCode>#,##0_ ;\-#,##0\ </c:formatCode>
                <c:ptCount val="12"/>
                <c:pt idx="0">
                  <c:v>62.361190000000001</c:v>
                </c:pt>
                <c:pt idx="1">
                  <c:v>63.717212000000004</c:v>
                </c:pt>
                <c:pt idx="2">
                  <c:v>63.184066999999999</c:v>
                </c:pt>
                <c:pt idx="3">
                  <c:v>65.684599000000006</c:v>
                </c:pt>
                <c:pt idx="4">
                  <c:v>64.462760000000003</c:v>
                </c:pt>
                <c:pt idx="5">
                  <c:v>62.998054000000003</c:v>
                </c:pt>
                <c:pt idx="6">
                  <c:v>68.917754000000002</c:v>
                </c:pt>
                <c:pt idx="7">
                  <c:v>70.581945000000005</c:v>
                </c:pt>
                <c:pt idx="8">
                  <c:v>69.337795</c:v>
                </c:pt>
                <c:pt idx="9">
                  <c:v>64.881573000000003</c:v>
                </c:pt>
                <c:pt idx="10">
                  <c:v>64.526850999999994</c:v>
                </c:pt>
                <c:pt idx="11">
                  <c:v>67.335757999999998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'11_g'!$A$65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'11_g'!$B$61:$M$61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'11_g'!$B$65:$M$65</c:f>
              <c:numCache>
                <c:formatCode>#,##0_ ;\-#,##0\ </c:formatCode>
                <c:ptCount val="12"/>
                <c:pt idx="0">
                  <c:v>56.988654709999999</c:v>
                </c:pt>
                <c:pt idx="1">
                  <c:v>59.688688999999997</c:v>
                </c:pt>
                <c:pt idx="2">
                  <c:v>60.10699825999999</c:v>
                </c:pt>
                <c:pt idx="3">
                  <c:v>64.271872439999996</c:v>
                </c:pt>
                <c:pt idx="4">
                  <c:v>61.713215699999992</c:v>
                </c:pt>
                <c:pt idx="5">
                  <c:v>60.570544090000006</c:v>
                </c:pt>
                <c:pt idx="6">
                  <c:v>70.411096920000006</c:v>
                </c:pt>
                <c:pt idx="7">
                  <c:v>66.361202419999998</c:v>
                </c:pt>
                <c:pt idx="8">
                  <c:v>62.084894970000008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29376"/>
        <c:axId val="172776768"/>
      </c:lineChart>
      <c:catAx>
        <c:axId val="1730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776768"/>
        <c:crosses val="autoZero"/>
        <c:auto val="1"/>
        <c:lblAlgn val="ctr"/>
        <c:lblOffset val="100"/>
        <c:noMultiLvlLbl val="0"/>
      </c:catAx>
      <c:valAx>
        <c:axId val="1727767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0293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('27'!$A$9,'27'!$A$13,'27'!$A$17)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('27'!$C$9,'27'!$C$13,'27'!$C$17)</c:f>
              <c:numCache>
                <c:formatCode>_(* #,##0.00_);_(* \(#,##0.00\);_(* "-"??_);_(@_)</c:formatCode>
                <c:ptCount val="3"/>
                <c:pt idx="0">
                  <c:v>0.432145</c:v>
                </c:pt>
                <c:pt idx="1">
                  <c:v>0.21665899999999999</c:v>
                </c:pt>
                <c:pt idx="2">
                  <c:v>5.0944999999999997E-2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('27'!$A$9,'27'!$A$13,'27'!$A$17)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('27'!$H$9,'27'!$H$13,'27'!$H$17)</c:f>
              <c:numCache>
                <c:formatCode>_(* #,##0.00_);_(* \(#,##0.00\);_(* "-"??_);_(@_)</c:formatCode>
                <c:ptCount val="3"/>
                <c:pt idx="0">
                  <c:v>0.42145500000000002</c:v>
                </c:pt>
                <c:pt idx="1">
                  <c:v>0.22703200000000001</c:v>
                </c:pt>
                <c:pt idx="2">
                  <c:v>5.4866999999999999E-2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('27'!$A$9,'27'!$A$13,'27'!$A$17)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('27'!$E$9,'27'!$E$13,'27'!$E$17)</c:f>
              <c:numCache>
                <c:formatCode>_(* #,##0.00_);_(* \(#,##0.00\);_(* "-"??_);_(@_)</c:formatCode>
                <c:ptCount val="3"/>
                <c:pt idx="0">
                  <c:v>5.8158949699999996</c:v>
                </c:pt>
                <c:pt idx="1">
                  <c:v>4.5827382500000002</c:v>
                </c:pt>
                <c:pt idx="2">
                  <c:v>1.3550912500000001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('27'!$A$9,'27'!$A$13,'27'!$A$17)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('27'!$J$9,'27'!$J$13,'27'!$J$17)</c:f>
              <c:numCache>
                <c:formatCode>_(* #,##0.00_);_(* \(#,##0.00\);_(* "-"??_);_(@_)</c:formatCode>
                <c:ptCount val="3"/>
                <c:pt idx="0">
                  <c:v>5.6132434899999994</c:v>
                </c:pt>
                <c:pt idx="1">
                  <c:v>4.7694001500000001</c:v>
                </c:pt>
                <c:pt idx="2">
                  <c:v>1.4770583000000002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('27'!$A$9,'27'!$A$13,'27'!$A$17,'27'!$A$20)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('27'!$D$9,'27'!$D$13,'27'!$D$17,'27'!$D$20)</c:f>
              <c:numCache>
                <c:formatCode>_-* #,##0.000_-;\-* #,##0.000_-;_-* "-"??_-;_-@_-</c:formatCode>
                <c:ptCount val="4"/>
                <c:pt idx="0">
                  <c:v>0.39177991532415252</c:v>
                </c:pt>
                <c:pt idx="1">
                  <c:v>1.2302306764142239</c:v>
                </c:pt>
                <c:pt idx="2">
                  <c:v>1.0990184446122317</c:v>
                </c:pt>
                <c:pt idx="3">
                  <c:v>0.52791423597554876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('27'!$A$9,'27'!$A$13,'27'!$A$17,'27'!$A$20)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('27'!$I$9,'27'!$I$13,'27'!$I$17,'27'!$I$20)</c:f>
              <c:numCache>
                <c:formatCode>_-* #,##0.000_-;\-* #,##0.000_-;_-* "-"??_-;_-@_-</c:formatCode>
                <c:ptCount val="4"/>
                <c:pt idx="0">
                  <c:v>0.37145608263687063</c:v>
                </c:pt>
                <c:pt idx="1">
                  <c:v>1.2958447488584475</c:v>
                </c:pt>
                <c:pt idx="2">
                  <c:v>1.2372061559276171</c:v>
                </c:pt>
                <c:pt idx="3">
                  <c:v>0.51940626961562597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65820160"/>
        <c:axId val="266114112"/>
      </c:barChart>
      <c:catAx>
        <c:axId val="26582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114112"/>
        <c:crosses val="autoZero"/>
        <c:auto val="1"/>
        <c:lblAlgn val="ctr"/>
        <c:lblOffset val="100"/>
        <c:noMultiLvlLbl val="0"/>
      </c:catAx>
      <c:valAx>
        <c:axId val="2661141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5820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70430124805827"/>
          <c:y val="1.305774278215223E-3"/>
          <c:w val="9.8336922170442986E-2"/>
          <c:h val="0.1739180519101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('27'!$A$9,'27'!$A$13,'27'!$A$17,'27'!$A$20)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('27'!$F$9,'27'!$F$13,'27'!$F$17,'27'!$F$20)</c:f>
              <c:numCache>
                <c:formatCode>_(* #,##0.00_);_(* \(#,##0.00\);_(* "-"??_);_(@_)</c:formatCode>
                <c:ptCount val="4"/>
                <c:pt idx="0">
                  <c:v>13.458202617177104</c:v>
                </c:pt>
                <c:pt idx="1">
                  <c:v>21.151848065393086</c:v>
                </c:pt>
                <c:pt idx="2">
                  <c:v>26.599101972715676</c:v>
                </c:pt>
                <c:pt idx="3">
                  <c:v>16.797057902190641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('27'!$A$9,'27'!$A$13,'27'!$A$17,'27'!$A$20)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('27'!$K$9,'27'!$K$13,'27'!$K$17,'27'!$K$20)</c:f>
              <c:numCache>
                <c:formatCode>_(* #,##0.00_);_(* \(#,##0.00\);_(* "-"??_);_(@_)</c:formatCode>
                <c:ptCount val="4"/>
                <c:pt idx="0">
                  <c:v>13.318725581616066</c:v>
                </c:pt>
                <c:pt idx="1">
                  <c:v>21.007611922548364</c:v>
                </c:pt>
                <c:pt idx="2">
                  <c:v>26.920704612973193</c:v>
                </c:pt>
                <c:pt idx="3">
                  <c:v>16.861639999203813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65821696"/>
        <c:axId val="266115840"/>
      </c:barChart>
      <c:catAx>
        <c:axId val="2658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115840"/>
        <c:crosses val="autoZero"/>
        <c:auto val="1"/>
        <c:lblAlgn val="ctr"/>
        <c:lblOffset val="100"/>
        <c:noMultiLvlLbl val="0"/>
      </c:catAx>
      <c:valAx>
        <c:axId val="2661158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5821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982076467245718"/>
          <c:y val="1.5194663167104112E-2"/>
          <c:w val="0.1035125145439294"/>
          <c:h val="0.1674343832020997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'27_g'!$A$18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'27_g'!$B$16:$M$16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'27_g'!$B$18:$M$18</c:f>
              <c:numCache>
                <c:formatCode>#,##0_ ;\-#,##0\ 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3</c:v>
                </c:pt>
                <c:pt idx="4">
                  <c:v>8</c:v>
                </c:pt>
                <c:pt idx="5">
                  <c:v>27</c:v>
                </c:pt>
                <c:pt idx="6">
                  <c:v>23</c:v>
                </c:pt>
                <c:pt idx="7">
                  <c:v>22</c:v>
                </c:pt>
                <c:pt idx="8">
                  <c:v>12</c:v>
                </c:pt>
                <c:pt idx="9">
                  <c:v>8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'27_g'!$A$19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'27_g'!$B$16:$M$16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'27_g'!$B$19:$M$19</c:f>
              <c:numCache>
                <c:formatCode>#,##0_ ;\-#,##0\ </c:formatCode>
                <c:ptCount val="12"/>
                <c:pt idx="0">
                  <c:v>11.803278688524591</c:v>
                </c:pt>
                <c:pt idx="1">
                  <c:v>7.3770491803278695</c:v>
                </c:pt>
                <c:pt idx="2">
                  <c:v>6.1967213114754101</c:v>
                </c:pt>
                <c:pt idx="3">
                  <c:v>4.1311475409836067</c:v>
                </c:pt>
                <c:pt idx="4">
                  <c:v>5.3114754098360653</c:v>
                </c:pt>
                <c:pt idx="5">
                  <c:v>17.114754098360653</c:v>
                </c:pt>
                <c:pt idx="6">
                  <c:v>11.803278688524591</c:v>
                </c:pt>
                <c:pt idx="7">
                  <c:v>15.639344262295085</c:v>
                </c:pt>
                <c:pt idx="8">
                  <c:v>9.1475409836065591</c:v>
                </c:pt>
                <c:pt idx="9">
                  <c:v>8.8524590163934427</c:v>
                </c:pt>
                <c:pt idx="10">
                  <c:v>5.9016393442622954</c:v>
                </c:pt>
                <c:pt idx="11">
                  <c:v>4.721311475409836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'27_g'!$A$20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'27_g'!$B$16:$M$16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'27_g'!$B$20:$M$20</c:f>
              <c:numCache>
                <c:formatCode>#,##0_ ;\-#,##0\ 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11</c:v>
                </c:pt>
                <c:pt idx="5">
                  <c:v>27</c:v>
                </c:pt>
                <c:pt idx="6">
                  <c:v>14</c:v>
                </c:pt>
                <c:pt idx="7">
                  <c:v>6</c:v>
                </c:pt>
                <c:pt idx="8">
                  <c:v>11</c:v>
                </c:pt>
                <c:pt idx="9">
                  <c:v>4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55552"/>
        <c:axId val="266388032"/>
      </c:lineChart>
      <c:catAx>
        <c:axId val="2664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388032"/>
        <c:crosses val="autoZero"/>
        <c:auto val="1"/>
        <c:lblAlgn val="ctr"/>
        <c:lblOffset val="100"/>
        <c:noMultiLvlLbl val="0"/>
      </c:catAx>
      <c:valAx>
        <c:axId val="2663880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4555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'27_g'!$B$39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'27_g'!$C$39:$N$39</c:f>
              <c:numCache>
                <c:formatCode>#,##0_ ;\-#,##0\ </c:formatCode>
                <c:ptCount val="12"/>
                <c:pt idx="0">
                  <c:v>5</c:v>
                </c:pt>
                <c:pt idx="1">
                  <c:v>11</c:v>
                </c:pt>
                <c:pt idx="2">
                  <c:v>16</c:v>
                </c:pt>
                <c:pt idx="3">
                  <c:v>19</c:v>
                </c:pt>
                <c:pt idx="4">
                  <c:v>27</c:v>
                </c:pt>
                <c:pt idx="5">
                  <c:v>54</c:v>
                </c:pt>
                <c:pt idx="6">
                  <c:v>77</c:v>
                </c:pt>
                <c:pt idx="7">
                  <c:v>99</c:v>
                </c:pt>
                <c:pt idx="8">
                  <c:v>111</c:v>
                </c:pt>
                <c:pt idx="9">
                  <c:v>119</c:v>
                </c:pt>
                <c:pt idx="10">
                  <c:v>124</c:v>
                </c:pt>
                <c:pt idx="11">
                  <c:v>127</c:v>
                </c:pt>
              </c:numCache>
            </c:numRef>
          </c:val>
        </c:ser>
        <c:ser>
          <c:idx val="0"/>
          <c:order val="2"/>
          <c:tx>
            <c:strRef>
              <c:f>'27_g'!$B$41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'27_g'!$C$41:$N$41</c:f>
              <c:numCache>
                <c:formatCode>#,##0_ ;\-#,##0\ </c:formatCode>
                <c:ptCount val="12"/>
                <c:pt idx="0">
                  <c:v>7</c:v>
                </c:pt>
                <c:pt idx="1">
                  <c:v>10</c:v>
                </c:pt>
                <c:pt idx="2">
                  <c:v>15</c:v>
                </c:pt>
                <c:pt idx="3">
                  <c:v>21</c:v>
                </c:pt>
                <c:pt idx="4">
                  <c:v>32</c:v>
                </c:pt>
                <c:pt idx="5">
                  <c:v>59</c:v>
                </c:pt>
                <c:pt idx="6">
                  <c:v>73</c:v>
                </c:pt>
                <c:pt idx="7">
                  <c:v>79</c:v>
                </c:pt>
                <c:pt idx="8">
                  <c:v>90</c:v>
                </c:pt>
                <c:pt idx="9">
                  <c:v>94</c:v>
                </c:pt>
                <c:pt idx="10">
                  <c:v>97</c:v>
                </c:pt>
                <c:pt idx="11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4081408"/>
        <c:axId val="266390336"/>
      </c:barChart>
      <c:lineChart>
        <c:grouping val="standard"/>
        <c:varyColors val="0"/>
        <c:ser>
          <c:idx val="3"/>
          <c:order val="1"/>
          <c:tx>
            <c:strRef>
              <c:f>'27_g'!$B$40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'27_g'!$C$37:$N$37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'27_g'!$C$40:$N$40</c:f>
              <c:numCache>
                <c:formatCode>#,##0_ ;\-#,##0\ </c:formatCode>
                <c:ptCount val="12"/>
                <c:pt idx="0">
                  <c:v>11.803278688524591</c:v>
                </c:pt>
                <c:pt idx="1">
                  <c:v>19.180327868852459</c:v>
                </c:pt>
                <c:pt idx="2">
                  <c:v>25.377049180327869</c:v>
                </c:pt>
                <c:pt idx="3">
                  <c:v>29.508196721311478</c:v>
                </c:pt>
                <c:pt idx="4">
                  <c:v>34.819672131147541</c:v>
                </c:pt>
                <c:pt idx="5">
                  <c:v>51.93442622950819</c:v>
                </c:pt>
                <c:pt idx="6">
                  <c:v>63.737704918032783</c:v>
                </c:pt>
                <c:pt idx="7">
                  <c:v>79.377049180327873</c:v>
                </c:pt>
                <c:pt idx="8">
                  <c:v>88.524590163934434</c:v>
                </c:pt>
                <c:pt idx="9">
                  <c:v>97.377049180327873</c:v>
                </c:pt>
                <c:pt idx="10">
                  <c:v>103.27868852459017</c:v>
                </c:pt>
                <c:pt idx="11">
                  <c:v>108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81408"/>
        <c:axId val="266390336"/>
      </c:lineChart>
      <c:catAx>
        <c:axId val="26408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390336"/>
        <c:crosses val="autoZero"/>
        <c:auto val="1"/>
        <c:lblAlgn val="ctr"/>
        <c:lblOffset val="100"/>
        <c:noMultiLvlLbl val="0"/>
      </c:catAx>
      <c:valAx>
        <c:axId val="2663903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0814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'27_g'!$AI$18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'27_g'!$AJ$16:$AU$16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'27_g'!$AJ$18:$AU$18</c:f>
              <c:numCache>
                <c:formatCode>#,##0.000_ ;\-#,##0.000\ </c:formatCode>
                <c:ptCount val="12"/>
                <c:pt idx="0">
                  <c:v>5.4497999999999998E-2</c:v>
                </c:pt>
                <c:pt idx="1">
                  <c:v>5.4977999999999999E-2</c:v>
                </c:pt>
                <c:pt idx="2">
                  <c:v>5.8288E-2</c:v>
                </c:pt>
                <c:pt idx="3">
                  <c:v>5.3741999999999998E-2</c:v>
                </c:pt>
                <c:pt idx="4">
                  <c:v>5.3290999999999998E-2</c:v>
                </c:pt>
                <c:pt idx="5">
                  <c:v>5.6047E-2</c:v>
                </c:pt>
                <c:pt idx="6">
                  <c:v>6.5326999999999996E-2</c:v>
                </c:pt>
                <c:pt idx="7">
                  <c:v>7.7482999999999996E-2</c:v>
                </c:pt>
                <c:pt idx="8">
                  <c:v>6.1814000000000001E-2</c:v>
                </c:pt>
                <c:pt idx="9">
                  <c:v>5.7622E-2</c:v>
                </c:pt>
                <c:pt idx="10">
                  <c:v>4.9442E-2</c:v>
                </c:pt>
                <c:pt idx="11">
                  <c:v>5.8529999999999999E-2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'27_g'!$AI$19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'27_g'!$AJ$16:$AU$16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'27_g'!$AJ$19:$AU$19</c:f>
              <c:numCache>
                <c:formatCode>#,##0.000_ ;\-#,##0.000\ </c:formatCode>
                <c:ptCount val="12"/>
                <c:pt idx="0">
                  <c:v>5.7237999999999997E-2</c:v>
                </c:pt>
                <c:pt idx="1">
                  <c:v>5.6757000000000002E-2</c:v>
                </c:pt>
                <c:pt idx="2">
                  <c:v>5.8178000000000001E-2</c:v>
                </c:pt>
                <c:pt idx="3">
                  <c:v>5.8956000000000001E-2</c:v>
                </c:pt>
                <c:pt idx="4">
                  <c:v>5.2217E-2</c:v>
                </c:pt>
                <c:pt idx="5">
                  <c:v>5.6793000000000003E-2</c:v>
                </c:pt>
                <c:pt idx="6">
                  <c:v>6.6399E-2</c:v>
                </c:pt>
                <c:pt idx="7">
                  <c:v>6.9336999999999996E-2</c:v>
                </c:pt>
                <c:pt idx="8">
                  <c:v>6.2893000000000004E-2</c:v>
                </c:pt>
                <c:pt idx="9">
                  <c:v>5.7016999999999998E-2</c:v>
                </c:pt>
                <c:pt idx="10">
                  <c:v>5.5386999999999999E-2</c:v>
                </c:pt>
                <c:pt idx="11">
                  <c:v>6.1108000000000003E-2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'27_g'!$AI$20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'27_g'!$AJ$16:$AU$16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'27_g'!$AJ$20:$AU$20</c:f>
              <c:numCache>
                <c:formatCode>#,##0.000_ ;\-#,##0.000\ </c:formatCode>
                <c:ptCount val="12"/>
                <c:pt idx="0">
                  <c:v>5.5336999999999997E-2</c:v>
                </c:pt>
                <c:pt idx="1">
                  <c:v>5.6029000000000002E-2</c:v>
                </c:pt>
                <c:pt idx="2">
                  <c:v>5.6563000000000002E-2</c:v>
                </c:pt>
                <c:pt idx="3">
                  <c:v>5.8418999999999999E-2</c:v>
                </c:pt>
                <c:pt idx="4">
                  <c:v>5.5750000000000001E-2</c:v>
                </c:pt>
                <c:pt idx="5">
                  <c:v>5.6078000000000003E-2</c:v>
                </c:pt>
                <c:pt idx="6">
                  <c:v>6.5298999999999996E-2</c:v>
                </c:pt>
                <c:pt idx="7">
                  <c:v>6.5780000000000005E-2</c:v>
                </c:pt>
                <c:pt idx="8">
                  <c:v>6.0471999999999998E-2</c:v>
                </c:pt>
                <c:pt idx="9">
                  <c:v>5.7937000000000002E-2</c:v>
                </c:pt>
                <c:pt idx="10">
                  <c:v>5.7443000000000001E-2</c:v>
                </c:pt>
                <c:pt idx="11">
                  <c:v>5.8842999999999999E-2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82432"/>
        <c:axId val="266392640"/>
      </c:lineChart>
      <c:catAx>
        <c:axId val="2640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392640"/>
        <c:crosses val="autoZero"/>
        <c:auto val="1"/>
        <c:lblAlgn val="ctr"/>
        <c:lblOffset val="100"/>
        <c:noMultiLvlLbl val="0"/>
      </c:catAx>
      <c:valAx>
        <c:axId val="2663926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9044762518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0824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833734373"/>
          <c:y val="2.2161373086791118E-2"/>
          <c:w val="0.3512889511479644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'27_g'!$AJ$39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'27_g'!$AK$39:$AV$39</c:f>
              <c:numCache>
                <c:formatCode>#,##0.000_ ;\-#,##0.000\ </c:formatCode>
                <c:ptCount val="12"/>
                <c:pt idx="0">
                  <c:v>5.4497999999999998E-2</c:v>
                </c:pt>
                <c:pt idx="1">
                  <c:v>0.10947599999999999</c:v>
                </c:pt>
                <c:pt idx="2">
                  <c:v>0.167764</c:v>
                </c:pt>
                <c:pt idx="3">
                  <c:v>0.22150599999999998</c:v>
                </c:pt>
                <c:pt idx="4">
                  <c:v>0.27479699999999996</c:v>
                </c:pt>
                <c:pt idx="5">
                  <c:v>0.33084399999999997</c:v>
                </c:pt>
                <c:pt idx="6">
                  <c:v>0.39617099999999994</c:v>
                </c:pt>
                <c:pt idx="7">
                  <c:v>0.47365399999999991</c:v>
                </c:pt>
                <c:pt idx="8">
                  <c:v>0.53546799999999994</c:v>
                </c:pt>
                <c:pt idx="9">
                  <c:v>0.5930899999999999</c:v>
                </c:pt>
                <c:pt idx="10">
                  <c:v>0.64253199999999988</c:v>
                </c:pt>
                <c:pt idx="11">
                  <c:v>0.70106199999999985</c:v>
                </c:pt>
              </c:numCache>
            </c:numRef>
          </c:val>
        </c:ser>
        <c:ser>
          <c:idx val="0"/>
          <c:order val="2"/>
          <c:tx>
            <c:strRef>
              <c:f>'27_g'!$AJ$41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'27_g'!$AK$41:$AV$41</c:f>
              <c:numCache>
                <c:formatCode>#,##0.000_ ;\-#,##0.000\ </c:formatCode>
                <c:ptCount val="12"/>
                <c:pt idx="0">
                  <c:v>5.5336999999999997E-2</c:v>
                </c:pt>
                <c:pt idx="1">
                  <c:v>0.11136599999999999</c:v>
                </c:pt>
                <c:pt idx="2">
                  <c:v>0.16792899999999999</c:v>
                </c:pt>
                <c:pt idx="3">
                  <c:v>0.22634799999999999</c:v>
                </c:pt>
                <c:pt idx="4">
                  <c:v>0.28209800000000002</c:v>
                </c:pt>
                <c:pt idx="5">
                  <c:v>0.33817600000000003</c:v>
                </c:pt>
                <c:pt idx="6">
                  <c:v>0.40347500000000003</c:v>
                </c:pt>
                <c:pt idx="7">
                  <c:v>0.46925500000000003</c:v>
                </c:pt>
                <c:pt idx="8">
                  <c:v>0.52972700000000006</c:v>
                </c:pt>
                <c:pt idx="9">
                  <c:v>0.58766400000000008</c:v>
                </c:pt>
                <c:pt idx="10">
                  <c:v>0.6451070000000001</c:v>
                </c:pt>
                <c:pt idx="11">
                  <c:v>0.70395000000000008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6711552"/>
        <c:axId val="266394944"/>
      </c:barChart>
      <c:lineChart>
        <c:grouping val="standard"/>
        <c:varyColors val="0"/>
        <c:ser>
          <c:idx val="3"/>
          <c:order val="1"/>
          <c:tx>
            <c:strRef>
              <c:f>'27_g'!$AJ$40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'27_g'!$AK$37:$AV$37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'27_g'!$AK$40:$AV$40</c:f>
              <c:numCache>
                <c:formatCode>#,##0.000_ ;\-#,##0.000\ </c:formatCode>
                <c:ptCount val="12"/>
                <c:pt idx="0">
                  <c:v>5.7237999999999997E-2</c:v>
                </c:pt>
                <c:pt idx="1">
                  <c:v>0.113995</c:v>
                </c:pt>
                <c:pt idx="2">
                  <c:v>0.17217299999999999</c:v>
                </c:pt>
                <c:pt idx="3">
                  <c:v>0.231129</c:v>
                </c:pt>
                <c:pt idx="4">
                  <c:v>0.28334599999999999</c:v>
                </c:pt>
                <c:pt idx="5">
                  <c:v>0.34013899999999997</c:v>
                </c:pt>
                <c:pt idx="6">
                  <c:v>0.40653799999999995</c:v>
                </c:pt>
                <c:pt idx="7">
                  <c:v>0.47587499999999994</c:v>
                </c:pt>
                <c:pt idx="8">
                  <c:v>0.53876799999999991</c:v>
                </c:pt>
                <c:pt idx="9">
                  <c:v>0.5957849999999999</c:v>
                </c:pt>
                <c:pt idx="10">
                  <c:v>0.65117199999999986</c:v>
                </c:pt>
                <c:pt idx="11">
                  <c:v>0.71227999999999991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11552"/>
        <c:axId val="266394944"/>
      </c:lineChart>
      <c:catAx>
        <c:axId val="26671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394944"/>
        <c:crosses val="autoZero"/>
        <c:auto val="1"/>
        <c:lblAlgn val="ctr"/>
        <c:lblOffset val="100"/>
        <c:noMultiLvlLbl val="0"/>
      </c:catAx>
      <c:valAx>
        <c:axId val="2663949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73193151143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7115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39916729384"/>
          <c:y val="2.2161373086791118E-2"/>
          <c:w val="0.33180960083270616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'11_g'!$B$84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'11_g'!$C$82:$N$82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'11_g'!$C$84:$N$84</c:f>
              <c:numCache>
                <c:formatCode>#,##0_ ;\-#,##0\ </c:formatCode>
                <c:ptCount val="12"/>
                <c:pt idx="0">
                  <c:v>59.055283570000007</c:v>
                </c:pt>
                <c:pt idx="1">
                  <c:v>119.33028739000001</c:v>
                </c:pt>
                <c:pt idx="2">
                  <c:v>178.77615937000002</c:v>
                </c:pt>
                <c:pt idx="3">
                  <c:v>240.65182870000001</c:v>
                </c:pt>
                <c:pt idx="4">
                  <c:v>299.44189552</c:v>
                </c:pt>
                <c:pt idx="5">
                  <c:v>356.93440727000001</c:v>
                </c:pt>
                <c:pt idx="6">
                  <c:v>423.03475718000004</c:v>
                </c:pt>
                <c:pt idx="7">
                  <c:v>488.81064537000003</c:v>
                </c:pt>
                <c:pt idx="8">
                  <c:v>552.79882408000003</c:v>
                </c:pt>
                <c:pt idx="9">
                  <c:v>611.40763988000003</c:v>
                </c:pt>
                <c:pt idx="10">
                  <c:v>668.12321496000004</c:v>
                </c:pt>
                <c:pt idx="11">
                  <c:v>729.58495139000001</c:v>
                </c:pt>
              </c:numCache>
            </c:numRef>
          </c:val>
        </c:ser>
        <c:ser>
          <c:idx val="0"/>
          <c:order val="2"/>
          <c:tx>
            <c:strRef>
              <c:f>'11_g'!$B$86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'11_g'!$C$82:$N$82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'11_g'!$C$86:$N$86</c:f>
              <c:numCache>
                <c:formatCode>#,##0_ ;\-#,##0\ </c:formatCode>
                <c:ptCount val="12"/>
                <c:pt idx="0">
                  <c:v>56.988654709999999</c:v>
                </c:pt>
                <c:pt idx="1">
                  <c:v>116.67734371</c:v>
                </c:pt>
                <c:pt idx="2">
                  <c:v>176.78434196999999</c:v>
                </c:pt>
                <c:pt idx="3">
                  <c:v>241.05621441</c:v>
                </c:pt>
                <c:pt idx="4">
                  <c:v>302.76943010999997</c:v>
                </c:pt>
                <c:pt idx="5">
                  <c:v>363.33997419999997</c:v>
                </c:pt>
                <c:pt idx="6">
                  <c:v>433.75107112000001</c:v>
                </c:pt>
                <c:pt idx="7">
                  <c:v>500.11227353999999</c:v>
                </c:pt>
                <c:pt idx="8">
                  <c:v>562.19716850999998</c:v>
                </c:pt>
                <c:pt idx="9">
                  <c:v>562.19716850999998</c:v>
                </c:pt>
                <c:pt idx="10">
                  <c:v>562.19716850999998</c:v>
                </c:pt>
                <c:pt idx="11">
                  <c:v>562.19716850999998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3029888"/>
        <c:axId val="172902080"/>
      </c:barChart>
      <c:lineChart>
        <c:grouping val="standard"/>
        <c:varyColors val="0"/>
        <c:ser>
          <c:idx val="3"/>
          <c:order val="1"/>
          <c:tx>
            <c:strRef>
              <c:f>'11_g'!$B$85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'11_g'!$C$82:$N$82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'11_g'!$C$85:$N$85</c:f>
              <c:numCache>
                <c:formatCode>#,##0_ ;\-#,##0\ </c:formatCode>
                <c:ptCount val="12"/>
                <c:pt idx="0">
                  <c:v>62.361190000000001</c:v>
                </c:pt>
                <c:pt idx="1">
                  <c:v>126.07840200000001</c:v>
                </c:pt>
                <c:pt idx="2">
                  <c:v>189.26246900000001</c:v>
                </c:pt>
                <c:pt idx="3">
                  <c:v>254.947068</c:v>
                </c:pt>
                <c:pt idx="4">
                  <c:v>319.409828</c:v>
                </c:pt>
                <c:pt idx="5">
                  <c:v>382.40788200000003</c:v>
                </c:pt>
                <c:pt idx="6">
                  <c:v>451.32563600000003</c:v>
                </c:pt>
                <c:pt idx="7">
                  <c:v>521.90758100000005</c:v>
                </c:pt>
                <c:pt idx="8">
                  <c:v>591.24537600000008</c:v>
                </c:pt>
                <c:pt idx="9">
                  <c:v>656.12694900000008</c:v>
                </c:pt>
                <c:pt idx="10">
                  <c:v>720.65380000000005</c:v>
                </c:pt>
                <c:pt idx="11">
                  <c:v>787.98955799999999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29888"/>
        <c:axId val="172902080"/>
      </c:lineChart>
      <c:catAx>
        <c:axId val="17302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902080"/>
        <c:crosses val="autoZero"/>
        <c:auto val="1"/>
        <c:lblAlgn val="ctr"/>
        <c:lblOffset val="100"/>
        <c:noMultiLvlLbl val="0"/>
      </c:catAx>
      <c:valAx>
        <c:axId val="1729020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0298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'27_g'!$AY$18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'27_g'!$AZ$16:$BK$16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'27_g'!$AZ$18:$BK$18</c:f>
              <c:numCache>
                <c:formatCode>#,##0.000_ ;\-#,##0.000\ </c:formatCode>
                <c:ptCount val="12"/>
                <c:pt idx="0">
                  <c:v>2.0126000000000002E-2</c:v>
                </c:pt>
                <c:pt idx="1">
                  <c:v>2.1226999999999999E-2</c:v>
                </c:pt>
                <c:pt idx="2">
                  <c:v>2.0448000000000001E-2</c:v>
                </c:pt>
                <c:pt idx="3">
                  <c:v>1.6896000000000001E-2</c:v>
                </c:pt>
                <c:pt idx="4">
                  <c:v>1.6900999999999999E-2</c:v>
                </c:pt>
                <c:pt idx="5">
                  <c:v>1.8565000000000002E-2</c:v>
                </c:pt>
                <c:pt idx="6">
                  <c:v>2.2334E-2</c:v>
                </c:pt>
                <c:pt idx="7">
                  <c:v>1.6147999999999999E-2</c:v>
                </c:pt>
                <c:pt idx="8">
                  <c:v>1.6146000000000001E-2</c:v>
                </c:pt>
                <c:pt idx="9">
                  <c:v>1.9275E-2</c:v>
                </c:pt>
                <c:pt idx="10">
                  <c:v>1.7881000000000001E-2</c:v>
                </c:pt>
                <c:pt idx="11">
                  <c:v>1.6247000000000001E-2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'27_g'!$AY$19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'27_g'!$AZ$16:$BK$16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'27_g'!$AZ$19:$BK$19</c:f>
              <c:numCache>
                <c:formatCode>#,##0.000_ ;\-#,##0.000\ </c:formatCode>
                <c:ptCount val="12"/>
                <c:pt idx="0">
                  <c:v>1.9133000000000001E-2</c:v>
                </c:pt>
                <c:pt idx="1">
                  <c:v>1.9075999999999999E-2</c:v>
                </c:pt>
                <c:pt idx="2">
                  <c:v>1.7861999999999999E-2</c:v>
                </c:pt>
                <c:pt idx="3">
                  <c:v>1.7167999999999999E-2</c:v>
                </c:pt>
                <c:pt idx="4">
                  <c:v>1.6840999999999998E-2</c:v>
                </c:pt>
                <c:pt idx="5">
                  <c:v>1.9997000000000001E-2</c:v>
                </c:pt>
                <c:pt idx="6">
                  <c:v>1.6188000000000001E-2</c:v>
                </c:pt>
                <c:pt idx="7">
                  <c:v>1.3721000000000001E-2</c:v>
                </c:pt>
                <c:pt idx="8">
                  <c:v>1.4612999999999999E-2</c:v>
                </c:pt>
                <c:pt idx="9">
                  <c:v>1.6629000000000001E-2</c:v>
                </c:pt>
                <c:pt idx="10">
                  <c:v>1.5629000000000001E-2</c:v>
                </c:pt>
                <c:pt idx="11">
                  <c:v>1.4045999999999999E-2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'27_g'!$AY$20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'27_g'!$AZ$16:$BK$16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'27_g'!$AZ$20:$BK$20</c:f>
              <c:numCache>
                <c:formatCode>#,##0.000_ ;\-#,##0.000\ </c:formatCode>
                <c:ptCount val="12"/>
                <c:pt idx="0">
                  <c:v>1.3301380000000005E-2</c:v>
                </c:pt>
                <c:pt idx="1">
                  <c:v>9.4727799999999984E-3</c:v>
                </c:pt>
                <c:pt idx="2">
                  <c:v>1.1817709999999992E-2</c:v>
                </c:pt>
                <c:pt idx="3">
                  <c:v>1.2001240000000005E-2</c:v>
                </c:pt>
                <c:pt idx="4">
                  <c:v>1.1642089999999997E-2</c:v>
                </c:pt>
                <c:pt idx="5">
                  <c:v>2.2228000000000001E-2</c:v>
                </c:pt>
                <c:pt idx="6">
                  <c:v>1.4808999999999999E-2</c:v>
                </c:pt>
                <c:pt idx="7">
                  <c:v>1.6775000000000002E-2</c:v>
                </c:pt>
                <c:pt idx="8">
                  <c:v>1.1346E-2</c:v>
                </c:pt>
                <c:pt idx="9">
                  <c:v>1.6874E-2</c:v>
                </c:pt>
                <c:pt idx="10">
                  <c:v>1.6924999999999999E-2</c:v>
                </c:pt>
                <c:pt idx="11">
                  <c:v>1.7128000000000001E-2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82944"/>
        <c:axId val="266495680"/>
      </c:lineChart>
      <c:catAx>
        <c:axId val="26408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495680"/>
        <c:crosses val="autoZero"/>
        <c:auto val="1"/>
        <c:lblAlgn val="ctr"/>
        <c:lblOffset val="100"/>
        <c:noMultiLvlLbl val="0"/>
      </c:catAx>
      <c:valAx>
        <c:axId val="2664956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66321255298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0829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3832892094"/>
          <c:y val="2.2161373086791118E-2"/>
          <c:w val="0.3530096616710789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'27_g'!$AY$39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'27_g'!$AZ$37:$BO$37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'27_g'!$AZ$39:$BO$39</c:f>
              <c:numCache>
                <c:formatCode>_(* #,##0.00_);_(* \(#,##0.00\);_(* "-"??_);_(@_)</c:formatCode>
                <c:ptCount val="16"/>
                <c:pt idx="0">
                  <c:v>26.9698756432247</c:v>
                </c:pt>
                <c:pt idx="1">
                  <c:v>27.849280382046942</c:v>
                </c:pt>
                <c:pt idx="2">
                  <c:v>25.961758208273022</c:v>
                </c:pt>
                <c:pt idx="3">
                  <c:v>26.915991237200959</c:v>
                </c:pt>
                <c:pt idx="4">
                  <c:v>23.915751330540143</c:v>
                </c:pt>
                <c:pt idx="5">
                  <c:v>24.071726652518834</c:v>
                </c:pt>
                <c:pt idx="6">
                  <c:v>24.86239637878159</c:v>
                </c:pt>
                <c:pt idx="7">
                  <c:v>25.646711012564673</c:v>
                </c:pt>
                <c:pt idx="8">
                  <c:v>25.449821666647676</c:v>
                </c:pt>
                <c:pt idx="9">
                  <c:v>17.242373442388391</c:v>
                </c:pt>
                <c:pt idx="10">
                  <c:v>20.704778025698239</c:v>
                </c:pt>
                <c:pt idx="11">
                  <c:v>23.95799179309865</c:v>
                </c:pt>
                <c:pt idx="12">
                  <c:v>25.065997373109482</c:v>
                </c:pt>
                <c:pt idx="13">
                  <c:v>26.560016636216449</c:v>
                </c:pt>
                <c:pt idx="14">
                  <c:v>21.727269080064726</c:v>
                </c:pt>
                <c:pt idx="15">
                  <c:v>24.059311811470387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'27_g'!$AY$40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'27_g'!$AZ$37:$BO$37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'27_g'!$AZ$40:$BO$40</c:f>
              <c:numCache>
                <c:formatCode>_(* #,##0.00_);_(* \(#,##0.00\);_(* "-"??_);_(@_)</c:formatCode>
                <c:ptCount val="16"/>
                <c:pt idx="0">
                  <c:v>22.000372325280885</c:v>
                </c:pt>
                <c:pt idx="1">
                  <c:v>22.000372325280885</c:v>
                </c:pt>
                <c:pt idx="2">
                  <c:v>22.000372325280885</c:v>
                </c:pt>
                <c:pt idx="3">
                  <c:v>22.000372325280885</c:v>
                </c:pt>
                <c:pt idx="4">
                  <c:v>22.000372325280885</c:v>
                </c:pt>
                <c:pt idx="5">
                  <c:v>22.000372325280885</c:v>
                </c:pt>
                <c:pt idx="6">
                  <c:v>22.000372325280885</c:v>
                </c:pt>
                <c:pt idx="7">
                  <c:v>22.000372325280885</c:v>
                </c:pt>
                <c:pt idx="8">
                  <c:v>22.000372325280885</c:v>
                </c:pt>
                <c:pt idx="9">
                  <c:v>22.000372325280885</c:v>
                </c:pt>
                <c:pt idx="10">
                  <c:v>22.000372325280885</c:v>
                </c:pt>
                <c:pt idx="11">
                  <c:v>22.000372325280885</c:v>
                </c:pt>
                <c:pt idx="12">
                  <c:v>22.000372325280885</c:v>
                </c:pt>
                <c:pt idx="13">
                  <c:v>22.000372325280885</c:v>
                </c:pt>
                <c:pt idx="14">
                  <c:v>22.000372325280885</c:v>
                </c:pt>
                <c:pt idx="15">
                  <c:v>22.000372325280885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'27_g'!$AY$41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'27_g'!$AZ$37:$BO$37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'27_g'!$AZ$41:$BO$41</c:f>
              <c:numCache>
                <c:formatCode>_(* #,##0.00_);_(* \(#,##0.00\);_(* "-"??_);_(@_)</c:formatCode>
                <c:ptCount val="16"/>
                <c:pt idx="0">
                  <c:v>19.376101810414177</c:v>
                </c:pt>
                <c:pt idx="1">
                  <c:v>14.461866532482018</c:v>
                </c:pt>
                <c:pt idx="2">
                  <c:v>17.277174462077944</c:v>
                </c:pt>
                <c:pt idx="3">
                  <c:v>17.078114747174375</c:v>
                </c:pt>
                <c:pt idx="4">
                  <c:v>17.042316243171005</c:v>
                </c:pt>
                <c:pt idx="5">
                  <c:v>17.275157959932681</c:v>
                </c:pt>
                <c:pt idx="6">
                  <c:v>28.386075141113071</c:v>
                </c:pt>
                <c:pt idx="7">
                  <c:v>19.218800905344832</c:v>
                </c:pt>
                <c:pt idx="8">
                  <c:v>18.474762344369868</c:v>
                </c:pt>
                <c:pt idx="9">
                  <c:v>20.314865273993341</c:v>
                </c:pt>
                <c:pt idx="10">
                  <c:v>15.79826784371606</c:v>
                </c:pt>
                <c:pt idx="11">
                  <c:v>18.889985337256864</c:v>
                </c:pt>
                <c:pt idx="12">
                  <c:v>22.555506543155417</c:v>
                </c:pt>
                <c:pt idx="13">
                  <c:v>22.758444492254736</c:v>
                </c:pt>
                <c:pt idx="14">
                  <c:v>22.545444972423688</c:v>
                </c:pt>
                <c:pt idx="15">
                  <c:v>19.845869087999564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83456"/>
        <c:axId val="266497984"/>
      </c:lineChart>
      <c:catAx>
        <c:axId val="2640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497984"/>
        <c:crosses val="autoZero"/>
        <c:auto val="1"/>
        <c:lblAlgn val="ctr"/>
        <c:lblOffset val="100"/>
        <c:noMultiLvlLbl val="0"/>
      </c:catAx>
      <c:valAx>
        <c:axId val="2664979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64247326227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0834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2380357213"/>
          <c:y val="2.2161373086791118E-2"/>
          <c:w val="0.2830308116247374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'27_g'!$A$64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'27_g'!$B$62:$M$62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'27_g'!$B$64:$M$64</c:f>
              <c:numCache>
                <c:formatCode>#,##0.00_ ;\-#,##0.00\ </c:formatCode>
                <c:ptCount val="12"/>
                <c:pt idx="0">
                  <c:v>1.0360903000000001</c:v>
                </c:pt>
                <c:pt idx="1">
                  <c:v>1.0424068599999998</c:v>
                </c:pt>
                <c:pt idx="2">
                  <c:v>1.1125242300000002</c:v>
                </c:pt>
                <c:pt idx="3">
                  <c:v>1.0100822</c:v>
                </c:pt>
                <c:pt idx="4">
                  <c:v>1.00976829</c:v>
                </c:pt>
                <c:pt idx="5">
                  <c:v>1.0836684599999999</c:v>
                </c:pt>
                <c:pt idx="6">
                  <c:v>1.2415762100000003</c:v>
                </c:pt>
                <c:pt idx="7">
                  <c:v>1.46313541</c:v>
                </c:pt>
                <c:pt idx="8">
                  <c:v>1.17295353</c:v>
                </c:pt>
                <c:pt idx="9">
                  <c:v>1.08237932</c:v>
                </c:pt>
                <c:pt idx="10">
                  <c:v>0.90714958000000012</c:v>
                </c:pt>
                <c:pt idx="11">
                  <c:v>1.1045703899999999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'27_g'!$A$65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'27_g'!$B$62:$M$62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'27_g'!$B$65:$M$65</c:f>
              <c:numCache>
                <c:formatCode>#,##0.00_ ;\-#,##0.00\ </c:formatCode>
                <c:ptCount val="12"/>
                <c:pt idx="0">
                  <c:v>1.101672</c:v>
                </c:pt>
                <c:pt idx="1">
                  <c:v>1.0858129999999999</c:v>
                </c:pt>
                <c:pt idx="2">
                  <c:v>1.1140490000000001</c:v>
                </c:pt>
                <c:pt idx="3">
                  <c:v>1.097458</c:v>
                </c:pt>
                <c:pt idx="4">
                  <c:v>1.0101279999999999</c:v>
                </c:pt>
                <c:pt idx="5">
                  <c:v>1.0970949999999999</c:v>
                </c:pt>
                <c:pt idx="6">
                  <c:v>1.2503439999999999</c:v>
                </c:pt>
                <c:pt idx="7">
                  <c:v>1.2999639999999999</c:v>
                </c:pt>
                <c:pt idx="8">
                  <c:v>1.18912</c:v>
                </c:pt>
                <c:pt idx="9">
                  <c:v>1.0795589999999999</c:v>
                </c:pt>
                <c:pt idx="10">
                  <c:v>1.0354730000000001</c:v>
                </c:pt>
                <c:pt idx="11">
                  <c:v>1.1716409999999999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'27_g'!$A$66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'27_g'!$B$62:$M$62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'27_g'!$B$66:$M$66</c:f>
              <c:numCache>
                <c:formatCode>#,##0.00_ ;\-#,##0.00\ </c:formatCode>
                <c:ptCount val="12"/>
                <c:pt idx="0">
                  <c:v>1.0657702900000001</c:v>
                </c:pt>
                <c:pt idx="1">
                  <c:v>1.05765672</c:v>
                </c:pt>
                <c:pt idx="2">
                  <c:v>1.07138658</c:v>
                </c:pt>
                <c:pt idx="3">
                  <c:v>1.0999972600000001</c:v>
                </c:pt>
                <c:pt idx="4">
                  <c:v>1.0663239199999999</c:v>
                </c:pt>
                <c:pt idx="5">
                  <c:v>1.0860890299999999</c:v>
                </c:pt>
                <c:pt idx="6">
                  <c:v>1.2427711099999998</c:v>
                </c:pt>
                <c:pt idx="7">
                  <c:v>1.2327057800000001</c:v>
                </c:pt>
                <c:pt idx="8">
                  <c:v>1.1599712200000001</c:v>
                </c:pt>
                <c:pt idx="9">
                  <c:v>1.0996330599999997</c:v>
                </c:pt>
                <c:pt idx="10">
                  <c:v>1.0905798800000002</c:v>
                </c:pt>
                <c:pt idx="11">
                  <c:v>1.1309693399999998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83968"/>
        <c:axId val="266500288"/>
      </c:lineChart>
      <c:catAx>
        <c:axId val="2640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500288"/>
        <c:crosses val="autoZero"/>
        <c:auto val="1"/>
        <c:lblAlgn val="ctr"/>
        <c:lblOffset val="100"/>
        <c:noMultiLvlLbl val="0"/>
      </c:catAx>
      <c:valAx>
        <c:axId val="2665002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0839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'27_g'!$B$85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'27_g'!$C$85:$N$85</c:f>
              <c:numCache>
                <c:formatCode>#,##0.00_ ;\-#,##0.00\ </c:formatCode>
                <c:ptCount val="12"/>
                <c:pt idx="0">
                  <c:v>1.0360903000000001</c:v>
                </c:pt>
                <c:pt idx="1">
                  <c:v>2.07849716</c:v>
                </c:pt>
                <c:pt idx="2">
                  <c:v>3.1910213900000004</c:v>
                </c:pt>
                <c:pt idx="3">
                  <c:v>4.2011035900000007</c:v>
                </c:pt>
                <c:pt idx="4">
                  <c:v>5.2108718800000009</c:v>
                </c:pt>
                <c:pt idx="5">
                  <c:v>6.2945403400000011</c:v>
                </c:pt>
                <c:pt idx="6">
                  <c:v>7.5361165500000009</c:v>
                </c:pt>
                <c:pt idx="7">
                  <c:v>8.9992519600000005</c:v>
                </c:pt>
                <c:pt idx="8">
                  <c:v>10.17220549</c:v>
                </c:pt>
                <c:pt idx="9">
                  <c:v>11.254584809999999</c:v>
                </c:pt>
                <c:pt idx="10">
                  <c:v>12.161734389999999</c:v>
                </c:pt>
                <c:pt idx="11">
                  <c:v>13.266304779999999</c:v>
                </c:pt>
              </c:numCache>
            </c:numRef>
          </c:val>
        </c:ser>
        <c:ser>
          <c:idx val="0"/>
          <c:order val="2"/>
          <c:tx>
            <c:strRef>
              <c:f>'27_g'!$B$87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'27_g'!$C$87:$N$87</c:f>
              <c:numCache>
                <c:formatCode>#,##0.00_ ;\-#,##0.00\ </c:formatCode>
                <c:ptCount val="12"/>
                <c:pt idx="0">
                  <c:v>1.0657702900000001</c:v>
                </c:pt>
                <c:pt idx="1">
                  <c:v>2.1234270100000003</c:v>
                </c:pt>
                <c:pt idx="2">
                  <c:v>3.1948135900000003</c:v>
                </c:pt>
                <c:pt idx="3">
                  <c:v>4.2948108500000002</c:v>
                </c:pt>
                <c:pt idx="4">
                  <c:v>5.3611347699999996</c:v>
                </c:pt>
                <c:pt idx="5">
                  <c:v>6.4472237999999997</c:v>
                </c:pt>
                <c:pt idx="6">
                  <c:v>7.6899949099999994</c:v>
                </c:pt>
                <c:pt idx="7">
                  <c:v>8.9227006899999992</c:v>
                </c:pt>
                <c:pt idx="8">
                  <c:v>10.082671909999998</c:v>
                </c:pt>
                <c:pt idx="9">
                  <c:v>11.182304969999999</c:v>
                </c:pt>
                <c:pt idx="10">
                  <c:v>12.272884849999999</c:v>
                </c:pt>
                <c:pt idx="11">
                  <c:v>13.403854189999999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4084992"/>
        <c:axId val="267362880"/>
      </c:barChart>
      <c:lineChart>
        <c:grouping val="standard"/>
        <c:varyColors val="0"/>
        <c:ser>
          <c:idx val="3"/>
          <c:order val="1"/>
          <c:tx>
            <c:strRef>
              <c:f>'27_g'!$B$86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'27_g'!$C$83:$N$83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'27_g'!$C$86:$N$86</c:f>
              <c:numCache>
                <c:formatCode>#,##0.00_ ;\-#,##0.00\ </c:formatCode>
                <c:ptCount val="12"/>
                <c:pt idx="0">
                  <c:v>1.101672</c:v>
                </c:pt>
                <c:pt idx="1">
                  <c:v>2.1874849999999997</c:v>
                </c:pt>
                <c:pt idx="2">
                  <c:v>3.3015339999999997</c:v>
                </c:pt>
                <c:pt idx="3">
                  <c:v>4.3989919999999998</c:v>
                </c:pt>
                <c:pt idx="4">
                  <c:v>5.4091199999999997</c:v>
                </c:pt>
                <c:pt idx="5">
                  <c:v>6.5062149999999992</c:v>
                </c:pt>
                <c:pt idx="6">
                  <c:v>7.7565589999999993</c:v>
                </c:pt>
                <c:pt idx="7">
                  <c:v>9.0565229999999985</c:v>
                </c:pt>
                <c:pt idx="8">
                  <c:v>10.245642999999998</c:v>
                </c:pt>
                <c:pt idx="9">
                  <c:v>11.325201999999997</c:v>
                </c:pt>
                <c:pt idx="10">
                  <c:v>12.360674999999997</c:v>
                </c:pt>
                <c:pt idx="11">
                  <c:v>13.532315999999996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84992"/>
        <c:axId val="267362880"/>
      </c:lineChart>
      <c:catAx>
        <c:axId val="2640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362880"/>
        <c:crosses val="autoZero"/>
        <c:auto val="1"/>
        <c:lblAlgn val="ctr"/>
        <c:lblOffset val="100"/>
        <c:noMultiLvlLbl val="0"/>
      </c:catAx>
      <c:valAx>
        <c:axId val="2673628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40849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'27_g'!$S$64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'27_g'!$T$62:$AE$62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'27_g'!$T$64:$AE$64</c:f>
              <c:numCache>
                <c:formatCode>#,##0.00_ ;\-#,##0.00\ </c:formatCode>
                <c:ptCount val="12"/>
                <c:pt idx="0">
                  <c:v>0.79316649999999989</c:v>
                </c:pt>
                <c:pt idx="1">
                  <c:v>0.77064106999999993</c:v>
                </c:pt>
                <c:pt idx="2">
                  <c:v>0.75784607999999987</c:v>
                </c:pt>
                <c:pt idx="3">
                  <c:v>0.78710417999999993</c:v>
                </c:pt>
                <c:pt idx="4">
                  <c:v>0.77729893999999988</c:v>
                </c:pt>
                <c:pt idx="5">
                  <c:v>0.8042871100000003</c:v>
                </c:pt>
                <c:pt idx="6">
                  <c:v>0.75454593999999997</c:v>
                </c:pt>
                <c:pt idx="7">
                  <c:v>0.74853261999999998</c:v>
                </c:pt>
                <c:pt idx="8">
                  <c:v>0.75059227000000006</c:v>
                </c:pt>
                <c:pt idx="9">
                  <c:v>0.90134040999999976</c:v>
                </c:pt>
                <c:pt idx="10">
                  <c:v>0.7926093999999998</c:v>
                </c:pt>
                <c:pt idx="11">
                  <c:v>0.76784814000000001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'27_g'!$S$65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'27_g'!$T$62:$AE$62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'27_g'!$T$65:$AE$65</c:f>
              <c:numCache>
                <c:formatCode>#,##0.00_ ;\-#,##0.00\ </c:formatCode>
                <c:ptCount val="12"/>
                <c:pt idx="0">
                  <c:v>0.80578499999999997</c:v>
                </c:pt>
                <c:pt idx="1">
                  <c:v>0.75143300000000002</c:v>
                </c:pt>
                <c:pt idx="2">
                  <c:v>0.73522600000000005</c:v>
                </c:pt>
                <c:pt idx="3">
                  <c:v>0.76570300000000002</c:v>
                </c:pt>
                <c:pt idx="4">
                  <c:v>0.75089600000000001</c:v>
                </c:pt>
                <c:pt idx="5">
                  <c:v>0.79281599999999997</c:v>
                </c:pt>
                <c:pt idx="6">
                  <c:v>0.72643199999999997</c:v>
                </c:pt>
                <c:pt idx="7">
                  <c:v>0.746861</c:v>
                </c:pt>
                <c:pt idx="8">
                  <c:v>0.78935500000000003</c:v>
                </c:pt>
                <c:pt idx="9">
                  <c:v>0.81464099999999995</c:v>
                </c:pt>
                <c:pt idx="10">
                  <c:v>0.81114900000000001</c:v>
                </c:pt>
                <c:pt idx="11">
                  <c:v>0.83150400000000002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'27_g'!$S$66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'27_g'!$T$62:$AE$62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'27_g'!$T$66:$AE$66</c:f>
              <c:numCache>
                <c:formatCode>#,##0.00_ ;\-#,##0.00\ </c:formatCode>
                <c:ptCount val="12"/>
                <c:pt idx="0">
                  <c:v>0.70688289999999998</c:v>
                </c:pt>
                <c:pt idx="1">
                  <c:v>0.68525875000000014</c:v>
                </c:pt>
                <c:pt idx="2">
                  <c:v>0.85658551999999999</c:v>
                </c:pt>
                <c:pt idx="3">
                  <c:v>0.68531368999999998</c:v>
                </c:pt>
                <c:pt idx="4">
                  <c:v>0.78173285999999997</c:v>
                </c:pt>
                <c:pt idx="5">
                  <c:v>0.80723135000000001</c:v>
                </c:pt>
                <c:pt idx="6">
                  <c:v>0.75279233000000023</c:v>
                </c:pt>
                <c:pt idx="7">
                  <c:v>0.79103981000000001</c:v>
                </c:pt>
                <c:pt idx="8">
                  <c:v>0.73198802999999979</c:v>
                </c:pt>
                <c:pt idx="9">
                  <c:v>0.77149024000000022</c:v>
                </c:pt>
                <c:pt idx="10">
                  <c:v>0.75800312000000014</c:v>
                </c:pt>
                <c:pt idx="11">
                  <c:v>0.85194060000000005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54016"/>
        <c:axId val="267365184"/>
      </c:lineChart>
      <c:catAx>
        <c:axId val="26645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365184"/>
        <c:crosses val="autoZero"/>
        <c:auto val="1"/>
        <c:lblAlgn val="ctr"/>
        <c:lblOffset val="100"/>
        <c:noMultiLvlLbl val="0"/>
      </c:catAx>
      <c:valAx>
        <c:axId val="2673651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4540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'27_g'!$T$85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'27_g'!$U$85:$AF$85</c:f>
              <c:numCache>
                <c:formatCode>#,##0.00_ ;\-#,##0.00\ </c:formatCode>
                <c:ptCount val="12"/>
                <c:pt idx="0">
                  <c:v>0.79316649999999989</c:v>
                </c:pt>
                <c:pt idx="1">
                  <c:v>1.5638075699999998</c:v>
                </c:pt>
                <c:pt idx="2">
                  <c:v>2.3216536499999996</c:v>
                </c:pt>
                <c:pt idx="3">
                  <c:v>3.1087578299999996</c:v>
                </c:pt>
                <c:pt idx="4">
                  <c:v>3.8860567699999997</c:v>
                </c:pt>
                <c:pt idx="5">
                  <c:v>4.6903438800000004</c:v>
                </c:pt>
                <c:pt idx="6">
                  <c:v>5.4448898200000002</c:v>
                </c:pt>
                <c:pt idx="7">
                  <c:v>6.19342244</c:v>
                </c:pt>
                <c:pt idx="8">
                  <c:v>6.9440147100000003</c:v>
                </c:pt>
                <c:pt idx="9">
                  <c:v>7.8453551199999998</c:v>
                </c:pt>
                <c:pt idx="10">
                  <c:v>8.6379645199999988</c:v>
                </c:pt>
                <c:pt idx="11">
                  <c:v>9.4058126599999987</c:v>
                </c:pt>
              </c:numCache>
            </c:numRef>
          </c:val>
        </c:ser>
        <c:ser>
          <c:idx val="0"/>
          <c:order val="2"/>
          <c:tx>
            <c:strRef>
              <c:f>'27_g'!$T$87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'27_g'!$U$87:$AF$87</c:f>
              <c:numCache>
                <c:formatCode>#,##0.00_ ;\-#,##0.00\ </c:formatCode>
                <c:ptCount val="12"/>
                <c:pt idx="0">
                  <c:v>0.70688289999999998</c:v>
                </c:pt>
                <c:pt idx="1">
                  <c:v>1.3921416500000001</c:v>
                </c:pt>
                <c:pt idx="2">
                  <c:v>2.24872717</c:v>
                </c:pt>
                <c:pt idx="3">
                  <c:v>2.9340408600000001</c:v>
                </c:pt>
                <c:pt idx="4">
                  <c:v>3.7157737200000001</c:v>
                </c:pt>
                <c:pt idx="5">
                  <c:v>4.52300507</c:v>
                </c:pt>
                <c:pt idx="6">
                  <c:v>5.2757974000000001</c:v>
                </c:pt>
                <c:pt idx="7">
                  <c:v>6.0668372100000001</c:v>
                </c:pt>
                <c:pt idx="8">
                  <c:v>6.7988252400000002</c:v>
                </c:pt>
                <c:pt idx="9">
                  <c:v>7.5703154800000005</c:v>
                </c:pt>
                <c:pt idx="10">
                  <c:v>8.3283186000000011</c:v>
                </c:pt>
                <c:pt idx="11">
                  <c:v>9.1802592000000018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7154944"/>
        <c:axId val="267367488"/>
      </c:barChart>
      <c:lineChart>
        <c:grouping val="standard"/>
        <c:varyColors val="0"/>
        <c:ser>
          <c:idx val="3"/>
          <c:order val="1"/>
          <c:tx>
            <c:strRef>
              <c:f>'27_g'!$T$86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'27_g'!$U$83:$AF$83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'27_g'!$U$86:$AF$86</c:f>
              <c:numCache>
                <c:formatCode>#,##0.00_ ;\-#,##0.00\ </c:formatCode>
                <c:ptCount val="12"/>
                <c:pt idx="0">
                  <c:v>0.80578499999999997</c:v>
                </c:pt>
                <c:pt idx="1">
                  <c:v>1.557218</c:v>
                </c:pt>
                <c:pt idx="2">
                  <c:v>2.2924440000000001</c:v>
                </c:pt>
                <c:pt idx="3">
                  <c:v>3.0581469999999999</c:v>
                </c:pt>
                <c:pt idx="4">
                  <c:v>3.809043</c:v>
                </c:pt>
                <c:pt idx="5">
                  <c:v>4.6018590000000001</c:v>
                </c:pt>
                <c:pt idx="6">
                  <c:v>5.3282910000000001</c:v>
                </c:pt>
                <c:pt idx="7">
                  <c:v>6.0751520000000001</c:v>
                </c:pt>
                <c:pt idx="8">
                  <c:v>6.8645069999999997</c:v>
                </c:pt>
                <c:pt idx="9">
                  <c:v>7.6791479999999996</c:v>
                </c:pt>
                <c:pt idx="10">
                  <c:v>8.490297</c:v>
                </c:pt>
                <c:pt idx="11">
                  <c:v>9.3218010000000007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54944"/>
        <c:axId val="267367488"/>
      </c:lineChart>
      <c:catAx>
        <c:axId val="2671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367488"/>
        <c:crosses val="autoZero"/>
        <c:auto val="1"/>
        <c:lblAlgn val="ctr"/>
        <c:lblOffset val="100"/>
        <c:noMultiLvlLbl val="0"/>
      </c:catAx>
      <c:valAx>
        <c:axId val="2673674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1549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'27_g'!$AI$64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'27_g'!$AJ$62:$AU$62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'27_g'!$AJ$64:$AU$64</c:f>
              <c:numCache>
                <c:formatCode>#,##0.00_ ;\-#,##0.00\ </c:formatCode>
                <c:ptCount val="12"/>
                <c:pt idx="0">
                  <c:v>0.24292380000000025</c:v>
                </c:pt>
                <c:pt idx="1">
                  <c:v>0.2717657899999999</c:v>
                </c:pt>
                <c:pt idx="2">
                  <c:v>0.35467815000000036</c:v>
                </c:pt>
                <c:pt idx="3">
                  <c:v>0.22297802000000011</c:v>
                </c:pt>
                <c:pt idx="4">
                  <c:v>0.23246935000000013</c:v>
                </c:pt>
                <c:pt idx="5">
                  <c:v>0.27938134999999964</c:v>
                </c:pt>
                <c:pt idx="6">
                  <c:v>0.48703027000000032</c:v>
                </c:pt>
                <c:pt idx="7">
                  <c:v>0.71460279000000004</c:v>
                </c:pt>
                <c:pt idx="8">
                  <c:v>0.42236125999999996</c:v>
                </c:pt>
                <c:pt idx="9">
                  <c:v>0.18103891000000027</c:v>
                </c:pt>
                <c:pt idx="10">
                  <c:v>0.11454018000000032</c:v>
                </c:pt>
                <c:pt idx="11">
                  <c:v>0.33672224999999989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'27_g'!$AI$65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'27_g'!$AJ$62:$AU$62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'27_g'!$AJ$65:$AU$65</c:f>
              <c:numCache>
                <c:formatCode>#,##0.00_ ;\-#,##0.00\ </c:formatCode>
                <c:ptCount val="12"/>
                <c:pt idx="0">
                  <c:v>0.29588700000000001</c:v>
                </c:pt>
                <c:pt idx="1">
                  <c:v>0.3343799999999999</c:v>
                </c:pt>
                <c:pt idx="2">
                  <c:v>0.37882300000000002</c:v>
                </c:pt>
                <c:pt idx="3">
                  <c:v>0.33175500000000002</c:v>
                </c:pt>
                <c:pt idx="4">
                  <c:v>0.25923199999999991</c:v>
                </c:pt>
                <c:pt idx="5">
                  <c:v>0.30427899999999997</c:v>
                </c:pt>
                <c:pt idx="6">
                  <c:v>0.52391199999999993</c:v>
                </c:pt>
                <c:pt idx="7">
                  <c:v>0.5531029999999999</c:v>
                </c:pt>
                <c:pt idx="8">
                  <c:v>0.39976499999999993</c:v>
                </c:pt>
                <c:pt idx="9">
                  <c:v>0.26491799999999999</c:v>
                </c:pt>
                <c:pt idx="10">
                  <c:v>0.22432400000000008</c:v>
                </c:pt>
                <c:pt idx="11">
                  <c:v>0.34013699999999991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'27_g'!$AI$66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'27_g'!$AJ$62:$AU$62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'27_g'!$AJ$66:$AU$66</c:f>
              <c:numCache>
                <c:formatCode>#,##0.00_ ;\-#,##0.00\ </c:formatCode>
                <c:ptCount val="12"/>
                <c:pt idx="0">
                  <c:v>0.35888739000000014</c:v>
                </c:pt>
                <c:pt idx="1">
                  <c:v>0.37239796999999986</c:v>
                </c:pt>
                <c:pt idx="2">
                  <c:v>0.21480105999999999</c:v>
                </c:pt>
                <c:pt idx="3">
                  <c:v>0.41468357000000011</c:v>
                </c:pt>
                <c:pt idx="4">
                  <c:v>0.2845910599999999</c:v>
                </c:pt>
                <c:pt idx="5">
                  <c:v>0.27885767999999989</c:v>
                </c:pt>
                <c:pt idx="6">
                  <c:v>0.48997877999999961</c:v>
                </c:pt>
                <c:pt idx="7">
                  <c:v>0.44166597000000007</c:v>
                </c:pt>
                <c:pt idx="8">
                  <c:v>0.42798319000000029</c:v>
                </c:pt>
                <c:pt idx="9">
                  <c:v>0.3281428199999995</c:v>
                </c:pt>
                <c:pt idx="10">
                  <c:v>0.33257676000000003</c:v>
                </c:pt>
                <c:pt idx="11">
                  <c:v>0.27902873999999978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56992"/>
        <c:axId val="267369792"/>
      </c:lineChart>
      <c:catAx>
        <c:axId val="26715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369792"/>
        <c:crosses val="autoZero"/>
        <c:auto val="1"/>
        <c:lblAlgn val="ctr"/>
        <c:lblOffset val="100"/>
        <c:noMultiLvlLbl val="0"/>
      </c:catAx>
      <c:valAx>
        <c:axId val="267369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300805348049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1569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2670510204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'27_g'!$AJ$85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'27_g'!$AK$85:$AV$85</c:f>
              <c:numCache>
                <c:formatCode>#,##0.00_ ;\-#,##0.00\ </c:formatCode>
                <c:ptCount val="12"/>
                <c:pt idx="0">
                  <c:v>0.24292380000000025</c:v>
                </c:pt>
                <c:pt idx="1">
                  <c:v>0.51468959000000014</c:v>
                </c:pt>
                <c:pt idx="2">
                  <c:v>0.8693677400000005</c:v>
                </c:pt>
                <c:pt idx="3">
                  <c:v>1.0923457600000006</c:v>
                </c:pt>
                <c:pt idx="4">
                  <c:v>1.3248151100000007</c:v>
                </c:pt>
                <c:pt idx="5">
                  <c:v>1.6041964600000003</c:v>
                </c:pt>
                <c:pt idx="6">
                  <c:v>2.0912267300000007</c:v>
                </c:pt>
                <c:pt idx="7">
                  <c:v>2.8058295200000005</c:v>
                </c:pt>
                <c:pt idx="8">
                  <c:v>3.2281907800000003</c:v>
                </c:pt>
                <c:pt idx="9">
                  <c:v>3.4092296900000005</c:v>
                </c:pt>
                <c:pt idx="10">
                  <c:v>3.5237698700000006</c:v>
                </c:pt>
                <c:pt idx="11">
                  <c:v>3.8604921200000004</c:v>
                </c:pt>
              </c:numCache>
            </c:numRef>
          </c:val>
        </c:ser>
        <c:ser>
          <c:idx val="0"/>
          <c:order val="2"/>
          <c:tx>
            <c:strRef>
              <c:f>'27_g'!$AJ$87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'27_g'!$AK$83:$AV$83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'27_g'!$AK$87:$AV$87</c:f>
              <c:numCache>
                <c:formatCode>#,##0.00_ ;\-#,##0.00\ </c:formatCode>
                <c:ptCount val="12"/>
                <c:pt idx="0">
                  <c:v>0.35888739000000014</c:v>
                </c:pt>
                <c:pt idx="1">
                  <c:v>0.73128536</c:v>
                </c:pt>
                <c:pt idx="2">
                  <c:v>0.94608641999999998</c:v>
                </c:pt>
                <c:pt idx="3">
                  <c:v>1.3607699900000001</c:v>
                </c:pt>
                <c:pt idx="4">
                  <c:v>1.64536105</c:v>
                </c:pt>
                <c:pt idx="5">
                  <c:v>1.9242187299999998</c:v>
                </c:pt>
                <c:pt idx="6">
                  <c:v>2.4141975099999993</c:v>
                </c:pt>
                <c:pt idx="7">
                  <c:v>2.8558634799999991</c:v>
                </c:pt>
                <c:pt idx="8">
                  <c:v>3.2838466699999995</c:v>
                </c:pt>
                <c:pt idx="9">
                  <c:v>3.6119894899999991</c:v>
                </c:pt>
                <c:pt idx="10">
                  <c:v>3.9445662499999994</c:v>
                </c:pt>
                <c:pt idx="11">
                  <c:v>4.2235949899999987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7726848"/>
        <c:axId val="267798208"/>
      </c:barChart>
      <c:lineChart>
        <c:grouping val="standard"/>
        <c:varyColors val="0"/>
        <c:ser>
          <c:idx val="3"/>
          <c:order val="1"/>
          <c:tx>
            <c:strRef>
              <c:f>'27_g'!$AJ$86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'27_g'!$AK$83:$AV$83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'27_g'!$AK$86:$AV$86</c:f>
              <c:numCache>
                <c:formatCode>#,##0.00_ ;\-#,##0.00\ </c:formatCode>
                <c:ptCount val="12"/>
                <c:pt idx="0">
                  <c:v>0.29588700000000001</c:v>
                </c:pt>
                <c:pt idx="1">
                  <c:v>0.63026699999999991</c:v>
                </c:pt>
                <c:pt idx="2">
                  <c:v>1.00909</c:v>
                </c:pt>
                <c:pt idx="3">
                  <c:v>1.3408450000000001</c:v>
                </c:pt>
                <c:pt idx="4">
                  <c:v>1.600077</c:v>
                </c:pt>
                <c:pt idx="5">
                  <c:v>1.9043559999999999</c:v>
                </c:pt>
                <c:pt idx="6">
                  <c:v>2.4282680000000001</c:v>
                </c:pt>
                <c:pt idx="7">
                  <c:v>2.9813710000000002</c:v>
                </c:pt>
                <c:pt idx="8">
                  <c:v>3.3811360000000001</c:v>
                </c:pt>
                <c:pt idx="9">
                  <c:v>3.6460540000000004</c:v>
                </c:pt>
                <c:pt idx="10">
                  <c:v>3.8703780000000005</c:v>
                </c:pt>
                <c:pt idx="11">
                  <c:v>4.2105150000000009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726848"/>
        <c:axId val="267798208"/>
      </c:lineChart>
      <c:catAx>
        <c:axId val="26772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798208"/>
        <c:crosses val="autoZero"/>
        <c:auto val="1"/>
        <c:lblAlgn val="ctr"/>
        <c:lblOffset val="100"/>
        <c:noMultiLvlLbl val="0"/>
      </c:catAx>
      <c:valAx>
        <c:axId val="2677982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152249799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7268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34873492319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'27_g'!$T$21:$U$21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'27_g'!$V$20:$AC$20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'27_g'!$V$21:$AC$21</c:f>
              <c:numCache>
                <c:formatCode>#,##0</c:formatCode>
                <c:ptCount val="8"/>
                <c:pt idx="0">
                  <c:v>25.377049180327869</c:v>
                </c:pt>
                <c:pt idx="1">
                  <c:v>15</c:v>
                </c:pt>
                <c:pt idx="2">
                  <c:v>50.93442622950819</c:v>
                </c:pt>
                <c:pt idx="3">
                  <c:v>59</c:v>
                </c:pt>
                <c:pt idx="4">
                  <c:v>86.524590163934434</c:v>
                </c:pt>
                <c:pt idx="5">
                  <c:v>89</c:v>
                </c:pt>
                <c:pt idx="6">
                  <c:v>105</c:v>
                </c:pt>
                <c:pt idx="7">
                  <c:v>102</c:v>
                </c:pt>
              </c:numCache>
            </c:numRef>
          </c:val>
        </c:ser>
        <c:ser>
          <c:idx val="0"/>
          <c:order val="1"/>
          <c:tx>
            <c:strRef>
              <c:f>'27_g'!$T$22:$U$22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'27_g'!$V$20:$AC$20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'27_g'!$V$22:$AC$22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67727872"/>
        <c:axId val="267800512"/>
      </c:barChart>
      <c:catAx>
        <c:axId val="26772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267800512"/>
        <c:crosses val="autoZero"/>
        <c:auto val="1"/>
        <c:lblAlgn val="ctr"/>
        <c:lblOffset val="100"/>
        <c:noMultiLvlLbl val="0"/>
      </c:catAx>
      <c:valAx>
        <c:axId val="267800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67727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('28'!$A$9,'28'!$A$13,'28'!$A$17)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('28'!$B$9,'28'!$B$13,'28'!$B$17)</c:f>
              <c:numCache>
                <c:formatCode>_-* #,##0_-;\-* #,##0_-;_-* "-"??_-;_-@_-</c:formatCode>
                <c:ptCount val="3"/>
                <c:pt idx="0">
                  <c:v>10969</c:v>
                </c:pt>
                <c:pt idx="1">
                  <c:v>2506</c:v>
                </c:pt>
                <c:pt idx="2">
                  <c:v>1150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'11_g'!$S$63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'11_g'!$T$61:$AE$61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'11_g'!$T$63:$AE$63</c:f>
              <c:numCache>
                <c:formatCode>#,##0.0_ ;\-#,##0.0\ </c:formatCode>
                <c:ptCount val="12"/>
                <c:pt idx="0">
                  <c:v>13.660655689999997</c:v>
                </c:pt>
                <c:pt idx="1">
                  <c:v>14.204273490000002</c:v>
                </c:pt>
                <c:pt idx="2">
                  <c:v>17.06504734</c:v>
                </c:pt>
                <c:pt idx="3">
                  <c:v>13.687753359999999</c:v>
                </c:pt>
                <c:pt idx="4">
                  <c:v>15.332990579999999</c:v>
                </c:pt>
                <c:pt idx="5">
                  <c:v>16.680630230000002</c:v>
                </c:pt>
                <c:pt idx="6">
                  <c:v>15.27945594</c:v>
                </c:pt>
                <c:pt idx="7">
                  <c:v>15.117459050000001</c:v>
                </c:pt>
                <c:pt idx="8">
                  <c:v>18.711151300000004</c:v>
                </c:pt>
                <c:pt idx="9">
                  <c:v>14.928711220000002</c:v>
                </c:pt>
                <c:pt idx="10">
                  <c:v>17.163995829999998</c:v>
                </c:pt>
                <c:pt idx="11">
                  <c:v>17.340539060000001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'11_g'!$S$64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'11_g'!$T$61:$AE$61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'11_g'!$T$64:$AE$64</c:f>
              <c:numCache>
                <c:formatCode>#,##0.0_ ;\-#,##0.0\ </c:formatCode>
                <c:ptCount val="12"/>
                <c:pt idx="0">
                  <c:v>16.807950000000002</c:v>
                </c:pt>
                <c:pt idx="1">
                  <c:v>14.8302</c:v>
                </c:pt>
                <c:pt idx="2">
                  <c:v>13.822838000000001</c:v>
                </c:pt>
                <c:pt idx="3">
                  <c:v>14.711186</c:v>
                </c:pt>
                <c:pt idx="4">
                  <c:v>14.698128000000001</c:v>
                </c:pt>
                <c:pt idx="5">
                  <c:v>16.071891999999998</c:v>
                </c:pt>
                <c:pt idx="6">
                  <c:v>15.57152</c:v>
                </c:pt>
                <c:pt idx="7">
                  <c:v>15.661652999999999</c:v>
                </c:pt>
                <c:pt idx="8">
                  <c:v>16.426074</c:v>
                </c:pt>
                <c:pt idx="9">
                  <c:v>16.090738999999999</c:v>
                </c:pt>
                <c:pt idx="10">
                  <c:v>16.464739999999999</c:v>
                </c:pt>
                <c:pt idx="11">
                  <c:v>17.571155999999998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'11_g'!$S$65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'11_g'!$T$61:$AE$61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'11_g'!$T$65:$AE$65</c:f>
              <c:numCache>
                <c:formatCode>#,##0.0_ ;\-#,##0.0\ </c:formatCode>
                <c:ptCount val="12"/>
                <c:pt idx="0">
                  <c:v>15.907794939999997</c:v>
                </c:pt>
                <c:pt idx="1">
                  <c:v>16.720712429999999</c:v>
                </c:pt>
                <c:pt idx="2">
                  <c:v>16.179007349999999</c:v>
                </c:pt>
                <c:pt idx="3">
                  <c:v>14.9006124</c:v>
                </c:pt>
                <c:pt idx="4">
                  <c:v>15.695040839999999</c:v>
                </c:pt>
                <c:pt idx="5">
                  <c:v>17.560883739999998</c:v>
                </c:pt>
                <c:pt idx="6">
                  <c:v>18.600374229999996</c:v>
                </c:pt>
                <c:pt idx="7">
                  <c:v>17.160971989999997</c:v>
                </c:pt>
                <c:pt idx="8">
                  <c:v>18.564110630000002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158976"/>
        <c:axId val="172904384"/>
      </c:lineChart>
      <c:catAx>
        <c:axId val="17215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904384"/>
        <c:crosses val="autoZero"/>
        <c:auto val="1"/>
        <c:lblAlgn val="ctr"/>
        <c:lblOffset val="100"/>
        <c:noMultiLvlLbl val="0"/>
      </c:catAx>
      <c:valAx>
        <c:axId val="1729043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1589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('28'!$A$9,'28'!$A$13,'28'!$A$17)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('28'!$G$9,'28'!$G$13,'28'!$G$17)</c:f>
              <c:numCache>
                <c:formatCode>_-* #,##0_-;\-* #,##0_-;_-* "-"??_-;_-@_-</c:formatCode>
                <c:ptCount val="3"/>
                <c:pt idx="0">
                  <c:v>11274</c:v>
                </c:pt>
                <c:pt idx="1">
                  <c:v>2496</c:v>
                </c:pt>
                <c:pt idx="2">
                  <c:v>1151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('28'!$A$9,'28'!$A$13,'28'!$A$17)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('28'!$C$9,'28'!$C$13,'28'!$C$17)</c:f>
              <c:numCache>
                <c:formatCode>_(* #,##0.00_);_(* \(#,##0.00\);_(* "-"??_);_(@_)</c:formatCode>
                <c:ptCount val="3"/>
                <c:pt idx="0">
                  <c:v>1.785839</c:v>
                </c:pt>
                <c:pt idx="1">
                  <c:v>1.0000739999999999</c:v>
                </c:pt>
                <c:pt idx="2">
                  <c:v>0.62355000000000005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('28'!$A$9,'28'!$A$13,'28'!$A$17)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('28'!$H$9,'28'!$H$13,'28'!$H$17)</c:f>
              <c:numCache>
                <c:formatCode>_(* #,##0.00_);_(* \(#,##0.00\);_(* "-"??_);_(@_)</c:formatCode>
                <c:ptCount val="3"/>
                <c:pt idx="0">
                  <c:v>1.8423039999999999</c:v>
                </c:pt>
                <c:pt idx="1">
                  <c:v>1.0446200000000001</c:v>
                </c:pt>
                <c:pt idx="2">
                  <c:v>0.61412999999999995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('28'!$A$9,'28'!$A$13,'28'!$A$17)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('28'!$E$9,'28'!$E$13,'28'!$E$17)</c:f>
              <c:numCache>
                <c:formatCode>_(* #,##0.00_);_(* \(#,##0.00\);_(* "-"??_);_(@_)</c:formatCode>
                <c:ptCount val="3"/>
                <c:pt idx="0">
                  <c:v>24.2649157</c:v>
                </c:pt>
                <c:pt idx="1">
                  <c:v>21.250562139999996</c:v>
                </c:pt>
                <c:pt idx="2">
                  <c:v>16.632452180000001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('28'!$A$9,'28'!$A$13,'28'!$A$17)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('28'!$J$9,'28'!$J$13,'28'!$J$17)</c:f>
              <c:numCache>
                <c:formatCode>_(* #,##0.00_);_(* \(#,##0.00\);_(* "-"??_);_(@_)</c:formatCode>
                <c:ptCount val="3"/>
                <c:pt idx="0">
                  <c:v>25.156192100000002</c:v>
                </c:pt>
                <c:pt idx="1">
                  <c:v>22.201448099999997</c:v>
                </c:pt>
                <c:pt idx="2">
                  <c:v>16.352926249999999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('28'!$A$9,'28'!$A$13,'28'!$A$17,'28'!$A$20)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('28'!$D$9,'28'!$D$13,'28'!$D$17,'28'!$D$20)</c:f>
              <c:numCache>
                <c:formatCode>_-* #,##0.000_-;\-* #,##0.000_-;_-* "-"??_-;_-@_-</c:formatCode>
                <c:ptCount val="4"/>
                <c:pt idx="0">
                  <c:v>0.45433276897029401</c:v>
                </c:pt>
                <c:pt idx="1">
                  <c:v>1.094876630219096</c:v>
                </c:pt>
                <c:pt idx="2">
                  <c:v>1.4861732617516847</c:v>
                </c:pt>
                <c:pt idx="3">
                  <c:v>0.64773556067872862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('28'!$A$9,'28'!$A$13,'28'!$A$17,'28'!$A$20)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('28'!$I$9,'28'!$I$13,'28'!$I$17,'28'!$I$20)</c:f>
              <c:numCache>
                <c:formatCode>_-* #,##0.000_-;\-* #,##0.000_-;_-* "-"??_-;_-@_-</c:formatCode>
                <c:ptCount val="4"/>
                <c:pt idx="0">
                  <c:v>0.4538423970847531</c:v>
                </c:pt>
                <c:pt idx="1">
                  <c:v>1.1443313085724616</c:v>
                </c:pt>
                <c:pt idx="2">
                  <c:v>1.4624493222124983</c:v>
                </c:pt>
                <c:pt idx="3">
                  <c:v>0.64928780661499275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68418048"/>
        <c:axId val="266097728"/>
      </c:barChart>
      <c:catAx>
        <c:axId val="26841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097728"/>
        <c:crosses val="autoZero"/>
        <c:auto val="1"/>
        <c:lblAlgn val="ctr"/>
        <c:lblOffset val="100"/>
        <c:noMultiLvlLbl val="0"/>
      </c:catAx>
      <c:valAx>
        <c:axId val="2660977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418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70430124805827"/>
          <c:y val="1.305774278215223E-3"/>
          <c:w val="9.8336922170442986E-2"/>
          <c:h val="0.1739180519101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('28'!$A$9,'28'!$A$13,'28'!$A$17,'28'!$A$20)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('28'!$F$9,'28'!$F$13,'28'!$F$17,'28'!$F$20)</c:f>
              <c:numCache>
                <c:formatCode>_(* #,##0.00_);_(* \(#,##0.00\);_(* "-"??_);_(@_)</c:formatCode>
                <c:ptCount val="4"/>
                <c:pt idx="0">
                  <c:v>13.587403847715276</c:v>
                </c:pt>
                <c:pt idx="1">
                  <c:v>21.248989714761105</c:v>
                </c:pt>
                <c:pt idx="2">
                  <c:v>26.673806719589447</c:v>
                </c:pt>
                <c:pt idx="3">
                  <c:v>18.228069939459672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('28'!$A$9,'28'!$A$13,'28'!$A$17,'28'!$A$20)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('28'!$K$9,'28'!$K$13,'28'!$K$17,'28'!$K$20)</c:f>
              <c:numCache>
                <c:formatCode>_(* #,##0.00_);_(* \(#,##0.00\);_(* "-"??_);_(@_)</c:formatCode>
                <c:ptCount val="4"/>
                <c:pt idx="0">
                  <c:v>13.654745416608769</c:v>
                </c:pt>
                <c:pt idx="1">
                  <c:v>21.253133292489128</c:v>
                </c:pt>
                <c:pt idx="2">
                  <c:v>26.62779256834872</c:v>
                </c:pt>
                <c:pt idx="3">
                  <c:v>18.197538926848885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68418560"/>
        <c:axId val="266099456"/>
      </c:barChart>
      <c:catAx>
        <c:axId val="2684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6099456"/>
        <c:crosses val="autoZero"/>
        <c:auto val="1"/>
        <c:lblAlgn val="ctr"/>
        <c:lblOffset val="100"/>
        <c:noMultiLvlLbl val="0"/>
      </c:catAx>
      <c:valAx>
        <c:axId val="2660994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418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982076467245718"/>
          <c:y val="1.5194663167104112E-2"/>
          <c:w val="0.1035125145439294"/>
          <c:h val="0.1674343832020997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'28_g'!$A$18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'28_g'!$B$16:$M$16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'28_g'!$B$18:$M$18</c:f>
              <c:numCache>
                <c:formatCode>#,##0_ ;\-#,##0\ </c:formatCode>
                <c:ptCount val="12"/>
                <c:pt idx="0">
                  <c:v>15</c:v>
                </c:pt>
                <c:pt idx="1">
                  <c:v>79</c:v>
                </c:pt>
                <c:pt idx="2">
                  <c:v>21</c:v>
                </c:pt>
                <c:pt idx="3">
                  <c:v>45</c:v>
                </c:pt>
                <c:pt idx="4">
                  <c:v>29</c:v>
                </c:pt>
                <c:pt idx="5">
                  <c:v>76</c:v>
                </c:pt>
                <c:pt idx="6">
                  <c:v>24</c:v>
                </c:pt>
                <c:pt idx="7">
                  <c:v>47</c:v>
                </c:pt>
                <c:pt idx="8">
                  <c:v>83</c:v>
                </c:pt>
                <c:pt idx="9">
                  <c:v>11</c:v>
                </c:pt>
                <c:pt idx="10">
                  <c:v>37</c:v>
                </c:pt>
                <c:pt idx="11">
                  <c:v>61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'28_g'!$A$19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'28_g'!$B$16:$M$16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'28_g'!$B$19:$M$19</c:f>
              <c:numCache>
                <c:formatCode>#,##0_ ;\-#,##0\ </c:formatCode>
                <c:ptCount val="12"/>
                <c:pt idx="0">
                  <c:v>55.29244712990937</c:v>
                </c:pt>
                <c:pt idx="1">
                  <c:v>83.526888217522668</c:v>
                </c:pt>
                <c:pt idx="2">
                  <c:v>34.116616314199398</c:v>
                </c:pt>
                <c:pt idx="3">
                  <c:v>47.057401812688823</c:v>
                </c:pt>
                <c:pt idx="4">
                  <c:v>45.096676737160124</c:v>
                </c:pt>
                <c:pt idx="5">
                  <c:v>81.174018126888228</c:v>
                </c:pt>
                <c:pt idx="6">
                  <c:v>44.704531722054377</c:v>
                </c:pt>
                <c:pt idx="7">
                  <c:v>51.76314199395771</c:v>
                </c:pt>
                <c:pt idx="8">
                  <c:v>72.154682779456195</c:v>
                </c:pt>
                <c:pt idx="9">
                  <c:v>34.900906344410878</c:v>
                </c:pt>
                <c:pt idx="10">
                  <c:v>59.606042296072509</c:v>
                </c:pt>
                <c:pt idx="11">
                  <c:v>39.606646525679757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'28_g'!$A$20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'28_g'!$B$16:$M$16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'28_g'!$B$20:$M$20</c:f>
              <c:numCache>
                <c:formatCode>#,##0_ ;\-#,##0\ </c:formatCode>
                <c:ptCount val="12"/>
                <c:pt idx="0">
                  <c:v>37</c:v>
                </c:pt>
                <c:pt idx="1">
                  <c:v>21</c:v>
                </c:pt>
                <c:pt idx="2">
                  <c:v>17</c:v>
                </c:pt>
                <c:pt idx="3">
                  <c:v>49</c:v>
                </c:pt>
                <c:pt idx="4">
                  <c:v>54</c:v>
                </c:pt>
                <c:pt idx="5">
                  <c:v>33</c:v>
                </c:pt>
                <c:pt idx="6">
                  <c:v>25</c:v>
                </c:pt>
                <c:pt idx="7">
                  <c:v>52</c:v>
                </c:pt>
                <c:pt idx="8">
                  <c:v>30</c:v>
                </c:pt>
                <c:pt idx="9">
                  <c:v>37</c:v>
                </c:pt>
                <c:pt idx="10">
                  <c:v>38</c:v>
                </c:pt>
                <c:pt idx="11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19360"/>
        <c:axId val="268845632"/>
      </c:lineChart>
      <c:catAx>
        <c:axId val="26791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845632"/>
        <c:crosses val="autoZero"/>
        <c:auto val="1"/>
        <c:lblAlgn val="ctr"/>
        <c:lblOffset val="100"/>
        <c:noMultiLvlLbl val="0"/>
      </c:catAx>
      <c:valAx>
        <c:axId val="2688456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9193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'28_g'!$B$39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'28_g'!$C$39:$N$39</c:f>
              <c:numCache>
                <c:formatCode>#,##0_ ;\-#,##0\ </c:formatCode>
                <c:ptCount val="12"/>
                <c:pt idx="0">
                  <c:v>15</c:v>
                </c:pt>
                <c:pt idx="1">
                  <c:v>94</c:v>
                </c:pt>
                <c:pt idx="2">
                  <c:v>115</c:v>
                </c:pt>
                <c:pt idx="3">
                  <c:v>160</c:v>
                </c:pt>
                <c:pt idx="4">
                  <c:v>189</c:v>
                </c:pt>
                <c:pt idx="5">
                  <c:v>265</c:v>
                </c:pt>
                <c:pt idx="6">
                  <c:v>289</c:v>
                </c:pt>
                <c:pt idx="7">
                  <c:v>336</c:v>
                </c:pt>
                <c:pt idx="8">
                  <c:v>419</c:v>
                </c:pt>
                <c:pt idx="9">
                  <c:v>430</c:v>
                </c:pt>
                <c:pt idx="10">
                  <c:v>467</c:v>
                </c:pt>
                <c:pt idx="11">
                  <c:v>528</c:v>
                </c:pt>
              </c:numCache>
            </c:numRef>
          </c:val>
        </c:ser>
        <c:ser>
          <c:idx val="0"/>
          <c:order val="2"/>
          <c:tx>
            <c:strRef>
              <c:f>'28_g'!$B$41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'28_g'!$C$41:$N$41</c:f>
              <c:numCache>
                <c:formatCode>#,##0_ ;\-#,##0\ </c:formatCode>
                <c:ptCount val="12"/>
                <c:pt idx="0">
                  <c:v>37</c:v>
                </c:pt>
                <c:pt idx="1">
                  <c:v>58</c:v>
                </c:pt>
                <c:pt idx="2">
                  <c:v>75</c:v>
                </c:pt>
                <c:pt idx="3">
                  <c:v>124</c:v>
                </c:pt>
                <c:pt idx="4">
                  <c:v>178</c:v>
                </c:pt>
                <c:pt idx="5">
                  <c:v>211</c:v>
                </c:pt>
                <c:pt idx="6">
                  <c:v>236</c:v>
                </c:pt>
                <c:pt idx="7">
                  <c:v>288</c:v>
                </c:pt>
                <c:pt idx="8">
                  <c:v>318</c:v>
                </c:pt>
                <c:pt idx="9">
                  <c:v>355</c:v>
                </c:pt>
                <c:pt idx="10">
                  <c:v>393</c:v>
                </c:pt>
                <c:pt idx="11">
                  <c:v>457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7919872"/>
        <c:axId val="268847936"/>
      </c:barChart>
      <c:lineChart>
        <c:grouping val="standard"/>
        <c:varyColors val="0"/>
        <c:ser>
          <c:idx val="3"/>
          <c:order val="1"/>
          <c:tx>
            <c:strRef>
              <c:f>'28_g'!$B$40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'28_g'!$C$37:$N$37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'28_g'!$C$40:$N$40</c:f>
              <c:numCache>
                <c:formatCode>#,##0_ ;\-#,##0\ </c:formatCode>
                <c:ptCount val="12"/>
                <c:pt idx="0">
                  <c:v>55.29244712990937</c:v>
                </c:pt>
                <c:pt idx="1">
                  <c:v>138.81933534743203</c:v>
                </c:pt>
                <c:pt idx="2">
                  <c:v>172.93595166163144</c:v>
                </c:pt>
                <c:pt idx="3">
                  <c:v>219.99335347432026</c:v>
                </c:pt>
                <c:pt idx="4">
                  <c:v>265.09003021148038</c:v>
                </c:pt>
                <c:pt idx="5">
                  <c:v>346.26404833836864</c:v>
                </c:pt>
                <c:pt idx="6">
                  <c:v>390.96858006042299</c:v>
                </c:pt>
                <c:pt idx="7">
                  <c:v>442.73172205438073</c:v>
                </c:pt>
                <c:pt idx="8">
                  <c:v>514.88640483383688</c:v>
                </c:pt>
                <c:pt idx="9">
                  <c:v>549.78731117824771</c:v>
                </c:pt>
                <c:pt idx="10">
                  <c:v>609.39335347432018</c:v>
                </c:pt>
                <c:pt idx="11">
                  <c:v>648.99999999999989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19872"/>
        <c:axId val="268847936"/>
      </c:lineChart>
      <c:catAx>
        <c:axId val="2679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847936"/>
        <c:crosses val="autoZero"/>
        <c:auto val="1"/>
        <c:lblAlgn val="ctr"/>
        <c:lblOffset val="100"/>
        <c:noMultiLvlLbl val="0"/>
      </c:catAx>
      <c:valAx>
        <c:axId val="2688479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9198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'28_g'!$AI$18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'28_g'!$AJ$16:$AU$16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'28_g'!$AJ$18:$AU$18</c:f>
              <c:numCache>
                <c:formatCode>#,##0.000_ ;\-#,##0.000\ </c:formatCode>
                <c:ptCount val="12"/>
                <c:pt idx="0">
                  <c:v>0.264405</c:v>
                </c:pt>
                <c:pt idx="1">
                  <c:v>0.29849100000000001</c:v>
                </c:pt>
                <c:pt idx="2">
                  <c:v>0.28104299999999999</c:v>
                </c:pt>
                <c:pt idx="3">
                  <c:v>0.28664499999999998</c:v>
                </c:pt>
                <c:pt idx="4">
                  <c:v>0.27131</c:v>
                </c:pt>
                <c:pt idx="5">
                  <c:v>0.26740599999999998</c:v>
                </c:pt>
                <c:pt idx="6">
                  <c:v>0.30878499999999998</c:v>
                </c:pt>
                <c:pt idx="7">
                  <c:v>0.314253</c:v>
                </c:pt>
                <c:pt idx="8">
                  <c:v>0.30951200000000001</c:v>
                </c:pt>
                <c:pt idx="9">
                  <c:v>0.29839500000000002</c:v>
                </c:pt>
                <c:pt idx="10">
                  <c:v>0.26188400000000001</c:v>
                </c:pt>
                <c:pt idx="11">
                  <c:v>0.29569299999999998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'28_g'!$AI$19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'28_g'!$AJ$16:$AU$16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'28_g'!$AJ$19:$AU$19</c:f>
              <c:numCache>
                <c:formatCode>#,##0.000_ ;\-#,##0.000\ </c:formatCode>
                <c:ptCount val="12"/>
                <c:pt idx="0">
                  <c:v>0.27886899999999998</c:v>
                </c:pt>
                <c:pt idx="1">
                  <c:v>0.29661500000000002</c:v>
                </c:pt>
                <c:pt idx="2">
                  <c:v>0.29128300000000001</c:v>
                </c:pt>
                <c:pt idx="3">
                  <c:v>0.31084899999999999</c:v>
                </c:pt>
                <c:pt idx="4">
                  <c:v>0.27248600000000001</c:v>
                </c:pt>
                <c:pt idx="5">
                  <c:v>0.27903699999999998</c:v>
                </c:pt>
                <c:pt idx="6">
                  <c:v>0.31644600000000001</c:v>
                </c:pt>
                <c:pt idx="7">
                  <c:v>0.31923000000000001</c:v>
                </c:pt>
                <c:pt idx="8">
                  <c:v>0.31953999999999999</c:v>
                </c:pt>
                <c:pt idx="9">
                  <c:v>0.30927100000000002</c:v>
                </c:pt>
                <c:pt idx="10">
                  <c:v>0.29198800000000003</c:v>
                </c:pt>
                <c:pt idx="11">
                  <c:v>0.30202600000000002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'28_g'!$AI$20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'28_g'!$AJ$16:$AU$16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'28_g'!$AJ$20:$AU$20</c:f>
              <c:numCache>
                <c:formatCode>#,##0.000_ ;\-#,##0.000\ </c:formatCode>
                <c:ptCount val="12"/>
                <c:pt idx="0">
                  <c:v>0.27932499999999999</c:v>
                </c:pt>
                <c:pt idx="1">
                  <c:v>0.277258</c:v>
                </c:pt>
                <c:pt idx="2">
                  <c:v>0.28963699999999998</c:v>
                </c:pt>
                <c:pt idx="3">
                  <c:v>0.30420700000000001</c:v>
                </c:pt>
                <c:pt idx="4">
                  <c:v>0.28287299999999999</c:v>
                </c:pt>
                <c:pt idx="5">
                  <c:v>0.280918</c:v>
                </c:pt>
                <c:pt idx="6">
                  <c:v>0.32759899999999997</c:v>
                </c:pt>
                <c:pt idx="7">
                  <c:v>0.29940499999999998</c:v>
                </c:pt>
                <c:pt idx="8">
                  <c:v>0.30396299999999998</c:v>
                </c:pt>
                <c:pt idx="9">
                  <c:v>0.30037900000000001</c:v>
                </c:pt>
                <c:pt idx="10">
                  <c:v>0.29159499999999999</c:v>
                </c:pt>
                <c:pt idx="11">
                  <c:v>0.2913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69888"/>
        <c:axId val="268850240"/>
      </c:lineChart>
      <c:catAx>
        <c:axId val="26806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850240"/>
        <c:crosses val="autoZero"/>
        <c:auto val="1"/>
        <c:lblAlgn val="ctr"/>
        <c:lblOffset val="100"/>
        <c:noMultiLvlLbl val="0"/>
      </c:catAx>
      <c:valAx>
        <c:axId val="2688502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4673122756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0698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2535976103"/>
          <c:y val="2.2161373086791118E-2"/>
          <c:w val="0.3512889552599027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'11_g'!$T$84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'11_g'!$U$82:$AF$82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'11_g'!$U$84:$AF$84</c:f>
              <c:numCache>
                <c:formatCode>#,##0_ ;\-#,##0\ </c:formatCode>
                <c:ptCount val="12"/>
                <c:pt idx="0">
                  <c:v>13.660655689999997</c:v>
                </c:pt>
                <c:pt idx="1">
                  <c:v>27.864929179999997</c:v>
                </c:pt>
                <c:pt idx="2">
                  <c:v>44.929976519999997</c:v>
                </c:pt>
                <c:pt idx="3">
                  <c:v>58.617729879999999</c:v>
                </c:pt>
                <c:pt idx="4">
                  <c:v>73.950720459999999</c:v>
                </c:pt>
                <c:pt idx="5">
                  <c:v>90.631350690000005</c:v>
                </c:pt>
                <c:pt idx="6">
                  <c:v>105.91080663000001</c:v>
                </c:pt>
                <c:pt idx="7">
                  <c:v>121.02826568</c:v>
                </c:pt>
                <c:pt idx="8">
                  <c:v>139.73941698000002</c:v>
                </c:pt>
                <c:pt idx="9">
                  <c:v>154.66812820000001</c:v>
                </c:pt>
                <c:pt idx="10">
                  <c:v>171.83212403000002</c:v>
                </c:pt>
                <c:pt idx="11">
                  <c:v>189.17266309000001</c:v>
                </c:pt>
              </c:numCache>
            </c:numRef>
          </c:val>
        </c:ser>
        <c:ser>
          <c:idx val="0"/>
          <c:order val="2"/>
          <c:tx>
            <c:strRef>
              <c:f>'11_g'!$T$86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'11_g'!$U$82:$AF$82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'11_g'!$U$86:$AF$86</c:f>
              <c:numCache>
                <c:formatCode>#,##0_ ;\-#,##0\ </c:formatCode>
                <c:ptCount val="12"/>
                <c:pt idx="0">
                  <c:v>15.907794939999997</c:v>
                </c:pt>
                <c:pt idx="1">
                  <c:v>32.628507369999994</c:v>
                </c:pt>
                <c:pt idx="2">
                  <c:v>48.807514719999993</c:v>
                </c:pt>
                <c:pt idx="3">
                  <c:v>63.708127119999993</c:v>
                </c:pt>
                <c:pt idx="4">
                  <c:v>79.40316795999999</c:v>
                </c:pt>
                <c:pt idx="5">
                  <c:v>96.964051699999985</c:v>
                </c:pt>
                <c:pt idx="6">
                  <c:v>115.56442592999998</c:v>
                </c:pt>
                <c:pt idx="7">
                  <c:v>132.72539791999998</c:v>
                </c:pt>
                <c:pt idx="8">
                  <c:v>151.28950854999999</c:v>
                </c:pt>
                <c:pt idx="9">
                  <c:v>151.28950854999999</c:v>
                </c:pt>
                <c:pt idx="10">
                  <c:v>151.28950854999999</c:v>
                </c:pt>
                <c:pt idx="11">
                  <c:v>151.28950854999999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3404160"/>
        <c:axId val="172906688"/>
      </c:barChart>
      <c:lineChart>
        <c:grouping val="standard"/>
        <c:varyColors val="0"/>
        <c:ser>
          <c:idx val="3"/>
          <c:order val="1"/>
          <c:tx>
            <c:strRef>
              <c:f>'11_g'!$T$85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'11_g'!$U$82:$AF$82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'11_g'!$U$85:$AF$85</c:f>
              <c:numCache>
                <c:formatCode>#,##0_ ;\-#,##0\ </c:formatCode>
                <c:ptCount val="12"/>
                <c:pt idx="0">
                  <c:v>16.807950000000002</c:v>
                </c:pt>
                <c:pt idx="1">
                  <c:v>31.638150000000003</c:v>
                </c:pt>
                <c:pt idx="2">
                  <c:v>45.460988</c:v>
                </c:pt>
                <c:pt idx="3">
                  <c:v>60.172173999999998</c:v>
                </c:pt>
                <c:pt idx="4">
                  <c:v>74.870301999999995</c:v>
                </c:pt>
                <c:pt idx="5">
                  <c:v>90.942194000000001</c:v>
                </c:pt>
                <c:pt idx="6">
                  <c:v>106.51371399999999</c:v>
                </c:pt>
                <c:pt idx="7">
                  <c:v>122.17536699999999</c:v>
                </c:pt>
                <c:pt idx="8">
                  <c:v>138.60144099999999</c:v>
                </c:pt>
                <c:pt idx="9">
                  <c:v>154.69218000000001</c:v>
                </c:pt>
                <c:pt idx="10">
                  <c:v>171.15692000000001</c:v>
                </c:pt>
                <c:pt idx="11">
                  <c:v>188.72807600000002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04160"/>
        <c:axId val="172906688"/>
      </c:lineChart>
      <c:catAx>
        <c:axId val="1734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906688"/>
        <c:crosses val="autoZero"/>
        <c:auto val="1"/>
        <c:lblAlgn val="ctr"/>
        <c:lblOffset val="100"/>
        <c:noMultiLvlLbl val="0"/>
      </c:catAx>
      <c:valAx>
        <c:axId val="1729066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4041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'28_g'!$AJ$39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'28_g'!$AK$39:$AV$39</c:f>
              <c:numCache>
                <c:formatCode>#,##0.000_ ;\-#,##0.000\ </c:formatCode>
                <c:ptCount val="12"/>
                <c:pt idx="0">
                  <c:v>0.264405</c:v>
                </c:pt>
                <c:pt idx="1">
                  <c:v>0.56289600000000006</c:v>
                </c:pt>
                <c:pt idx="2">
                  <c:v>0.84393899999999999</c:v>
                </c:pt>
                <c:pt idx="3">
                  <c:v>1.130584</c:v>
                </c:pt>
                <c:pt idx="4">
                  <c:v>1.401894</c:v>
                </c:pt>
                <c:pt idx="5">
                  <c:v>1.6693</c:v>
                </c:pt>
                <c:pt idx="6">
                  <c:v>1.9780850000000001</c:v>
                </c:pt>
                <c:pt idx="7">
                  <c:v>2.292338</c:v>
                </c:pt>
                <c:pt idx="8">
                  <c:v>2.6018499999999998</c:v>
                </c:pt>
                <c:pt idx="9">
                  <c:v>2.900245</c:v>
                </c:pt>
                <c:pt idx="10">
                  <c:v>3.1621290000000002</c:v>
                </c:pt>
                <c:pt idx="11">
                  <c:v>3.4578220000000002</c:v>
                </c:pt>
              </c:numCache>
            </c:numRef>
          </c:val>
        </c:ser>
        <c:ser>
          <c:idx val="0"/>
          <c:order val="2"/>
          <c:tx>
            <c:strRef>
              <c:f>'28_g'!$AJ$41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'28_g'!$AK$41:$AV$41</c:f>
              <c:numCache>
                <c:formatCode>#,##0.000_ ;\-#,##0.000\ </c:formatCode>
                <c:ptCount val="12"/>
                <c:pt idx="0">
                  <c:v>0.27932499999999999</c:v>
                </c:pt>
                <c:pt idx="1">
                  <c:v>0.55658300000000005</c:v>
                </c:pt>
                <c:pt idx="2">
                  <c:v>0.84621999999999997</c:v>
                </c:pt>
                <c:pt idx="3">
                  <c:v>1.1504270000000001</c:v>
                </c:pt>
                <c:pt idx="4">
                  <c:v>1.4333</c:v>
                </c:pt>
                <c:pt idx="5">
                  <c:v>1.714218</c:v>
                </c:pt>
                <c:pt idx="6">
                  <c:v>2.041817</c:v>
                </c:pt>
                <c:pt idx="7">
                  <c:v>2.3412220000000001</c:v>
                </c:pt>
                <c:pt idx="8">
                  <c:v>2.6451850000000001</c:v>
                </c:pt>
                <c:pt idx="9">
                  <c:v>2.9455640000000001</c:v>
                </c:pt>
                <c:pt idx="10">
                  <c:v>3.2371590000000001</c:v>
                </c:pt>
                <c:pt idx="11">
                  <c:v>3.5284590000000002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7920896"/>
        <c:axId val="268852544"/>
      </c:barChart>
      <c:lineChart>
        <c:grouping val="standard"/>
        <c:varyColors val="0"/>
        <c:ser>
          <c:idx val="3"/>
          <c:order val="1"/>
          <c:tx>
            <c:strRef>
              <c:f>'28_g'!$AJ$40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'28_g'!$AK$37:$AV$37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'28_g'!$AK$40:$AV$40</c:f>
              <c:numCache>
                <c:formatCode>#,##0.000_ ;\-#,##0.000\ </c:formatCode>
                <c:ptCount val="12"/>
                <c:pt idx="0">
                  <c:v>0.27886899999999998</c:v>
                </c:pt>
                <c:pt idx="1">
                  <c:v>0.575484</c:v>
                </c:pt>
                <c:pt idx="2">
                  <c:v>0.86676700000000007</c:v>
                </c:pt>
                <c:pt idx="3">
                  <c:v>1.177616</c:v>
                </c:pt>
                <c:pt idx="4">
                  <c:v>1.450102</c:v>
                </c:pt>
                <c:pt idx="5">
                  <c:v>1.729139</c:v>
                </c:pt>
                <c:pt idx="6">
                  <c:v>2.045585</c:v>
                </c:pt>
                <c:pt idx="7">
                  <c:v>2.3648150000000001</c:v>
                </c:pt>
                <c:pt idx="8">
                  <c:v>2.684355</c:v>
                </c:pt>
                <c:pt idx="9">
                  <c:v>2.9936259999999999</c:v>
                </c:pt>
                <c:pt idx="10">
                  <c:v>3.2856139999999998</c:v>
                </c:pt>
                <c:pt idx="11">
                  <c:v>3.5876399999999999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20896"/>
        <c:axId val="268852544"/>
      </c:lineChart>
      <c:catAx>
        <c:axId val="2679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852544"/>
        <c:crosses val="autoZero"/>
        <c:auto val="1"/>
        <c:lblAlgn val="ctr"/>
        <c:lblOffset val="100"/>
        <c:noMultiLvlLbl val="0"/>
      </c:catAx>
      <c:valAx>
        <c:axId val="2688525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9208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0323822176"/>
          <c:y val="2.2161373086791118E-2"/>
          <c:w val="0.33180959676177824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'28_g'!$AY$18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'28_g'!$AZ$16:$BK$16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'28_g'!$AZ$18:$BK$18</c:f>
              <c:numCache>
                <c:formatCode>#,##0.000_ ;\-#,##0.000\ </c:formatCode>
                <c:ptCount val="12"/>
                <c:pt idx="0">
                  <c:v>9.0307999999999999E-2</c:v>
                </c:pt>
                <c:pt idx="1">
                  <c:v>0.112399</c:v>
                </c:pt>
                <c:pt idx="2">
                  <c:v>0.106876</c:v>
                </c:pt>
                <c:pt idx="3">
                  <c:v>0.10383299999999999</c:v>
                </c:pt>
                <c:pt idx="4">
                  <c:v>8.7499999999999994E-2</c:v>
                </c:pt>
                <c:pt idx="5">
                  <c:v>0.10222299999999999</c:v>
                </c:pt>
                <c:pt idx="6">
                  <c:v>8.6636000000000005E-2</c:v>
                </c:pt>
                <c:pt idx="7">
                  <c:v>9.1994999999999993E-2</c:v>
                </c:pt>
                <c:pt idx="8">
                  <c:v>5.8399E-2</c:v>
                </c:pt>
                <c:pt idx="9">
                  <c:v>9.7920999999999994E-2</c:v>
                </c:pt>
                <c:pt idx="10">
                  <c:v>0.131163</c:v>
                </c:pt>
                <c:pt idx="11">
                  <c:v>0.11151800000000001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'28_g'!$AY$19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'28_g'!$AZ$16:$BK$16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'28_g'!$AZ$19:$BK$19</c:f>
              <c:numCache>
                <c:formatCode>#,##0.000_ ;\-#,##0.000\ </c:formatCode>
                <c:ptCount val="12"/>
                <c:pt idx="0">
                  <c:v>0.13814799999999999</c:v>
                </c:pt>
                <c:pt idx="1">
                  <c:v>0.135237</c:v>
                </c:pt>
                <c:pt idx="2">
                  <c:v>0.14594699999999999</c:v>
                </c:pt>
                <c:pt idx="3">
                  <c:v>0.125227</c:v>
                </c:pt>
                <c:pt idx="4">
                  <c:v>0.113763</c:v>
                </c:pt>
                <c:pt idx="5">
                  <c:v>0.12135</c:v>
                </c:pt>
                <c:pt idx="6">
                  <c:v>0.116815</c:v>
                </c:pt>
                <c:pt idx="7">
                  <c:v>0.117995</c:v>
                </c:pt>
                <c:pt idx="8">
                  <c:v>0.10388</c:v>
                </c:pt>
                <c:pt idx="9">
                  <c:v>0.109816</c:v>
                </c:pt>
                <c:pt idx="10">
                  <c:v>0.122541</c:v>
                </c:pt>
                <c:pt idx="11">
                  <c:v>0.114651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'28_g'!$AY$20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'28_g'!$AZ$16:$BK$16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'28_g'!$AZ$20:$BK$20</c:f>
              <c:numCache>
                <c:formatCode>#,##0.000_ ;\-#,##0.000\ </c:formatCode>
                <c:ptCount val="12"/>
                <c:pt idx="0">
                  <c:v>0.118745</c:v>
                </c:pt>
                <c:pt idx="1">
                  <c:v>0.11953900000000001</c:v>
                </c:pt>
                <c:pt idx="2">
                  <c:v>0.118895</c:v>
                </c:pt>
                <c:pt idx="3">
                  <c:v>0.122174</c:v>
                </c:pt>
                <c:pt idx="4">
                  <c:v>0.105571</c:v>
                </c:pt>
                <c:pt idx="5">
                  <c:v>0.113478</c:v>
                </c:pt>
                <c:pt idx="6">
                  <c:v>0.11702899999999999</c:v>
                </c:pt>
                <c:pt idx="7">
                  <c:v>0.127079</c:v>
                </c:pt>
                <c:pt idx="8">
                  <c:v>0.117171</c:v>
                </c:pt>
                <c:pt idx="9">
                  <c:v>0.11740299999999999</c:v>
                </c:pt>
                <c:pt idx="10">
                  <c:v>0.116394</c:v>
                </c:pt>
                <c:pt idx="11">
                  <c:v>0.11550000000000001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21920"/>
        <c:axId val="268920512"/>
      </c:lineChart>
      <c:catAx>
        <c:axId val="2679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920512"/>
        <c:crosses val="autoZero"/>
        <c:auto val="1"/>
        <c:lblAlgn val="ctr"/>
        <c:lblOffset val="100"/>
        <c:noMultiLvlLbl val="0"/>
      </c:catAx>
      <c:valAx>
        <c:axId val="268920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47184891364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9219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314842223"/>
          <c:y val="2.2161373086791118E-2"/>
          <c:w val="0.3530097685157775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'28_g'!$AY$39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'28_g'!$AZ$37:$BO$37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'28_g'!$AZ$39:$BO$39</c:f>
              <c:numCache>
                <c:formatCode>_(* #,##0.00_);_(* \(#,##0.00\);_(* "-"??_);_(@_)</c:formatCode>
                <c:ptCount val="16"/>
                <c:pt idx="0">
                  <c:v>25.440163163202641</c:v>
                </c:pt>
                <c:pt idx="1">
                  <c:v>27.333523016052506</c:v>
                </c:pt>
                <c:pt idx="2">
                  <c:v>27.537199026061863</c:v>
                </c:pt>
                <c:pt idx="3">
                  <c:v>26.819745129124762</c:v>
                </c:pt>
                <c:pt idx="4">
                  <c:v>26.560169849207671</c:v>
                </c:pt>
                <c:pt idx="5">
                  <c:v>24.362672487721213</c:v>
                </c:pt>
                <c:pt idx="6">
                  <c:v>27.598821779264505</c:v>
                </c:pt>
                <c:pt idx="7">
                  <c:v>26.514051846544078</c:v>
                </c:pt>
                <c:pt idx="8">
                  <c:v>21.838402476343159</c:v>
                </c:pt>
                <c:pt idx="9">
                  <c:v>22.585048376365918</c:v>
                </c:pt>
                <c:pt idx="10">
                  <c:v>15.865628862898514</c:v>
                </c:pt>
                <c:pt idx="11">
                  <c:v>24.374513333078031</c:v>
                </c:pt>
                <c:pt idx="12">
                  <c:v>24.695346467733962</c:v>
                </c:pt>
                <c:pt idx="13">
                  <c:v>33.292044967091989</c:v>
                </c:pt>
                <c:pt idx="14">
                  <c:v>27.36819372081095</c:v>
                </c:pt>
                <c:pt idx="15">
                  <c:v>25.420904126305039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'28_g'!$AY$40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'28_g'!$AZ$37:$BO$37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'28_g'!$AZ$40:$BO$40</c:f>
              <c:numCache>
                <c:formatCode>_(* #,##0.00_);_(* \(#,##0.00\);_(* "-"??_);_(@_)</c:formatCode>
                <c:ptCount val="16"/>
                <c:pt idx="0">
                  <c:v>28.999942608465052</c:v>
                </c:pt>
                <c:pt idx="1">
                  <c:v>28.999942608465052</c:v>
                </c:pt>
                <c:pt idx="2">
                  <c:v>28.999942608465052</c:v>
                </c:pt>
                <c:pt idx="3">
                  <c:v>28.999942608465052</c:v>
                </c:pt>
                <c:pt idx="4">
                  <c:v>28.999942608465052</c:v>
                </c:pt>
                <c:pt idx="5">
                  <c:v>28.999942608465052</c:v>
                </c:pt>
                <c:pt idx="6">
                  <c:v>28.999942608465052</c:v>
                </c:pt>
                <c:pt idx="7">
                  <c:v>28.999942608465052</c:v>
                </c:pt>
                <c:pt idx="8">
                  <c:v>28.999942608465052</c:v>
                </c:pt>
                <c:pt idx="9">
                  <c:v>28.999942608465052</c:v>
                </c:pt>
                <c:pt idx="10">
                  <c:v>28.999942608465052</c:v>
                </c:pt>
                <c:pt idx="11">
                  <c:v>28.999942608465052</c:v>
                </c:pt>
                <c:pt idx="12">
                  <c:v>28.999942608465052</c:v>
                </c:pt>
                <c:pt idx="13">
                  <c:v>28.999942608465052</c:v>
                </c:pt>
                <c:pt idx="14">
                  <c:v>28.999942608465052</c:v>
                </c:pt>
                <c:pt idx="15">
                  <c:v>28.999942608465052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'28_g'!$AY$41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'28_g'!$AZ$37:$BO$37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'28_g'!$AZ$41:$BO$41</c:f>
              <c:numCache>
                <c:formatCode>_(* #,##0.00_);_(* \(#,##0.00\);_(* "-"??_);_(@_)</c:formatCode>
                <c:ptCount val="16"/>
                <c:pt idx="0">
                  <c:v>29.83018062149873</c:v>
                </c:pt>
                <c:pt idx="1">
                  <c:v>30.125983815401831</c:v>
                </c:pt>
                <c:pt idx="2">
                  <c:v>29.102983364828216</c:v>
                </c:pt>
                <c:pt idx="3">
                  <c:v>29.680845671302702</c:v>
                </c:pt>
                <c:pt idx="4">
                  <c:v>28.627329687375518</c:v>
                </c:pt>
                <c:pt idx="5">
                  <c:v>27.163794301240717</c:v>
                </c:pt>
                <c:pt idx="6">
                  <c:v>28.760863449387543</c:v>
                </c:pt>
                <c:pt idx="7">
                  <c:v>28.938797767111303</c:v>
                </c:pt>
                <c:pt idx="8">
                  <c:v>26.312310435304621</c:v>
                </c:pt>
                <c:pt idx="9">
                  <c:v>29.778673446671899</c:v>
                </c:pt>
                <c:pt idx="10">
                  <c:v>27.816725028191584</c:v>
                </c:pt>
                <c:pt idx="11">
                  <c:v>28.592771676000339</c:v>
                </c:pt>
                <c:pt idx="12">
                  <c:v>28.093831958190556</c:v>
                </c:pt>
                <c:pt idx="13">
                  <c:v>28.512706446065582</c:v>
                </c:pt>
                <c:pt idx="14">
                  <c:v>28.391911623722365</c:v>
                </c:pt>
                <c:pt idx="15">
                  <c:v>28.527394521399422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22432"/>
        <c:axId val="268922816"/>
      </c:lineChart>
      <c:catAx>
        <c:axId val="26792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922816"/>
        <c:crosses val="autoZero"/>
        <c:auto val="1"/>
        <c:lblAlgn val="ctr"/>
        <c:lblOffset val="100"/>
        <c:noMultiLvlLbl val="0"/>
      </c:catAx>
      <c:valAx>
        <c:axId val="2689228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0578854948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9224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8965147093"/>
          <c:y val="2.2161373086791118E-2"/>
          <c:w val="0.28303072045072375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'28_g'!$A$64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'28_g'!$B$62:$M$62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'28_g'!$B$64:$M$64</c:f>
              <c:numCache>
                <c:formatCode>#,##0.00_ ;\-#,##0.00\ </c:formatCode>
                <c:ptCount val="12"/>
                <c:pt idx="0">
                  <c:v>5.3074076900000007</c:v>
                </c:pt>
                <c:pt idx="1">
                  <c:v>5.8192314100000004</c:v>
                </c:pt>
                <c:pt idx="2">
                  <c:v>5.65595553</c:v>
                </c:pt>
                <c:pt idx="3">
                  <c:v>5.81297687</c:v>
                </c:pt>
                <c:pt idx="4">
                  <c:v>5.4576230099999998</c:v>
                </c:pt>
                <c:pt idx="5">
                  <c:v>5.3736207199999999</c:v>
                </c:pt>
                <c:pt idx="6">
                  <c:v>6.1873442000000001</c:v>
                </c:pt>
                <c:pt idx="7">
                  <c:v>6.2527159900000013</c:v>
                </c:pt>
                <c:pt idx="8">
                  <c:v>6.2264257999999995</c:v>
                </c:pt>
                <c:pt idx="9">
                  <c:v>6.0169982600000003</c:v>
                </c:pt>
                <c:pt idx="10">
                  <c:v>5.2366614800000004</c:v>
                </c:pt>
                <c:pt idx="11">
                  <c:v>5.9802108699999996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'28_g'!$A$65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'28_g'!$B$62:$M$62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'28_g'!$B$65:$M$65</c:f>
              <c:numCache>
                <c:formatCode>#,##0.00_ ;\-#,##0.00\ </c:formatCode>
                <c:ptCount val="12"/>
                <c:pt idx="0">
                  <c:v>5.6393649999999997</c:v>
                </c:pt>
                <c:pt idx="1">
                  <c:v>5.9350779999999999</c:v>
                </c:pt>
                <c:pt idx="2">
                  <c:v>5.8351430000000004</c:v>
                </c:pt>
                <c:pt idx="3">
                  <c:v>6.2293200000000004</c:v>
                </c:pt>
                <c:pt idx="4">
                  <c:v>5.4240560000000002</c:v>
                </c:pt>
                <c:pt idx="5">
                  <c:v>5.7695869999999996</c:v>
                </c:pt>
                <c:pt idx="6">
                  <c:v>6.3258239999999999</c:v>
                </c:pt>
                <c:pt idx="7">
                  <c:v>6.335159</c:v>
                </c:pt>
                <c:pt idx="8">
                  <c:v>6.29183</c:v>
                </c:pt>
                <c:pt idx="9">
                  <c:v>6.1689879999999997</c:v>
                </c:pt>
                <c:pt idx="10">
                  <c:v>5.6782760000000003</c:v>
                </c:pt>
                <c:pt idx="11">
                  <c:v>6.2264239999999997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'28_g'!$A$66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'28_g'!$B$62:$M$62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'28_g'!$B$66:$M$66</c:f>
              <c:numCache>
                <c:formatCode>#,##0.00_ ;\-#,##0.00\ </c:formatCode>
                <c:ptCount val="12"/>
                <c:pt idx="0">
                  <c:v>5.6590439799999999</c:v>
                </c:pt>
                <c:pt idx="1">
                  <c:v>5.5927753899999999</c:v>
                </c:pt>
                <c:pt idx="2">
                  <c:v>5.8245519000000003</c:v>
                </c:pt>
                <c:pt idx="3">
                  <c:v>6.2463134399999998</c:v>
                </c:pt>
                <c:pt idx="4">
                  <c:v>5.7224228899999998</c:v>
                </c:pt>
                <c:pt idx="5">
                  <c:v>5.65644847</c:v>
                </c:pt>
                <c:pt idx="6">
                  <c:v>6.5354260199999992</c:v>
                </c:pt>
                <c:pt idx="7">
                  <c:v>6.0171656100000002</c:v>
                </c:pt>
                <c:pt idx="8">
                  <c:v>6.1476030999999995</c:v>
                </c:pt>
                <c:pt idx="9">
                  <c:v>6.0317262399999994</c:v>
                </c:pt>
                <c:pt idx="10">
                  <c:v>5.8863720100000005</c:v>
                </c:pt>
                <c:pt idx="11">
                  <c:v>5.8860886399999996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22944"/>
        <c:axId val="268925120"/>
      </c:lineChart>
      <c:catAx>
        <c:axId val="2679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925120"/>
        <c:crosses val="autoZero"/>
        <c:auto val="1"/>
        <c:lblAlgn val="ctr"/>
        <c:lblOffset val="100"/>
        <c:noMultiLvlLbl val="0"/>
      </c:catAx>
      <c:valAx>
        <c:axId val="2689251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79229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'28_g'!$B$85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'28_g'!$C$85:$N$85</c:f>
              <c:numCache>
                <c:formatCode>#,##0.00_ ;\-#,##0.00\ </c:formatCode>
                <c:ptCount val="12"/>
                <c:pt idx="0">
                  <c:v>5.3074076900000007</c:v>
                </c:pt>
                <c:pt idx="1">
                  <c:v>11.126639100000002</c:v>
                </c:pt>
                <c:pt idx="2">
                  <c:v>16.782594630000002</c:v>
                </c:pt>
                <c:pt idx="3">
                  <c:v>22.595571500000002</c:v>
                </c:pt>
                <c:pt idx="4">
                  <c:v>28.053194510000001</c:v>
                </c:pt>
                <c:pt idx="5">
                  <c:v>33.426815230000003</c:v>
                </c:pt>
                <c:pt idx="6">
                  <c:v>39.614159430000001</c:v>
                </c:pt>
                <c:pt idx="7">
                  <c:v>45.86687542</c:v>
                </c:pt>
                <c:pt idx="8">
                  <c:v>52.093301220000001</c:v>
                </c:pt>
                <c:pt idx="9">
                  <c:v>58.110299480000002</c:v>
                </c:pt>
                <c:pt idx="10">
                  <c:v>63.346960960000004</c:v>
                </c:pt>
                <c:pt idx="11">
                  <c:v>69.327171829999997</c:v>
                </c:pt>
              </c:numCache>
            </c:numRef>
          </c:val>
        </c:ser>
        <c:ser>
          <c:idx val="0"/>
          <c:order val="2"/>
          <c:tx>
            <c:strRef>
              <c:f>'28_g'!$B$87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'28_g'!$C$87:$N$87</c:f>
              <c:numCache>
                <c:formatCode>#,##0.00_ ;\-#,##0.00\ </c:formatCode>
                <c:ptCount val="12"/>
                <c:pt idx="0">
                  <c:v>5.6590439799999999</c:v>
                </c:pt>
                <c:pt idx="1">
                  <c:v>11.25181937</c:v>
                </c:pt>
                <c:pt idx="2">
                  <c:v>17.076371269999999</c:v>
                </c:pt>
                <c:pt idx="3">
                  <c:v>23.322684709999997</c:v>
                </c:pt>
                <c:pt idx="4">
                  <c:v>29.045107599999998</c:v>
                </c:pt>
                <c:pt idx="5">
                  <c:v>34.701556069999995</c:v>
                </c:pt>
                <c:pt idx="6">
                  <c:v>41.236982089999998</c:v>
                </c:pt>
                <c:pt idx="7">
                  <c:v>47.254147699999997</c:v>
                </c:pt>
                <c:pt idx="8">
                  <c:v>53.401750799999995</c:v>
                </c:pt>
                <c:pt idx="9">
                  <c:v>59.433477039999993</c:v>
                </c:pt>
                <c:pt idx="10">
                  <c:v>65.319849049999988</c:v>
                </c:pt>
                <c:pt idx="11">
                  <c:v>71.205937689999985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9606912"/>
        <c:axId val="269140544"/>
      </c:barChart>
      <c:lineChart>
        <c:grouping val="standard"/>
        <c:varyColors val="0"/>
        <c:ser>
          <c:idx val="3"/>
          <c:order val="1"/>
          <c:tx>
            <c:strRef>
              <c:f>'28_g'!$B$86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'28_g'!$C$83:$N$83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'28_g'!$C$86:$N$86</c:f>
              <c:numCache>
                <c:formatCode>#,##0.00_ ;\-#,##0.00\ </c:formatCode>
                <c:ptCount val="12"/>
                <c:pt idx="0">
                  <c:v>5.6393649999999997</c:v>
                </c:pt>
                <c:pt idx="1">
                  <c:v>11.574442999999999</c:v>
                </c:pt>
                <c:pt idx="2">
                  <c:v>17.409585999999997</c:v>
                </c:pt>
                <c:pt idx="3">
                  <c:v>23.638905999999999</c:v>
                </c:pt>
                <c:pt idx="4">
                  <c:v>29.062961999999999</c:v>
                </c:pt>
                <c:pt idx="5">
                  <c:v>34.832549</c:v>
                </c:pt>
                <c:pt idx="6">
                  <c:v>41.158372999999997</c:v>
                </c:pt>
                <c:pt idx="7">
                  <c:v>47.493531999999995</c:v>
                </c:pt>
                <c:pt idx="8">
                  <c:v>53.785361999999992</c:v>
                </c:pt>
                <c:pt idx="9">
                  <c:v>59.954349999999991</c:v>
                </c:pt>
                <c:pt idx="10">
                  <c:v>65.632625999999988</c:v>
                </c:pt>
                <c:pt idx="11">
                  <c:v>71.859049999999982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06912"/>
        <c:axId val="269140544"/>
      </c:lineChart>
      <c:catAx>
        <c:axId val="2696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140544"/>
        <c:crosses val="autoZero"/>
        <c:auto val="1"/>
        <c:lblAlgn val="ctr"/>
        <c:lblOffset val="100"/>
        <c:noMultiLvlLbl val="0"/>
      </c:catAx>
      <c:valAx>
        <c:axId val="2691405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6069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'28_g'!$S$64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'28_g'!$T$62:$AE$62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'28_g'!$T$64:$AE$64</c:f>
              <c:numCache>
                <c:formatCode>#,##0.00_ ;\-#,##0.00\ </c:formatCode>
                <c:ptCount val="12"/>
                <c:pt idx="0">
                  <c:v>1.8778463699999999</c:v>
                </c:pt>
                <c:pt idx="1">
                  <c:v>1.7900357099999997</c:v>
                </c:pt>
                <c:pt idx="2">
                  <c:v>1.9023198399999999</c:v>
                </c:pt>
                <c:pt idx="3">
                  <c:v>1.8854750000000002</c:v>
                </c:pt>
                <c:pt idx="4">
                  <c:v>1.8235301799999999</c:v>
                </c:pt>
                <c:pt idx="5">
                  <c:v>2.0150928499999998</c:v>
                </c:pt>
                <c:pt idx="6">
                  <c:v>1.7986329199999997</c:v>
                </c:pt>
                <c:pt idx="7">
                  <c:v>1.9861247900000001</c:v>
                </c:pt>
                <c:pt idx="8">
                  <c:v>1.8181917799999998</c:v>
                </c:pt>
                <c:pt idx="9">
                  <c:v>1.96504631</c:v>
                </c:pt>
                <c:pt idx="10">
                  <c:v>1.8669207800000003</c:v>
                </c:pt>
                <c:pt idx="11">
                  <c:v>1.7403005900000004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'28_g'!$S$65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'28_g'!$T$62:$AE$62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'28_g'!$T$65:$AE$65</c:f>
              <c:numCache>
                <c:formatCode>#,##0.00_ ;\-#,##0.00\ </c:formatCode>
                <c:ptCount val="12"/>
                <c:pt idx="0">
                  <c:v>1.9885349999999999</c:v>
                </c:pt>
                <c:pt idx="1">
                  <c:v>1.905559</c:v>
                </c:pt>
                <c:pt idx="2">
                  <c:v>1.897227</c:v>
                </c:pt>
                <c:pt idx="3">
                  <c:v>1.9997290000000001</c:v>
                </c:pt>
                <c:pt idx="4">
                  <c:v>1.9197740000000001</c:v>
                </c:pt>
                <c:pt idx="5">
                  <c:v>2.0139260000000001</c:v>
                </c:pt>
                <c:pt idx="6">
                  <c:v>1.7963229999999999</c:v>
                </c:pt>
                <c:pt idx="7">
                  <c:v>2.0080900000000002</c:v>
                </c:pt>
                <c:pt idx="8">
                  <c:v>2.113105</c:v>
                </c:pt>
                <c:pt idx="9">
                  <c:v>2.0623870000000002</c:v>
                </c:pt>
                <c:pt idx="10">
                  <c:v>2.038611</c:v>
                </c:pt>
                <c:pt idx="11">
                  <c:v>2.1758359999999999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'28_g'!$S$66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'28_g'!$T$62:$AE$62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'28_g'!$T$66:$AE$66</c:f>
              <c:numCache>
                <c:formatCode>#,##0.00_ ;\-#,##0.00\ </c:formatCode>
                <c:ptCount val="12"/>
                <c:pt idx="0">
                  <c:v>1.7437594499999998</c:v>
                </c:pt>
                <c:pt idx="1">
                  <c:v>1.6733828400000001</c:v>
                </c:pt>
                <c:pt idx="2">
                  <c:v>1.9148218200000005</c:v>
                </c:pt>
                <c:pt idx="3">
                  <c:v>1.6826715300000001</c:v>
                </c:pt>
                <c:pt idx="4">
                  <c:v>1.6006772600000001</c:v>
                </c:pt>
                <c:pt idx="5">
                  <c:v>1.7917451000000002</c:v>
                </c:pt>
                <c:pt idx="6">
                  <c:v>1.6535347000000002</c:v>
                </c:pt>
                <c:pt idx="7">
                  <c:v>1.7693904400000005</c:v>
                </c:pt>
                <c:pt idx="8">
                  <c:v>1.9996520100000001</c:v>
                </c:pt>
                <c:pt idx="9">
                  <c:v>2.0405065099999997</c:v>
                </c:pt>
                <c:pt idx="10">
                  <c:v>1.8929176000000003</c:v>
                </c:pt>
                <c:pt idx="11">
                  <c:v>2.0988737100000003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68352"/>
        <c:axId val="269142848"/>
      </c:lineChart>
      <c:catAx>
        <c:axId val="26806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142848"/>
        <c:crosses val="autoZero"/>
        <c:auto val="1"/>
        <c:lblAlgn val="ctr"/>
        <c:lblOffset val="100"/>
        <c:noMultiLvlLbl val="0"/>
      </c:catAx>
      <c:valAx>
        <c:axId val="2691428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0683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'28_g'!$T$85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'28_g'!$U$85:$AF$85</c:f>
              <c:numCache>
                <c:formatCode>#,##0.00_ ;\-#,##0.00\ </c:formatCode>
                <c:ptCount val="12"/>
                <c:pt idx="0">
                  <c:v>1.8778463699999999</c:v>
                </c:pt>
                <c:pt idx="1">
                  <c:v>3.6678820799999996</c:v>
                </c:pt>
                <c:pt idx="2">
                  <c:v>5.5702019199999997</c:v>
                </c:pt>
                <c:pt idx="3">
                  <c:v>7.4556769200000002</c:v>
                </c:pt>
                <c:pt idx="4">
                  <c:v>9.2792071000000007</c:v>
                </c:pt>
                <c:pt idx="5">
                  <c:v>11.294299950000001</c:v>
                </c:pt>
                <c:pt idx="6">
                  <c:v>13.09293287</c:v>
                </c:pt>
                <c:pt idx="7">
                  <c:v>15.07905766</c:v>
                </c:pt>
                <c:pt idx="8">
                  <c:v>16.89724944</c:v>
                </c:pt>
                <c:pt idx="9">
                  <c:v>18.862295750000001</c:v>
                </c:pt>
                <c:pt idx="10">
                  <c:v>20.729216530000002</c:v>
                </c:pt>
                <c:pt idx="11">
                  <c:v>22.469517120000003</c:v>
                </c:pt>
              </c:numCache>
            </c:numRef>
          </c:val>
        </c:ser>
        <c:ser>
          <c:idx val="0"/>
          <c:order val="2"/>
          <c:tx>
            <c:strRef>
              <c:f>'28_g'!$T$87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'28_g'!$U$87:$AF$87</c:f>
              <c:numCache>
                <c:formatCode>#,##0.00_ ;\-#,##0.00\ </c:formatCode>
                <c:ptCount val="12"/>
                <c:pt idx="0">
                  <c:v>1.7437594499999998</c:v>
                </c:pt>
                <c:pt idx="1">
                  <c:v>3.4171422900000001</c:v>
                </c:pt>
                <c:pt idx="2">
                  <c:v>5.3319641100000004</c:v>
                </c:pt>
                <c:pt idx="3">
                  <c:v>7.0146356400000007</c:v>
                </c:pt>
                <c:pt idx="4">
                  <c:v>8.6153129000000011</c:v>
                </c:pt>
                <c:pt idx="5">
                  <c:v>10.407058000000001</c:v>
                </c:pt>
                <c:pt idx="6">
                  <c:v>12.060592700000001</c:v>
                </c:pt>
                <c:pt idx="7">
                  <c:v>13.829983140000001</c:v>
                </c:pt>
                <c:pt idx="8">
                  <c:v>15.829635150000001</c:v>
                </c:pt>
                <c:pt idx="9">
                  <c:v>17.870141660000002</c:v>
                </c:pt>
                <c:pt idx="10">
                  <c:v>19.763059260000002</c:v>
                </c:pt>
                <c:pt idx="11">
                  <c:v>21.861932970000002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9607936"/>
        <c:axId val="269145152"/>
      </c:barChart>
      <c:lineChart>
        <c:grouping val="standard"/>
        <c:varyColors val="0"/>
        <c:ser>
          <c:idx val="3"/>
          <c:order val="1"/>
          <c:tx>
            <c:strRef>
              <c:f>'28_g'!$T$86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'28_g'!$U$83:$AF$83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'28_g'!$U$86:$AF$86</c:f>
              <c:numCache>
                <c:formatCode>#,##0.00_ ;\-#,##0.00\ </c:formatCode>
                <c:ptCount val="12"/>
                <c:pt idx="0">
                  <c:v>1.9885349999999999</c:v>
                </c:pt>
                <c:pt idx="1">
                  <c:v>3.8940939999999999</c:v>
                </c:pt>
                <c:pt idx="2">
                  <c:v>5.7913209999999999</c:v>
                </c:pt>
                <c:pt idx="3">
                  <c:v>7.7910500000000003</c:v>
                </c:pt>
                <c:pt idx="4">
                  <c:v>9.7108240000000006</c:v>
                </c:pt>
                <c:pt idx="5">
                  <c:v>11.72475</c:v>
                </c:pt>
                <c:pt idx="6">
                  <c:v>13.521072999999999</c:v>
                </c:pt>
                <c:pt idx="7">
                  <c:v>15.529163</c:v>
                </c:pt>
                <c:pt idx="8">
                  <c:v>17.642268000000001</c:v>
                </c:pt>
                <c:pt idx="9">
                  <c:v>19.704655000000002</c:v>
                </c:pt>
                <c:pt idx="10">
                  <c:v>21.743266000000002</c:v>
                </c:pt>
                <c:pt idx="11">
                  <c:v>23.919102000000002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07936"/>
        <c:axId val="269145152"/>
      </c:lineChart>
      <c:catAx>
        <c:axId val="2696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145152"/>
        <c:crosses val="autoZero"/>
        <c:auto val="1"/>
        <c:lblAlgn val="ctr"/>
        <c:lblOffset val="100"/>
        <c:noMultiLvlLbl val="0"/>
      </c:catAx>
      <c:valAx>
        <c:axId val="269145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6079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'28_g'!$AI$64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'28_g'!$AJ$62:$AU$62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'28_g'!$AJ$64:$AU$64</c:f>
              <c:numCache>
                <c:formatCode>#,##0.00_ ;\-#,##0.00\ </c:formatCode>
                <c:ptCount val="12"/>
                <c:pt idx="0">
                  <c:v>3.4295613200000008</c:v>
                </c:pt>
                <c:pt idx="1">
                  <c:v>4.0291957000000007</c:v>
                </c:pt>
                <c:pt idx="2">
                  <c:v>3.7536356900000003</c:v>
                </c:pt>
                <c:pt idx="3">
                  <c:v>3.9275018699999995</c:v>
                </c:pt>
                <c:pt idx="4">
                  <c:v>3.6340928300000002</c:v>
                </c:pt>
                <c:pt idx="5">
                  <c:v>3.3585278700000001</c:v>
                </c:pt>
                <c:pt idx="6">
                  <c:v>4.3887112800000008</c:v>
                </c:pt>
                <c:pt idx="7">
                  <c:v>4.2665912000000015</c:v>
                </c:pt>
                <c:pt idx="8">
                  <c:v>4.4082340200000001</c:v>
                </c:pt>
                <c:pt idx="9">
                  <c:v>4.0519519500000003</c:v>
                </c:pt>
                <c:pt idx="10">
                  <c:v>3.3697407000000004</c:v>
                </c:pt>
                <c:pt idx="11">
                  <c:v>4.2399102799999993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'28_g'!$AI$65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'28_g'!$AJ$62:$AU$62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'28_g'!$AJ$65:$AU$65</c:f>
              <c:numCache>
                <c:formatCode>#,##0.00_ ;\-#,##0.00\ </c:formatCode>
                <c:ptCount val="12"/>
                <c:pt idx="0">
                  <c:v>3.65083</c:v>
                </c:pt>
                <c:pt idx="1">
                  <c:v>4.0295189999999996</c:v>
                </c:pt>
                <c:pt idx="2">
                  <c:v>3.9379160000000004</c:v>
                </c:pt>
                <c:pt idx="3">
                  <c:v>4.2295910000000001</c:v>
                </c:pt>
                <c:pt idx="4">
                  <c:v>3.5042819999999999</c:v>
                </c:pt>
                <c:pt idx="5">
                  <c:v>3.7556609999999995</c:v>
                </c:pt>
                <c:pt idx="6">
                  <c:v>4.5295009999999998</c:v>
                </c:pt>
                <c:pt idx="7">
                  <c:v>4.3270689999999998</c:v>
                </c:pt>
                <c:pt idx="8">
                  <c:v>4.178725</c:v>
                </c:pt>
                <c:pt idx="9">
                  <c:v>4.1066009999999995</c:v>
                </c:pt>
                <c:pt idx="10">
                  <c:v>3.6396650000000004</c:v>
                </c:pt>
                <c:pt idx="11">
                  <c:v>4.0505879999999994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'28_g'!$AI$66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'28_g'!$AJ$62:$AU$62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'28_g'!$AJ$66:$AU$66</c:f>
              <c:numCache>
                <c:formatCode>#,##0.00_ ;\-#,##0.00\ </c:formatCode>
                <c:ptCount val="12"/>
                <c:pt idx="0">
                  <c:v>3.9152845300000001</c:v>
                </c:pt>
                <c:pt idx="1">
                  <c:v>3.9193925499999995</c:v>
                </c:pt>
                <c:pt idx="2">
                  <c:v>3.9097300800000001</c:v>
                </c:pt>
                <c:pt idx="3">
                  <c:v>4.5636419099999994</c:v>
                </c:pt>
                <c:pt idx="4">
                  <c:v>4.1217456299999995</c:v>
                </c:pt>
                <c:pt idx="5">
                  <c:v>3.86470337</c:v>
                </c:pt>
                <c:pt idx="6">
                  <c:v>4.8818913199999994</c:v>
                </c:pt>
                <c:pt idx="7">
                  <c:v>4.2477751699999997</c:v>
                </c:pt>
                <c:pt idx="8">
                  <c:v>4.1479510899999994</c:v>
                </c:pt>
                <c:pt idx="9">
                  <c:v>3.9912197299999996</c:v>
                </c:pt>
                <c:pt idx="10">
                  <c:v>3.99345441</c:v>
                </c:pt>
                <c:pt idx="11">
                  <c:v>3.7872149299999993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08448"/>
        <c:axId val="269147456"/>
      </c:lineChart>
      <c:catAx>
        <c:axId val="26960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147456"/>
        <c:crosses val="autoZero"/>
        <c:auto val="1"/>
        <c:lblAlgn val="ctr"/>
        <c:lblOffset val="100"/>
        <c:noMultiLvlLbl val="0"/>
      </c:catAx>
      <c:valAx>
        <c:axId val="2691474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6453135940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6084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0665079138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'28_g'!$AJ$85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'28_g'!$AK$85:$AV$85</c:f>
              <c:numCache>
                <c:formatCode>#,##0.00_ ;\-#,##0.00\ </c:formatCode>
                <c:ptCount val="12"/>
                <c:pt idx="0">
                  <c:v>3.4295613200000008</c:v>
                </c:pt>
                <c:pt idx="1">
                  <c:v>7.458757020000002</c:v>
                </c:pt>
                <c:pt idx="2">
                  <c:v>11.212392710000003</c:v>
                </c:pt>
                <c:pt idx="3">
                  <c:v>15.139894580000004</c:v>
                </c:pt>
                <c:pt idx="4">
                  <c:v>18.773987410000004</c:v>
                </c:pt>
                <c:pt idx="5">
                  <c:v>22.132515280000003</c:v>
                </c:pt>
                <c:pt idx="6">
                  <c:v>26.521226560000002</c:v>
                </c:pt>
                <c:pt idx="7">
                  <c:v>30.787817760000003</c:v>
                </c:pt>
                <c:pt idx="8">
                  <c:v>35.196051780000005</c:v>
                </c:pt>
                <c:pt idx="9">
                  <c:v>39.248003730000008</c:v>
                </c:pt>
                <c:pt idx="10">
                  <c:v>42.617744430000009</c:v>
                </c:pt>
                <c:pt idx="11">
                  <c:v>46.857654710000006</c:v>
                </c:pt>
              </c:numCache>
            </c:numRef>
          </c:val>
        </c:ser>
        <c:ser>
          <c:idx val="0"/>
          <c:order val="2"/>
          <c:tx>
            <c:strRef>
              <c:f>'28_g'!$AJ$87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'28_g'!$AK$83:$AV$83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'28_g'!$AK$87:$AV$87</c:f>
              <c:numCache>
                <c:formatCode>#,##0.00_ ;\-#,##0.00\ </c:formatCode>
                <c:ptCount val="12"/>
                <c:pt idx="0">
                  <c:v>3.9152845300000001</c:v>
                </c:pt>
                <c:pt idx="1">
                  <c:v>7.8346770799999996</c:v>
                </c:pt>
                <c:pt idx="2">
                  <c:v>11.74440716</c:v>
                </c:pt>
                <c:pt idx="3">
                  <c:v>16.308049069999999</c:v>
                </c:pt>
                <c:pt idx="4">
                  <c:v>20.429794699999999</c:v>
                </c:pt>
                <c:pt idx="5">
                  <c:v>24.29449807</c:v>
                </c:pt>
                <c:pt idx="6">
                  <c:v>29.176389389999997</c:v>
                </c:pt>
                <c:pt idx="7">
                  <c:v>33.424164559999994</c:v>
                </c:pt>
                <c:pt idx="8">
                  <c:v>37.572115649999994</c:v>
                </c:pt>
                <c:pt idx="9">
                  <c:v>41.563335379999991</c:v>
                </c:pt>
                <c:pt idx="10">
                  <c:v>45.556789789999989</c:v>
                </c:pt>
                <c:pt idx="11">
                  <c:v>49.344004719999987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69608960"/>
        <c:axId val="269944512"/>
      </c:barChart>
      <c:lineChart>
        <c:grouping val="standard"/>
        <c:varyColors val="0"/>
        <c:ser>
          <c:idx val="3"/>
          <c:order val="1"/>
          <c:tx>
            <c:strRef>
              <c:f>'28_g'!$AJ$86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'28_g'!$AK$83:$AV$83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'28_g'!$AK$86:$AV$86</c:f>
              <c:numCache>
                <c:formatCode>#,##0.00_ ;\-#,##0.00\ </c:formatCode>
                <c:ptCount val="12"/>
                <c:pt idx="0">
                  <c:v>3.65083</c:v>
                </c:pt>
                <c:pt idx="1">
                  <c:v>7.6803489999999996</c:v>
                </c:pt>
                <c:pt idx="2">
                  <c:v>11.618265000000001</c:v>
                </c:pt>
                <c:pt idx="3">
                  <c:v>15.847856</c:v>
                </c:pt>
                <c:pt idx="4">
                  <c:v>19.352138</c:v>
                </c:pt>
                <c:pt idx="5">
                  <c:v>23.107799</c:v>
                </c:pt>
                <c:pt idx="6">
                  <c:v>27.6373</c:v>
                </c:pt>
                <c:pt idx="7">
                  <c:v>31.964368999999998</c:v>
                </c:pt>
                <c:pt idx="8">
                  <c:v>36.143093999999998</c:v>
                </c:pt>
                <c:pt idx="9">
                  <c:v>40.249694999999996</c:v>
                </c:pt>
                <c:pt idx="10">
                  <c:v>43.889359999999996</c:v>
                </c:pt>
                <c:pt idx="11">
                  <c:v>47.939947999999994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08960"/>
        <c:axId val="269944512"/>
      </c:lineChart>
      <c:catAx>
        <c:axId val="26960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944512"/>
        <c:crosses val="autoZero"/>
        <c:auto val="1"/>
        <c:lblAlgn val="ctr"/>
        <c:lblOffset val="100"/>
        <c:noMultiLvlLbl val="0"/>
      </c:catAx>
      <c:valAx>
        <c:axId val="269944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11323854302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6089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31124077119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'28_g'!$T$21:$U$21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'28_g'!$V$20:$AC$20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'28_g'!$V$21:$AC$21</c:f>
              <c:numCache>
                <c:formatCode>#,##0</c:formatCode>
                <c:ptCount val="8"/>
                <c:pt idx="0">
                  <c:v>166.93595166163144</c:v>
                </c:pt>
                <c:pt idx="1">
                  <c:v>73</c:v>
                </c:pt>
                <c:pt idx="2">
                  <c:v>334.26404833836864</c:v>
                </c:pt>
                <c:pt idx="3">
                  <c:v>203</c:v>
                </c:pt>
                <c:pt idx="4">
                  <c:v>492.88640483383693</c:v>
                </c:pt>
                <c:pt idx="5">
                  <c:v>306</c:v>
                </c:pt>
                <c:pt idx="6">
                  <c:v>609</c:v>
                </c:pt>
                <c:pt idx="7">
                  <c:v>441</c:v>
                </c:pt>
              </c:numCache>
            </c:numRef>
          </c:val>
        </c:ser>
        <c:ser>
          <c:idx val="0"/>
          <c:order val="1"/>
          <c:tx>
            <c:strRef>
              <c:f>'28_g'!$T$22:$U$22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'28_g'!$V$20:$AC$20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'28_g'!$V$22:$AC$22</c:f>
              <c:numCache>
                <c:formatCode>#,##0</c:formatCode>
                <c:ptCount val="8"/>
                <c:pt idx="0">
                  <c:v>6</c:v>
                </c:pt>
                <c:pt idx="1">
                  <c:v>2</c:v>
                </c:pt>
                <c:pt idx="2">
                  <c:v>12</c:v>
                </c:pt>
                <c:pt idx="3">
                  <c:v>8</c:v>
                </c:pt>
                <c:pt idx="4">
                  <c:v>22</c:v>
                </c:pt>
                <c:pt idx="5">
                  <c:v>12</c:v>
                </c:pt>
                <c:pt idx="6">
                  <c:v>40</c:v>
                </c:pt>
                <c:pt idx="7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69610496"/>
        <c:axId val="269946816"/>
      </c:barChart>
      <c:catAx>
        <c:axId val="269610496"/>
        <c:scaling>
          <c:orientation val="minMax"/>
        </c:scaling>
        <c:delete val="1"/>
        <c:axPos val="b"/>
        <c:majorTickMark val="out"/>
        <c:minorTickMark val="none"/>
        <c:tickLblPos val="nextTo"/>
        <c:crossAx val="269946816"/>
        <c:crosses val="autoZero"/>
        <c:auto val="1"/>
        <c:lblAlgn val="ctr"/>
        <c:lblOffset val="100"/>
        <c:noMultiLvlLbl val="0"/>
      </c:catAx>
      <c:valAx>
        <c:axId val="269946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696104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- 2560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(ภาพรวม!$A$9,ภาพรวม!$A$13,ภาพรวม!$A$17)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(ภาพรวม!$H$9,ภาพรวม!$H$13,ภาพรวม!$H$17)</c:f>
              <c:numCache>
                <c:formatCode>_(* #,##0.00_);_(* \(#,##0.00\);_(* "-"??_);_(@_)</c:formatCode>
                <c:ptCount val="3"/>
                <c:pt idx="0">
                  <c:v>49.104734000000001</c:v>
                </c:pt>
                <c:pt idx="1">
                  <c:v>25.58896</c:v>
                </c:pt>
                <c:pt idx="2">
                  <c:v>17.560126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'11_g'!$AI$63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'11_g'!$AJ$61:$AU$61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'11_g'!$AJ$63:$AU$63</c:f>
              <c:numCache>
                <c:formatCode>#,##0_ ;\-#,##0\ </c:formatCode>
                <c:ptCount val="12"/>
                <c:pt idx="0">
                  <c:v>45.394627880000009</c:v>
                </c:pt>
                <c:pt idx="1">
                  <c:v>46.070730330000004</c:v>
                </c:pt>
                <c:pt idx="2">
                  <c:v>42.380824640000007</c:v>
                </c:pt>
                <c:pt idx="3">
                  <c:v>48.187915970000006</c:v>
                </c:pt>
                <c:pt idx="4">
                  <c:v>43.457076240000006</c:v>
                </c:pt>
                <c:pt idx="5">
                  <c:v>40.811881519999986</c:v>
                </c:pt>
                <c:pt idx="6">
                  <c:v>50.820893970000007</c:v>
                </c:pt>
                <c:pt idx="7">
                  <c:v>50.658429140000003</c:v>
                </c:pt>
                <c:pt idx="8">
                  <c:v>45.277027409999995</c:v>
                </c:pt>
                <c:pt idx="9">
                  <c:v>43.680104579999991</c:v>
                </c:pt>
                <c:pt idx="10">
                  <c:v>39.551579250000003</c:v>
                </c:pt>
                <c:pt idx="11">
                  <c:v>44.121197370000004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'11_g'!$AI$64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'11_g'!$AJ$61:$AU$61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'11_g'!$AJ$64:$AU$64</c:f>
              <c:numCache>
                <c:formatCode>#,##0_ ;\-#,##0\ </c:formatCode>
                <c:ptCount val="12"/>
                <c:pt idx="0">
                  <c:v>45.553240000000002</c:v>
                </c:pt>
                <c:pt idx="1">
                  <c:v>48.887012000000006</c:v>
                </c:pt>
                <c:pt idx="2">
                  <c:v>49.361228999999994</c:v>
                </c:pt>
                <c:pt idx="3">
                  <c:v>50.973413000000008</c:v>
                </c:pt>
                <c:pt idx="4">
                  <c:v>49.764632000000006</c:v>
                </c:pt>
                <c:pt idx="5">
                  <c:v>46.926162000000005</c:v>
                </c:pt>
                <c:pt idx="6">
                  <c:v>53.346234000000003</c:v>
                </c:pt>
                <c:pt idx="7">
                  <c:v>54.920292000000003</c:v>
                </c:pt>
                <c:pt idx="8">
                  <c:v>52.911721</c:v>
                </c:pt>
                <c:pt idx="9">
                  <c:v>48.790834000000004</c:v>
                </c:pt>
                <c:pt idx="10">
                  <c:v>48.062110999999994</c:v>
                </c:pt>
                <c:pt idx="11">
                  <c:v>49.764601999999996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'11_g'!$AI$65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'11_g'!$AJ$61:$AU$61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'11_g'!$AJ$65:$AU$65</c:f>
              <c:numCache>
                <c:formatCode>#,##0_ ;\-#,##0\ </c:formatCode>
                <c:ptCount val="12"/>
                <c:pt idx="0">
                  <c:v>41.080859770000004</c:v>
                </c:pt>
                <c:pt idx="1">
                  <c:v>42.967976569999998</c:v>
                </c:pt>
                <c:pt idx="2">
                  <c:v>43.927990909999991</c:v>
                </c:pt>
                <c:pt idx="3">
                  <c:v>49.371260039999996</c:v>
                </c:pt>
                <c:pt idx="4">
                  <c:v>46.018174859999995</c:v>
                </c:pt>
                <c:pt idx="5">
                  <c:v>43.009660350000004</c:v>
                </c:pt>
                <c:pt idx="6">
                  <c:v>51.810722690000006</c:v>
                </c:pt>
                <c:pt idx="7">
                  <c:v>49.200230430000005</c:v>
                </c:pt>
                <c:pt idx="8">
                  <c:v>43.520784340000006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06208"/>
        <c:axId val="173335104"/>
      </c:lineChart>
      <c:catAx>
        <c:axId val="17340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335104"/>
        <c:crosses val="autoZero"/>
        <c:auto val="1"/>
        <c:lblAlgn val="ctr"/>
        <c:lblOffset val="100"/>
        <c:noMultiLvlLbl val="0"/>
      </c:catAx>
      <c:valAx>
        <c:axId val="1733351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64531359401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4062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0665079138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('29'!$A$9,'29'!$A$13,'29'!$A$17)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('29'!$B$9,'29'!$B$13,'29'!$B$17)</c:f>
              <c:numCache>
                <c:formatCode>_-* #,##0_-;\-* #,##0_-;_-* "-"??_-;_-@_-</c:formatCode>
                <c:ptCount val="3"/>
                <c:pt idx="0">
                  <c:v>3105</c:v>
                </c:pt>
                <c:pt idx="1">
                  <c:v>1387</c:v>
                </c:pt>
                <c:pt idx="2">
                  <c:v>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('29'!$A$9,'29'!$A$13,'29'!$A$17)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('29'!$G$9,'29'!$G$13,'29'!$G$17)</c:f>
              <c:numCache>
                <c:formatCode>_-* #,##0_-;\-* #,##0_-;_-* "-"??_-;_-@_-</c:formatCode>
                <c:ptCount val="3"/>
                <c:pt idx="0">
                  <c:v>3334</c:v>
                </c:pt>
                <c:pt idx="1">
                  <c:v>1357</c:v>
                </c:pt>
                <c:pt idx="2">
                  <c:v>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('29'!$A$9,'29'!$A$13,'29'!$A$17)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('29'!$C$9,'29'!$C$13,'29'!$C$17)</c:f>
              <c:numCache>
                <c:formatCode>_(* #,##0.00_);_(* \(#,##0.00\);_(* "-"??_);_(@_)</c:formatCode>
                <c:ptCount val="3"/>
                <c:pt idx="0">
                  <c:v>0.45840900000000001</c:v>
                </c:pt>
                <c:pt idx="1">
                  <c:v>0.37170599999999998</c:v>
                </c:pt>
                <c:pt idx="2">
                  <c:v>9.6248E-2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('29'!$A$9,'29'!$A$13,'29'!$A$17)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('29'!$H$9,'29'!$H$13,'29'!$H$17)</c:f>
              <c:numCache>
                <c:formatCode>_(* #,##0.00_);_(* \(#,##0.00\);_(* "-"??_);_(@_)</c:formatCode>
                <c:ptCount val="3"/>
                <c:pt idx="0">
                  <c:v>0.46447899999999998</c:v>
                </c:pt>
                <c:pt idx="1">
                  <c:v>0.36530099999999999</c:v>
                </c:pt>
                <c:pt idx="2">
                  <c:v>0.109544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('29'!$A$9,'29'!$A$13,'29'!$A$17)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('29'!$E$9,'29'!$E$13,'29'!$E$17)</c:f>
              <c:numCache>
                <c:formatCode>_(* #,##0.00_);_(* \(#,##0.00\);_(* "-"??_);_(@_)</c:formatCode>
                <c:ptCount val="3"/>
                <c:pt idx="0">
                  <c:v>6.2981374599999995</c:v>
                </c:pt>
                <c:pt idx="1">
                  <c:v>8.0787754199999995</c:v>
                </c:pt>
                <c:pt idx="2">
                  <c:v>2.5408599500000002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79774507620997"/>
          <c:y val="0.17221860919262225"/>
          <c:w val="0.64583797205297921"/>
          <c:h val="8.2288570583967074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('29'!$A$9,'29'!$A$13,'29'!$A$17)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('29'!$J$9,'29'!$J$13,'29'!$J$17)</c:f>
              <c:numCache>
                <c:formatCode>_(* #,##0.00_);_(* \(#,##0.00\);_(* "-"??_);_(@_)</c:formatCode>
                <c:ptCount val="3"/>
                <c:pt idx="0">
                  <c:v>6.3248184099999998</c:v>
                </c:pt>
                <c:pt idx="1">
                  <c:v>7.8877804700000009</c:v>
                </c:pt>
                <c:pt idx="2">
                  <c:v>2.9077377499999999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('29'!$A$9,'29'!$A$13,'29'!$A$17,'29'!$A$20)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('29'!$D$9,'29'!$D$13,'29'!$D$17,'29'!$D$20)</c:f>
              <c:numCache>
                <c:formatCode>_-* #,##0.000_-;\-* #,##0.000_-;_-* "-"??_-;_-@_-</c:formatCode>
                <c:ptCount val="4"/>
                <c:pt idx="0">
                  <c:v>0.41346998139692204</c:v>
                </c:pt>
                <c:pt idx="1">
                  <c:v>0.73158951346244683</c:v>
                </c:pt>
                <c:pt idx="2">
                  <c:v>1.1851377558873326</c:v>
                </c:pt>
                <c:pt idx="3">
                  <c:v>0.54556767453091326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('29'!$A$9,'29'!$A$13,'29'!$A$17,'29'!$A$20)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('29'!$I$9,'29'!$I$13,'29'!$I$17,'29'!$I$20)</c:f>
              <c:numCache>
                <c:formatCode>_-* #,##0.000_-;\-* #,##0.000_-;_-* "-"??_-;_-@_-</c:formatCode>
                <c:ptCount val="4"/>
                <c:pt idx="0">
                  <c:v>0.39526175042070261</c:v>
                </c:pt>
                <c:pt idx="1">
                  <c:v>0.72946403610367827</c:v>
                </c:pt>
                <c:pt idx="2">
                  <c:v>1.269008659387761</c:v>
                </c:pt>
                <c:pt idx="3">
                  <c:v>0.53303446788709696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0220800"/>
        <c:axId val="269726784"/>
      </c:barChart>
      <c:catAx>
        <c:axId val="27022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726784"/>
        <c:crosses val="autoZero"/>
        <c:auto val="1"/>
        <c:lblAlgn val="ctr"/>
        <c:lblOffset val="100"/>
        <c:noMultiLvlLbl val="0"/>
      </c:catAx>
      <c:valAx>
        <c:axId val="269726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220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70430124805827"/>
          <c:y val="1.305774278215223E-3"/>
          <c:w val="9.8336922170442986E-2"/>
          <c:h val="0.1739180519101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('29'!$A$9,'29'!$A$13,'29'!$A$17,'29'!$A$20)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('29'!$F$9,'29'!$F$13,'29'!$F$17,'29'!$F$20)</c:f>
              <c:numCache>
                <c:formatCode>_(* #,##0.00_);_(* \(#,##0.00\);_(* "-"??_);_(@_)</c:formatCode>
                <c:ptCount val="4"/>
                <c:pt idx="0">
                  <c:v>13.739122617575134</c:v>
                </c:pt>
                <c:pt idx="1">
                  <c:v>21.734315345999256</c:v>
                </c:pt>
                <c:pt idx="2">
                  <c:v>26.399093487656888</c:v>
                </c:pt>
                <c:pt idx="3">
                  <c:v>18.262573990973301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('29'!$A$9,'29'!$A$13,'29'!$A$17,'29'!$A$20)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('29'!$K$9,'29'!$K$13,'29'!$K$17,'29'!$K$20)</c:f>
              <c:numCache>
                <c:formatCode>_(* #,##0.00_);_(* \(#,##0.00\);_(* "-"??_);_(@_)</c:formatCode>
                <c:ptCount val="4"/>
                <c:pt idx="0">
                  <c:v>13.617016937256583</c:v>
                </c:pt>
                <c:pt idx="1">
                  <c:v>21.592550992195481</c:v>
                </c:pt>
                <c:pt idx="2">
                  <c:v>26.544016559555978</c:v>
                </c:pt>
                <c:pt idx="3">
                  <c:v>18.226231449425331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0254592"/>
        <c:axId val="269728512"/>
      </c:barChart>
      <c:catAx>
        <c:axId val="2702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728512"/>
        <c:crosses val="autoZero"/>
        <c:auto val="1"/>
        <c:lblAlgn val="ctr"/>
        <c:lblOffset val="100"/>
        <c:noMultiLvlLbl val="0"/>
      </c:catAx>
      <c:valAx>
        <c:axId val="269728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2545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982076467245718"/>
          <c:y val="1.5194663167104112E-2"/>
          <c:w val="0.1035125145439294"/>
          <c:h val="0.1674343832020997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'29_g'!$A$18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'29_g'!$B$16:$M$16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'29_g'!$B$18:$M$18</c:f>
              <c:numCache>
                <c:formatCode>#,##0_ ;\-#,##0\ 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17</c:v>
                </c:pt>
                <c:pt idx="5">
                  <c:v>16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10</c:v>
                </c:pt>
                <c:pt idx="10">
                  <c:v>18</c:v>
                </c:pt>
                <c:pt idx="11">
                  <c:v>66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'29_g'!$A$19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'29_g'!$B$16:$M$16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'29_g'!$B$19:$M$19</c:f>
              <c:numCache>
                <c:formatCode>#,##0_ ;\-#,##0\ </c:formatCode>
                <c:ptCount val="12"/>
                <c:pt idx="0">
                  <c:v>19.958949096880133</c:v>
                </c:pt>
                <c:pt idx="1">
                  <c:v>15.604269293924466</c:v>
                </c:pt>
                <c:pt idx="2">
                  <c:v>15.604269293924466</c:v>
                </c:pt>
                <c:pt idx="3">
                  <c:v>19.958949096880133</c:v>
                </c:pt>
                <c:pt idx="4">
                  <c:v>23.587848932676522</c:v>
                </c:pt>
                <c:pt idx="5">
                  <c:v>21.410509031198689</c:v>
                </c:pt>
                <c:pt idx="6">
                  <c:v>14.152709359605913</c:v>
                </c:pt>
                <c:pt idx="7">
                  <c:v>17.055829228243024</c:v>
                </c:pt>
                <c:pt idx="8">
                  <c:v>13.789819376026273</c:v>
                </c:pt>
                <c:pt idx="9">
                  <c:v>12.701149425287356</c:v>
                </c:pt>
                <c:pt idx="10">
                  <c:v>15.241379310344827</c:v>
                </c:pt>
                <c:pt idx="11">
                  <c:v>31.934318555008208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'29_g'!$A$20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'29_g'!$B$16:$M$16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'29_g'!$B$20:$M$20</c:f>
              <c:numCache>
                <c:formatCode>#,##0_ ;\-#,##0\ </c:formatCode>
                <c:ptCount val="12"/>
                <c:pt idx="0">
                  <c:v>5</c:v>
                </c:pt>
                <c:pt idx="1">
                  <c:v>16</c:v>
                </c:pt>
                <c:pt idx="2">
                  <c:v>11</c:v>
                </c:pt>
                <c:pt idx="3">
                  <c:v>8</c:v>
                </c:pt>
                <c:pt idx="4">
                  <c:v>16</c:v>
                </c:pt>
                <c:pt idx="5">
                  <c:v>14</c:v>
                </c:pt>
                <c:pt idx="6">
                  <c:v>7</c:v>
                </c:pt>
                <c:pt idx="7">
                  <c:v>17</c:v>
                </c:pt>
                <c:pt idx="8">
                  <c:v>25</c:v>
                </c:pt>
                <c:pt idx="9">
                  <c:v>35</c:v>
                </c:pt>
                <c:pt idx="10">
                  <c:v>21</c:v>
                </c:pt>
                <c:pt idx="11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220288"/>
        <c:axId val="270524992"/>
      </c:lineChart>
      <c:catAx>
        <c:axId val="27022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524992"/>
        <c:crosses val="autoZero"/>
        <c:auto val="1"/>
        <c:lblAlgn val="ctr"/>
        <c:lblOffset val="100"/>
        <c:noMultiLvlLbl val="0"/>
      </c:catAx>
      <c:valAx>
        <c:axId val="2705249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2202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'29_g'!$B$39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'29_g'!$C$39:$N$39</c:f>
              <c:numCache>
                <c:formatCode>#,##0_ ;\-#,##0\ </c:formatCode>
                <c:ptCount val="12"/>
                <c:pt idx="0">
                  <c:v>11</c:v>
                </c:pt>
                <c:pt idx="1">
                  <c:v>19</c:v>
                </c:pt>
                <c:pt idx="2">
                  <c:v>29</c:v>
                </c:pt>
                <c:pt idx="3">
                  <c:v>43</c:v>
                </c:pt>
                <c:pt idx="4">
                  <c:v>60</c:v>
                </c:pt>
                <c:pt idx="5">
                  <c:v>76</c:v>
                </c:pt>
                <c:pt idx="6">
                  <c:v>88</c:v>
                </c:pt>
                <c:pt idx="7">
                  <c:v>101</c:v>
                </c:pt>
                <c:pt idx="8">
                  <c:v>114</c:v>
                </c:pt>
                <c:pt idx="9">
                  <c:v>124</c:v>
                </c:pt>
                <c:pt idx="10">
                  <c:v>142</c:v>
                </c:pt>
                <c:pt idx="11">
                  <c:v>208</c:v>
                </c:pt>
              </c:numCache>
            </c:numRef>
          </c:val>
        </c:ser>
        <c:ser>
          <c:idx val="0"/>
          <c:order val="2"/>
          <c:tx>
            <c:strRef>
              <c:f>'29_g'!$B$41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'29_g'!$C$41:$N$41</c:f>
              <c:numCache>
                <c:formatCode>#,##0_ ;\-#,##0\ </c:formatCode>
                <c:ptCount val="12"/>
                <c:pt idx="0">
                  <c:v>5</c:v>
                </c:pt>
                <c:pt idx="1">
                  <c:v>21</c:v>
                </c:pt>
                <c:pt idx="2">
                  <c:v>32</c:v>
                </c:pt>
                <c:pt idx="3">
                  <c:v>40</c:v>
                </c:pt>
                <c:pt idx="4">
                  <c:v>56</c:v>
                </c:pt>
                <c:pt idx="5">
                  <c:v>70</c:v>
                </c:pt>
                <c:pt idx="6">
                  <c:v>77</c:v>
                </c:pt>
                <c:pt idx="7">
                  <c:v>94</c:v>
                </c:pt>
                <c:pt idx="8">
                  <c:v>119</c:v>
                </c:pt>
                <c:pt idx="9">
                  <c:v>154</c:v>
                </c:pt>
                <c:pt idx="10">
                  <c:v>175</c:v>
                </c:pt>
                <c:pt idx="11">
                  <c:v>192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0696448"/>
        <c:axId val="270527296"/>
      </c:barChart>
      <c:lineChart>
        <c:grouping val="standard"/>
        <c:varyColors val="0"/>
        <c:ser>
          <c:idx val="3"/>
          <c:order val="1"/>
          <c:tx>
            <c:strRef>
              <c:f>'29_g'!$B$40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'29_g'!$C$37:$N$37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'29_g'!$C$40:$N$40</c:f>
              <c:numCache>
                <c:formatCode>#,##0_ ;\-#,##0\ </c:formatCode>
                <c:ptCount val="12"/>
                <c:pt idx="0">
                  <c:v>19.958949096880133</c:v>
                </c:pt>
                <c:pt idx="1">
                  <c:v>35.5632183908046</c:v>
                </c:pt>
                <c:pt idx="2">
                  <c:v>51.167487684729068</c:v>
                </c:pt>
                <c:pt idx="3">
                  <c:v>71.1264367816092</c:v>
                </c:pt>
                <c:pt idx="4">
                  <c:v>94.714285714285722</c:v>
                </c:pt>
                <c:pt idx="5">
                  <c:v>116.12479474548441</c:v>
                </c:pt>
                <c:pt idx="6">
                  <c:v>130.27750410509032</c:v>
                </c:pt>
                <c:pt idx="7">
                  <c:v>147.33333333333334</c:v>
                </c:pt>
                <c:pt idx="8">
                  <c:v>161.1231527093596</c:v>
                </c:pt>
                <c:pt idx="9">
                  <c:v>173.82430213464696</c:v>
                </c:pt>
                <c:pt idx="10">
                  <c:v>189.06568144499178</c:v>
                </c:pt>
                <c:pt idx="11">
                  <c:v>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96448"/>
        <c:axId val="270527296"/>
      </c:lineChart>
      <c:catAx>
        <c:axId val="27069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527296"/>
        <c:crosses val="autoZero"/>
        <c:auto val="1"/>
        <c:lblAlgn val="ctr"/>
        <c:lblOffset val="100"/>
        <c:noMultiLvlLbl val="0"/>
      </c:catAx>
      <c:valAx>
        <c:axId val="2705272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6964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'11_g'!$AJ$84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'11_g'!$AK$82:$AV$82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'11_g'!$AK$84:$AV$84</c:f>
              <c:numCache>
                <c:formatCode>#,##0_ ;\-#,##0\ </c:formatCode>
                <c:ptCount val="12"/>
                <c:pt idx="0">
                  <c:v>45.394627880000009</c:v>
                </c:pt>
                <c:pt idx="1">
                  <c:v>91.465358210000005</c:v>
                </c:pt>
                <c:pt idx="2">
                  <c:v>133.84618285000002</c:v>
                </c:pt>
                <c:pt idx="3">
                  <c:v>182.03409882000003</c:v>
                </c:pt>
                <c:pt idx="4">
                  <c:v>225.49117506000005</c:v>
                </c:pt>
                <c:pt idx="5">
                  <c:v>266.30305658000003</c:v>
                </c:pt>
                <c:pt idx="6">
                  <c:v>317.12395055000002</c:v>
                </c:pt>
                <c:pt idx="7">
                  <c:v>367.78237969000003</c:v>
                </c:pt>
                <c:pt idx="8">
                  <c:v>413.05940710000004</c:v>
                </c:pt>
                <c:pt idx="9">
                  <c:v>456.73951168000002</c:v>
                </c:pt>
                <c:pt idx="10">
                  <c:v>496.29109093</c:v>
                </c:pt>
                <c:pt idx="11">
                  <c:v>540.4122883</c:v>
                </c:pt>
              </c:numCache>
            </c:numRef>
          </c:val>
        </c:ser>
        <c:ser>
          <c:idx val="0"/>
          <c:order val="2"/>
          <c:tx>
            <c:strRef>
              <c:f>'11_g'!$AJ$86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'11_g'!$AK$82:$AV$82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'11_g'!$AK$86:$AV$86</c:f>
              <c:numCache>
                <c:formatCode>#,##0_ ;\-#,##0\ </c:formatCode>
                <c:ptCount val="12"/>
                <c:pt idx="0">
                  <c:v>41.080859770000004</c:v>
                </c:pt>
                <c:pt idx="1">
                  <c:v>84.048836340000008</c:v>
                </c:pt>
                <c:pt idx="2">
                  <c:v>127.97682725</c:v>
                </c:pt>
                <c:pt idx="3">
                  <c:v>177.34808729</c:v>
                </c:pt>
                <c:pt idx="4">
                  <c:v>223.36626214999998</c:v>
                </c:pt>
                <c:pt idx="5">
                  <c:v>266.3759225</c:v>
                </c:pt>
                <c:pt idx="6">
                  <c:v>318.18664519000004</c:v>
                </c:pt>
                <c:pt idx="7">
                  <c:v>367.38687562000007</c:v>
                </c:pt>
                <c:pt idx="8">
                  <c:v>410.90765996000005</c:v>
                </c:pt>
                <c:pt idx="9">
                  <c:v>410.90765996000005</c:v>
                </c:pt>
                <c:pt idx="10">
                  <c:v>410.90765996000005</c:v>
                </c:pt>
                <c:pt idx="11">
                  <c:v>410.90765996000005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3406720"/>
        <c:axId val="173337408"/>
      </c:barChart>
      <c:lineChart>
        <c:grouping val="standard"/>
        <c:varyColors val="0"/>
        <c:ser>
          <c:idx val="3"/>
          <c:order val="1"/>
          <c:tx>
            <c:strRef>
              <c:f>'11_g'!$AJ$85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'11_g'!$AK$82:$AV$82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'11_g'!$AK$85:$AV$85</c:f>
              <c:numCache>
                <c:formatCode>#,##0_ ;\-#,##0\ </c:formatCode>
                <c:ptCount val="12"/>
                <c:pt idx="0">
                  <c:v>45.553240000000002</c:v>
                </c:pt>
                <c:pt idx="1">
                  <c:v>94.440252000000015</c:v>
                </c:pt>
                <c:pt idx="2">
                  <c:v>143.80148100000002</c:v>
                </c:pt>
                <c:pt idx="3">
                  <c:v>194.77489400000002</c:v>
                </c:pt>
                <c:pt idx="4">
                  <c:v>244.53952600000002</c:v>
                </c:pt>
                <c:pt idx="5">
                  <c:v>291.465688</c:v>
                </c:pt>
                <c:pt idx="6">
                  <c:v>344.81192199999998</c:v>
                </c:pt>
                <c:pt idx="7">
                  <c:v>399.732214</c:v>
                </c:pt>
                <c:pt idx="8">
                  <c:v>452.643935</c:v>
                </c:pt>
                <c:pt idx="9">
                  <c:v>501.43476900000002</c:v>
                </c:pt>
                <c:pt idx="10">
                  <c:v>549.49688000000003</c:v>
                </c:pt>
                <c:pt idx="11">
                  <c:v>599.261482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06720"/>
        <c:axId val="173337408"/>
      </c:lineChart>
      <c:catAx>
        <c:axId val="1734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337408"/>
        <c:crosses val="autoZero"/>
        <c:auto val="1"/>
        <c:lblAlgn val="ctr"/>
        <c:lblOffset val="100"/>
        <c:noMultiLvlLbl val="0"/>
      </c:catAx>
      <c:valAx>
        <c:axId val="1733374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17167159261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4067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9219592538"/>
          <c:y val="2.2161373086791118E-2"/>
          <c:w val="0.3910367078040746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'29_g'!$AI$18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'29_g'!$AJ$16:$AU$16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'29_g'!$AJ$18:$AU$18</c:f>
              <c:numCache>
                <c:formatCode>#,##0.000_ ;\-#,##0.000\ </c:formatCode>
                <c:ptCount val="12"/>
                <c:pt idx="0">
                  <c:v>7.1025000000000005E-2</c:v>
                </c:pt>
                <c:pt idx="1">
                  <c:v>7.5434000000000001E-2</c:v>
                </c:pt>
                <c:pt idx="2">
                  <c:v>7.1959999999999996E-2</c:v>
                </c:pt>
                <c:pt idx="3">
                  <c:v>7.6971999999999999E-2</c:v>
                </c:pt>
                <c:pt idx="4">
                  <c:v>7.1333999999999995E-2</c:v>
                </c:pt>
                <c:pt idx="5">
                  <c:v>7.4371999999999994E-2</c:v>
                </c:pt>
                <c:pt idx="6">
                  <c:v>8.3623000000000003E-2</c:v>
                </c:pt>
                <c:pt idx="7">
                  <c:v>8.4905999999999995E-2</c:v>
                </c:pt>
                <c:pt idx="8">
                  <c:v>8.2952999999999999E-2</c:v>
                </c:pt>
                <c:pt idx="9">
                  <c:v>8.6804000000000006E-2</c:v>
                </c:pt>
                <c:pt idx="10">
                  <c:v>6.7835999999999994E-2</c:v>
                </c:pt>
                <c:pt idx="11">
                  <c:v>7.9519999999999993E-2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'29_g'!$AI$19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'29_g'!$AJ$16:$AU$16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'29_g'!$AJ$19:$AU$19</c:f>
              <c:numCache>
                <c:formatCode>#,##0.000_ ;\-#,##0.000\ </c:formatCode>
                <c:ptCount val="12"/>
                <c:pt idx="0">
                  <c:v>7.4012999999999995E-2</c:v>
                </c:pt>
                <c:pt idx="1">
                  <c:v>7.6523999999999995E-2</c:v>
                </c:pt>
                <c:pt idx="2">
                  <c:v>7.4476000000000001E-2</c:v>
                </c:pt>
                <c:pt idx="3">
                  <c:v>8.4203E-2</c:v>
                </c:pt>
                <c:pt idx="4">
                  <c:v>7.1516999999999997E-2</c:v>
                </c:pt>
                <c:pt idx="5">
                  <c:v>7.2711999999999999E-2</c:v>
                </c:pt>
                <c:pt idx="6">
                  <c:v>8.3489999999999995E-2</c:v>
                </c:pt>
                <c:pt idx="7">
                  <c:v>8.3946000000000007E-2</c:v>
                </c:pt>
                <c:pt idx="8">
                  <c:v>8.3570000000000005E-2</c:v>
                </c:pt>
                <c:pt idx="9">
                  <c:v>8.2869999999999999E-2</c:v>
                </c:pt>
                <c:pt idx="10">
                  <c:v>7.6053999999999997E-2</c:v>
                </c:pt>
                <c:pt idx="11">
                  <c:v>7.9055E-2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'29_g'!$AI$20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'29_g'!$AJ$16:$AU$16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'29_g'!$AJ$20:$AU$20</c:f>
              <c:numCache>
                <c:formatCode>#,##0.000_ ;\-#,##0.000\ </c:formatCode>
                <c:ptCount val="12"/>
                <c:pt idx="0">
                  <c:v>7.5199000000000002E-2</c:v>
                </c:pt>
                <c:pt idx="1">
                  <c:v>7.5902999999999998E-2</c:v>
                </c:pt>
                <c:pt idx="2">
                  <c:v>7.4317999999999995E-2</c:v>
                </c:pt>
                <c:pt idx="3">
                  <c:v>8.6447999999999997E-2</c:v>
                </c:pt>
                <c:pt idx="4">
                  <c:v>7.0379999999999998E-2</c:v>
                </c:pt>
                <c:pt idx="5">
                  <c:v>7.4039999999999995E-2</c:v>
                </c:pt>
                <c:pt idx="6">
                  <c:v>8.4048999999999999E-2</c:v>
                </c:pt>
                <c:pt idx="7">
                  <c:v>8.2111000000000003E-2</c:v>
                </c:pt>
                <c:pt idx="8">
                  <c:v>8.4583000000000005E-2</c:v>
                </c:pt>
                <c:pt idx="9">
                  <c:v>7.9880999999999994E-2</c:v>
                </c:pt>
                <c:pt idx="10">
                  <c:v>7.6355999999999993E-2</c:v>
                </c:pt>
                <c:pt idx="11">
                  <c:v>7.7639E-2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97984"/>
        <c:axId val="270529600"/>
      </c:lineChart>
      <c:catAx>
        <c:axId val="27069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529600"/>
        <c:crosses val="autoZero"/>
        <c:auto val="1"/>
        <c:lblAlgn val="ctr"/>
        <c:lblOffset val="100"/>
        <c:noMultiLvlLbl val="0"/>
      </c:catAx>
      <c:valAx>
        <c:axId val="2705296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231729704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6979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750595482"/>
          <c:y val="2.2161373086791118E-2"/>
          <c:w val="0.35128897182649865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'29_g'!$AJ$39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'29_g'!$AK$39:$AV$39</c:f>
              <c:numCache>
                <c:formatCode>#,##0.000_ ;\-#,##0.000\ </c:formatCode>
                <c:ptCount val="12"/>
                <c:pt idx="0">
                  <c:v>7.1025000000000005E-2</c:v>
                </c:pt>
                <c:pt idx="1">
                  <c:v>0.14645900000000001</c:v>
                </c:pt>
                <c:pt idx="2">
                  <c:v>0.218419</c:v>
                </c:pt>
                <c:pt idx="3">
                  <c:v>0.29539100000000001</c:v>
                </c:pt>
                <c:pt idx="4">
                  <c:v>0.36672500000000002</c:v>
                </c:pt>
                <c:pt idx="5">
                  <c:v>0.44109700000000002</c:v>
                </c:pt>
                <c:pt idx="6">
                  <c:v>0.52472000000000008</c:v>
                </c:pt>
                <c:pt idx="7">
                  <c:v>0.60962600000000011</c:v>
                </c:pt>
                <c:pt idx="8">
                  <c:v>0.69257900000000006</c:v>
                </c:pt>
                <c:pt idx="9">
                  <c:v>0.77938300000000005</c:v>
                </c:pt>
                <c:pt idx="10">
                  <c:v>0.84721900000000006</c:v>
                </c:pt>
                <c:pt idx="11">
                  <c:v>0.92673900000000009</c:v>
                </c:pt>
              </c:numCache>
            </c:numRef>
          </c:val>
        </c:ser>
        <c:ser>
          <c:idx val="0"/>
          <c:order val="2"/>
          <c:tx>
            <c:strRef>
              <c:f>'29_g'!$AJ$41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'29_g'!$AK$41:$AV$41</c:f>
              <c:numCache>
                <c:formatCode>#,##0.000_ ;\-#,##0.000\ </c:formatCode>
                <c:ptCount val="12"/>
                <c:pt idx="0">
                  <c:v>7.5199000000000002E-2</c:v>
                </c:pt>
                <c:pt idx="1">
                  <c:v>0.15110200000000001</c:v>
                </c:pt>
                <c:pt idx="2">
                  <c:v>0.22542000000000001</c:v>
                </c:pt>
                <c:pt idx="3">
                  <c:v>0.31186800000000003</c:v>
                </c:pt>
                <c:pt idx="4">
                  <c:v>0.38224800000000003</c:v>
                </c:pt>
                <c:pt idx="5">
                  <c:v>0.45628800000000003</c:v>
                </c:pt>
                <c:pt idx="6">
                  <c:v>0.54033700000000007</c:v>
                </c:pt>
                <c:pt idx="7">
                  <c:v>0.62244800000000011</c:v>
                </c:pt>
                <c:pt idx="8">
                  <c:v>0.70703100000000008</c:v>
                </c:pt>
                <c:pt idx="9">
                  <c:v>0.78691200000000006</c:v>
                </c:pt>
                <c:pt idx="10">
                  <c:v>0.86326800000000004</c:v>
                </c:pt>
                <c:pt idx="11">
                  <c:v>0.94090700000000005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0698496"/>
        <c:axId val="270531904"/>
      </c:barChart>
      <c:lineChart>
        <c:grouping val="standard"/>
        <c:varyColors val="0"/>
        <c:ser>
          <c:idx val="3"/>
          <c:order val="1"/>
          <c:tx>
            <c:strRef>
              <c:f>'29_g'!$AJ$40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'29_g'!$AK$37:$AV$37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'29_g'!$AK$40:$AV$40</c:f>
              <c:numCache>
                <c:formatCode>#,##0.000_ ;\-#,##0.000\ </c:formatCode>
                <c:ptCount val="12"/>
                <c:pt idx="0">
                  <c:v>7.4012999999999995E-2</c:v>
                </c:pt>
                <c:pt idx="1">
                  <c:v>0.15053699999999998</c:v>
                </c:pt>
                <c:pt idx="2">
                  <c:v>0.22501299999999996</c:v>
                </c:pt>
                <c:pt idx="3">
                  <c:v>0.30921599999999994</c:v>
                </c:pt>
                <c:pt idx="4">
                  <c:v>0.38073299999999993</c:v>
                </c:pt>
                <c:pt idx="5">
                  <c:v>0.45344499999999993</c:v>
                </c:pt>
                <c:pt idx="6">
                  <c:v>0.53693499999999994</c:v>
                </c:pt>
                <c:pt idx="7">
                  <c:v>0.62088099999999991</c:v>
                </c:pt>
                <c:pt idx="8">
                  <c:v>0.70445099999999994</c:v>
                </c:pt>
                <c:pt idx="9">
                  <c:v>0.78732099999999994</c:v>
                </c:pt>
                <c:pt idx="10">
                  <c:v>0.86337499999999989</c:v>
                </c:pt>
                <c:pt idx="11">
                  <c:v>0.94242999999999988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98496"/>
        <c:axId val="270531904"/>
      </c:lineChart>
      <c:catAx>
        <c:axId val="27069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531904"/>
        <c:crosses val="autoZero"/>
        <c:auto val="1"/>
        <c:lblAlgn val="ctr"/>
        <c:lblOffset val="100"/>
        <c:noMultiLvlLbl val="0"/>
      </c:catAx>
      <c:valAx>
        <c:axId val="2705319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55903996849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6984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1559199044"/>
          <c:y val="2.2161373086791118E-2"/>
          <c:w val="0.33180958440800956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'29_g'!$AY$18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'29_g'!$AZ$16:$BK$16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'29_g'!$AZ$18:$BK$18</c:f>
              <c:numCache>
                <c:formatCode>#,##0.000_ ;\-#,##0.000\ </c:formatCode>
                <c:ptCount val="12"/>
                <c:pt idx="0">
                  <c:v>1.3963E-2</c:v>
                </c:pt>
                <c:pt idx="1">
                  <c:v>1.8436999999999999E-2</c:v>
                </c:pt>
                <c:pt idx="2">
                  <c:v>1.8911000000000001E-2</c:v>
                </c:pt>
                <c:pt idx="3">
                  <c:v>2.1113E-2</c:v>
                </c:pt>
                <c:pt idx="4">
                  <c:v>1.9434E-2</c:v>
                </c:pt>
                <c:pt idx="5">
                  <c:v>2.1600999999999999E-2</c:v>
                </c:pt>
                <c:pt idx="6">
                  <c:v>2.5075E-2</c:v>
                </c:pt>
                <c:pt idx="7">
                  <c:v>2.3435999999999998E-2</c:v>
                </c:pt>
                <c:pt idx="8">
                  <c:v>2.2648999999999999E-2</c:v>
                </c:pt>
                <c:pt idx="9">
                  <c:v>2.2880999999999999E-2</c:v>
                </c:pt>
                <c:pt idx="10">
                  <c:v>1.8675000000000001E-2</c:v>
                </c:pt>
                <c:pt idx="11">
                  <c:v>2.9090000000000001E-2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'29_g'!$AY$19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'29_g'!$AZ$16:$BK$16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'29_g'!$AZ$19:$BK$19</c:f>
              <c:numCache>
                <c:formatCode>#,##0.000_ ;\-#,##0.000\ </c:formatCode>
                <c:ptCount val="12"/>
                <c:pt idx="0">
                  <c:v>1.15E-2</c:v>
                </c:pt>
                <c:pt idx="1">
                  <c:v>1.3162999999999999E-2</c:v>
                </c:pt>
                <c:pt idx="2">
                  <c:v>1.3231E-2</c:v>
                </c:pt>
                <c:pt idx="3">
                  <c:v>1.5183E-2</c:v>
                </c:pt>
                <c:pt idx="4">
                  <c:v>1.3006E-2</c:v>
                </c:pt>
                <c:pt idx="5">
                  <c:v>1.3990000000000001E-2</c:v>
                </c:pt>
                <c:pt idx="6">
                  <c:v>1.6240999999999998E-2</c:v>
                </c:pt>
                <c:pt idx="7">
                  <c:v>1.6091000000000001E-2</c:v>
                </c:pt>
                <c:pt idx="8">
                  <c:v>1.5069000000000001E-2</c:v>
                </c:pt>
                <c:pt idx="9">
                  <c:v>1.5025E-2</c:v>
                </c:pt>
                <c:pt idx="10">
                  <c:v>1.3457999999999999E-2</c:v>
                </c:pt>
                <c:pt idx="11">
                  <c:v>1.6913000000000001E-2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'29_g'!$AY$20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'29_g'!$AZ$16:$BK$16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'29_g'!$AZ$20:$BK$20</c:f>
              <c:numCache>
                <c:formatCode>#,##0.000_ ;\-#,##0.000\ </c:formatCode>
                <c:ptCount val="12"/>
                <c:pt idx="0">
                  <c:v>2.1145000000000001E-2</c:v>
                </c:pt>
                <c:pt idx="1">
                  <c:v>3.6020999999999997E-2</c:v>
                </c:pt>
                <c:pt idx="2">
                  <c:v>4.8044999999999997E-2</c:v>
                </c:pt>
                <c:pt idx="3">
                  <c:v>2.9021999999999999E-2</c:v>
                </c:pt>
                <c:pt idx="4">
                  <c:v>3.7812809999999995E-2</c:v>
                </c:pt>
                <c:pt idx="5">
                  <c:v>4.5384440000000005E-2</c:v>
                </c:pt>
                <c:pt idx="6">
                  <c:v>3.5748519999999992E-2</c:v>
                </c:pt>
                <c:pt idx="7">
                  <c:v>4.4183460000000008E-2</c:v>
                </c:pt>
                <c:pt idx="8">
                  <c:v>3.8293150000000012E-2</c:v>
                </c:pt>
                <c:pt idx="9">
                  <c:v>3.7246609999999999E-2</c:v>
                </c:pt>
                <c:pt idx="10">
                  <c:v>3.8094910000000003E-2</c:v>
                </c:pt>
                <c:pt idx="11">
                  <c:v>5.1724290000000006E-2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99520"/>
        <c:axId val="271369920"/>
      </c:lineChart>
      <c:catAx>
        <c:axId val="27069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369920"/>
        <c:crosses val="autoZero"/>
        <c:auto val="1"/>
        <c:lblAlgn val="ctr"/>
        <c:lblOffset val="100"/>
        <c:noMultiLvlLbl val="0"/>
      </c:catAx>
      <c:valAx>
        <c:axId val="2713699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75423526603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6995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1713194937"/>
          <c:y val="2.2161373086791118E-2"/>
          <c:w val="0.353009782868050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'29_g'!$AY$39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'29_g'!$AZ$37:$BO$37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'29_g'!$AZ$39:$BO$39</c:f>
              <c:numCache>
                <c:formatCode>_(* #,##0.00_);_(* \(#,##0.00\);_(* "-"??_);_(@_)</c:formatCode>
                <c:ptCount val="16"/>
                <c:pt idx="0">
                  <c:v>16.416243416102333</c:v>
                </c:pt>
                <c:pt idx="1">
                  <c:v>19.61216066717726</c:v>
                </c:pt>
                <c:pt idx="2">
                  <c:v>20.790685913433524</c:v>
                </c:pt>
                <c:pt idx="3">
                  <c:v>19.002455346396417</c:v>
                </c:pt>
                <c:pt idx="4">
                  <c:v>21.506132094690951</c:v>
                </c:pt>
                <c:pt idx="5">
                  <c:v>21.376951084027233</c:v>
                </c:pt>
                <c:pt idx="6">
                  <c:v>22.437468838291508</c:v>
                </c:pt>
                <c:pt idx="7">
                  <c:v>20.429149156070281</c:v>
                </c:pt>
                <c:pt idx="8">
                  <c:v>22.988769195507679</c:v>
                </c:pt>
                <c:pt idx="9">
                  <c:v>21.447004776982631</c:v>
                </c:pt>
                <c:pt idx="10">
                  <c:v>21.357712690719122</c:v>
                </c:pt>
                <c:pt idx="11">
                  <c:v>20.984844954323446</c:v>
                </c:pt>
                <c:pt idx="12">
                  <c:v>20.839367195825023</c:v>
                </c:pt>
                <c:pt idx="13">
                  <c:v>21.571390618322109</c:v>
                </c:pt>
                <c:pt idx="14">
                  <c:v>26.736640870572231</c:v>
                </c:pt>
                <c:pt idx="15">
                  <c:v>21.54235006688074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'29_g'!$AY$40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'29_g'!$AZ$37:$BO$37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'29_g'!$AZ$40:$BO$40</c:f>
              <c:numCache>
                <c:formatCode>_(* #,##0.00_);_(* \(#,##0.00\);_(* "-"??_);_(@_)</c:formatCode>
                <c:ptCount val="16"/>
                <c:pt idx="0">
                  <c:v>15.499865507038466</c:v>
                </c:pt>
                <c:pt idx="1">
                  <c:v>15.499865507038466</c:v>
                </c:pt>
                <c:pt idx="2">
                  <c:v>15.499865507038466</c:v>
                </c:pt>
                <c:pt idx="3">
                  <c:v>15.499865507038466</c:v>
                </c:pt>
                <c:pt idx="4">
                  <c:v>15.499865507038466</c:v>
                </c:pt>
                <c:pt idx="5">
                  <c:v>15.499865507038466</c:v>
                </c:pt>
                <c:pt idx="6">
                  <c:v>15.499865507038466</c:v>
                </c:pt>
                <c:pt idx="7">
                  <c:v>15.499865507038466</c:v>
                </c:pt>
                <c:pt idx="8">
                  <c:v>15.499865507038466</c:v>
                </c:pt>
                <c:pt idx="9">
                  <c:v>15.499865507038466</c:v>
                </c:pt>
                <c:pt idx="10">
                  <c:v>15.499865507038466</c:v>
                </c:pt>
                <c:pt idx="11">
                  <c:v>15.499865507038466</c:v>
                </c:pt>
                <c:pt idx="12">
                  <c:v>15.499865507038466</c:v>
                </c:pt>
                <c:pt idx="13">
                  <c:v>15.499865507038466</c:v>
                </c:pt>
                <c:pt idx="14">
                  <c:v>15.499865507038466</c:v>
                </c:pt>
                <c:pt idx="15">
                  <c:v>15.499865507038466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'29_g'!$AY$41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'29_g'!$AZ$37:$BO$37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'29_g'!$AZ$41:$BO$41</c:f>
              <c:numCache>
                <c:formatCode>_(* #,##0.00_);_(* \(#,##0.00\);_(* "-"??_);_(@_)</c:formatCode>
                <c:ptCount val="16"/>
                <c:pt idx="0">
                  <c:v>21.933054653707718</c:v>
                </c:pt>
                <c:pt idx="1">
                  <c:v>32.15041191013843</c:v>
                </c:pt>
                <c:pt idx="2">
                  <c:v>39.224250538828294</c:v>
                </c:pt>
                <c:pt idx="3">
                  <c:v>31.792139822441939</c:v>
                </c:pt>
                <c:pt idx="4">
                  <c:v>25.118356254489747</c:v>
                </c:pt>
                <c:pt idx="5">
                  <c:v>34.909779098729906</c:v>
                </c:pt>
                <c:pt idx="6">
                  <c:v>37.902982534263849</c:v>
                </c:pt>
                <c:pt idx="7">
                  <c:v>32.234369376865423</c:v>
                </c:pt>
                <c:pt idx="8">
                  <c:v>29.782858559639656</c:v>
                </c:pt>
                <c:pt idx="9">
                  <c:v>34.926681056786904</c:v>
                </c:pt>
                <c:pt idx="10">
                  <c:v>31.133110538654446</c:v>
                </c:pt>
                <c:pt idx="11">
                  <c:v>32.149008327460592</c:v>
                </c:pt>
                <c:pt idx="12">
                  <c:v>31.755832798550543</c:v>
                </c:pt>
                <c:pt idx="13">
                  <c:v>33.260522927027232</c:v>
                </c:pt>
                <c:pt idx="14">
                  <c:v>39.958109266785478</c:v>
                </c:pt>
                <c:pt idx="15">
                  <c:v>32.926084240563618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700032"/>
        <c:axId val="271372224"/>
      </c:lineChart>
      <c:catAx>
        <c:axId val="2707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372224"/>
        <c:crosses val="autoZero"/>
        <c:auto val="1"/>
        <c:lblAlgn val="ctr"/>
        <c:lblOffset val="100"/>
        <c:noMultiLvlLbl val="0"/>
      </c:catAx>
      <c:valAx>
        <c:axId val="2713722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696037995251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7000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7619047611"/>
          <c:y val="2.2161373086791118E-2"/>
          <c:w val="0.2830307461567304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'29_g'!$A$64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'29_g'!$B$62:$M$62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'29_g'!$B$64:$M$64</c:f>
              <c:numCache>
                <c:formatCode>#,##0.00_ ;\-#,##0.00\ </c:formatCode>
                <c:ptCount val="12"/>
                <c:pt idx="0">
                  <c:v>1.4698253600000004</c:v>
                </c:pt>
                <c:pt idx="1">
                  <c:v>1.53859346</c:v>
                </c:pt>
                <c:pt idx="2">
                  <c:v>1.4658808499999998</c:v>
                </c:pt>
                <c:pt idx="3">
                  <c:v>1.5725406</c:v>
                </c:pt>
                <c:pt idx="4">
                  <c:v>1.4677709899999998</c:v>
                </c:pt>
                <c:pt idx="5">
                  <c:v>1.5214286499999998</c:v>
                </c:pt>
                <c:pt idx="6">
                  <c:v>1.68893479</c:v>
                </c:pt>
                <c:pt idx="7">
                  <c:v>1.6949025200000001</c:v>
                </c:pt>
                <c:pt idx="8">
                  <c:v>1.6939389499999999</c:v>
                </c:pt>
                <c:pt idx="9">
                  <c:v>1.7406487999999998</c:v>
                </c:pt>
                <c:pt idx="10">
                  <c:v>1.41316946</c:v>
                </c:pt>
                <c:pt idx="11">
                  <c:v>1.6935075400000001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'29_g'!$A$65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'29_g'!$B$62:$M$62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'29_g'!$B$65:$M$65</c:f>
              <c:numCache>
                <c:formatCode>#,##0.00_ ;\-#,##0.00\ </c:formatCode>
                <c:ptCount val="12"/>
                <c:pt idx="0">
                  <c:v>1.544548</c:v>
                </c:pt>
                <c:pt idx="1">
                  <c:v>1.569113</c:v>
                </c:pt>
                <c:pt idx="2">
                  <c:v>1.5393129999999999</c:v>
                </c:pt>
                <c:pt idx="3">
                  <c:v>1.7139390000000001</c:v>
                </c:pt>
                <c:pt idx="4">
                  <c:v>1.5024420000000001</c:v>
                </c:pt>
                <c:pt idx="5">
                  <c:v>1.5162960000000001</c:v>
                </c:pt>
                <c:pt idx="6">
                  <c:v>1.6873199999999999</c:v>
                </c:pt>
                <c:pt idx="7">
                  <c:v>1.6888810000000001</c:v>
                </c:pt>
                <c:pt idx="8">
                  <c:v>1.713069</c:v>
                </c:pt>
                <c:pt idx="9">
                  <c:v>1.693292</c:v>
                </c:pt>
                <c:pt idx="10">
                  <c:v>1.562613</c:v>
                </c:pt>
                <c:pt idx="11">
                  <c:v>1.6414329999999999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'29_g'!$A$66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'29_g'!$B$62:$M$62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'29_g'!$B$66:$M$66</c:f>
              <c:numCache>
                <c:formatCode>#,##0.00_ ;\-#,##0.00\ </c:formatCode>
                <c:ptCount val="12"/>
                <c:pt idx="0">
                  <c:v>1.5451455799999998</c:v>
                </c:pt>
                <c:pt idx="1">
                  <c:v>1.5535927</c:v>
                </c:pt>
                <c:pt idx="2">
                  <c:v>1.5177580299999998</c:v>
                </c:pt>
                <c:pt idx="3">
                  <c:v>1.74326146</c:v>
                </c:pt>
                <c:pt idx="4">
                  <c:v>1.4809601400000001</c:v>
                </c:pt>
                <c:pt idx="5">
                  <c:v>1.5434863300000001</c:v>
                </c:pt>
                <c:pt idx="6">
                  <c:v>1.70054561</c:v>
                </c:pt>
                <c:pt idx="7">
                  <c:v>1.6597763099999998</c:v>
                </c:pt>
                <c:pt idx="8">
                  <c:v>1.7382859099999999</c:v>
                </c:pt>
                <c:pt idx="9">
                  <c:v>1.6475979600000001</c:v>
                </c:pt>
                <c:pt idx="10">
                  <c:v>1.6199209999999999</c:v>
                </c:pt>
                <c:pt idx="11">
                  <c:v>1.6292241599999997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75680"/>
        <c:axId val="271374528"/>
      </c:lineChart>
      <c:catAx>
        <c:axId val="2711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374528"/>
        <c:crosses val="autoZero"/>
        <c:auto val="1"/>
        <c:lblAlgn val="ctr"/>
        <c:lblOffset val="100"/>
        <c:noMultiLvlLbl val="0"/>
      </c:catAx>
      <c:valAx>
        <c:axId val="2713745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17568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'29_g'!$B$85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'29_g'!$C$85:$N$85</c:f>
              <c:numCache>
                <c:formatCode>#,##0.00_ ;\-#,##0.00\ </c:formatCode>
                <c:ptCount val="12"/>
                <c:pt idx="0">
                  <c:v>1.4698253600000004</c:v>
                </c:pt>
                <c:pt idx="1">
                  <c:v>3.0084188200000002</c:v>
                </c:pt>
                <c:pt idx="2">
                  <c:v>4.4742996699999997</c:v>
                </c:pt>
                <c:pt idx="3">
                  <c:v>6.0468402699999997</c:v>
                </c:pt>
                <c:pt idx="4">
                  <c:v>7.5146112599999997</c:v>
                </c:pt>
                <c:pt idx="5">
                  <c:v>9.0360399099999995</c:v>
                </c:pt>
                <c:pt idx="6">
                  <c:v>10.724974699999999</c:v>
                </c:pt>
                <c:pt idx="7">
                  <c:v>12.419877219999998</c:v>
                </c:pt>
                <c:pt idx="8">
                  <c:v>14.113816169999998</c:v>
                </c:pt>
                <c:pt idx="9">
                  <c:v>15.854464969999999</c:v>
                </c:pt>
                <c:pt idx="10">
                  <c:v>17.267634429999998</c:v>
                </c:pt>
                <c:pt idx="11">
                  <c:v>18.961141969999996</c:v>
                </c:pt>
              </c:numCache>
            </c:numRef>
          </c:val>
        </c:ser>
        <c:ser>
          <c:idx val="0"/>
          <c:order val="2"/>
          <c:tx>
            <c:strRef>
              <c:f>'29_g'!$B$87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'29_g'!$C$87:$N$87</c:f>
              <c:numCache>
                <c:formatCode>#,##0.00_ ;\-#,##0.00\ </c:formatCode>
                <c:ptCount val="12"/>
                <c:pt idx="0">
                  <c:v>1.5451455799999998</c:v>
                </c:pt>
                <c:pt idx="1">
                  <c:v>3.0987382800000001</c:v>
                </c:pt>
                <c:pt idx="2">
                  <c:v>4.6164963099999996</c:v>
                </c:pt>
                <c:pt idx="3">
                  <c:v>6.3597577699999999</c:v>
                </c:pt>
                <c:pt idx="4">
                  <c:v>7.8407179100000004</c:v>
                </c:pt>
                <c:pt idx="5">
                  <c:v>9.3842042400000008</c:v>
                </c:pt>
                <c:pt idx="6">
                  <c:v>11.084749850000001</c:v>
                </c:pt>
                <c:pt idx="7">
                  <c:v>12.744526160000001</c:v>
                </c:pt>
                <c:pt idx="8">
                  <c:v>14.482812070000001</c:v>
                </c:pt>
                <c:pt idx="9">
                  <c:v>16.13041003</c:v>
                </c:pt>
                <c:pt idx="10">
                  <c:v>17.750331030000002</c:v>
                </c:pt>
                <c:pt idx="11">
                  <c:v>19.379555190000001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1176192"/>
        <c:axId val="271237696"/>
      </c:barChart>
      <c:lineChart>
        <c:grouping val="standard"/>
        <c:varyColors val="0"/>
        <c:ser>
          <c:idx val="3"/>
          <c:order val="1"/>
          <c:tx>
            <c:strRef>
              <c:f>'29_g'!$B$86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'29_g'!$C$83:$N$83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'29_g'!$C$86:$N$86</c:f>
              <c:numCache>
                <c:formatCode>#,##0.00_ ;\-#,##0.00\ </c:formatCode>
                <c:ptCount val="12"/>
                <c:pt idx="0">
                  <c:v>1.544548</c:v>
                </c:pt>
                <c:pt idx="1">
                  <c:v>3.113661</c:v>
                </c:pt>
                <c:pt idx="2">
                  <c:v>4.6529740000000004</c:v>
                </c:pt>
                <c:pt idx="3">
                  <c:v>6.3669130000000003</c:v>
                </c:pt>
                <c:pt idx="4">
                  <c:v>7.8693550000000005</c:v>
                </c:pt>
                <c:pt idx="5">
                  <c:v>9.3856510000000011</c:v>
                </c:pt>
                <c:pt idx="6">
                  <c:v>11.072971000000001</c:v>
                </c:pt>
                <c:pt idx="7">
                  <c:v>12.761852000000001</c:v>
                </c:pt>
                <c:pt idx="8">
                  <c:v>14.474921000000002</c:v>
                </c:pt>
                <c:pt idx="9">
                  <c:v>16.168213000000002</c:v>
                </c:pt>
                <c:pt idx="10">
                  <c:v>17.730826</c:v>
                </c:pt>
                <c:pt idx="11">
                  <c:v>19.372259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76192"/>
        <c:axId val="271237696"/>
      </c:lineChart>
      <c:catAx>
        <c:axId val="2711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237696"/>
        <c:crosses val="autoZero"/>
        <c:auto val="1"/>
        <c:lblAlgn val="ctr"/>
        <c:lblOffset val="100"/>
        <c:noMultiLvlLbl val="0"/>
      </c:catAx>
      <c:valAx>
        <c:axId val="2712376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1761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'29_g'!$S$64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'29_g'!$T$62:$AE$62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'29_g'!$T$64:$AE$64</c:f>
              <c:numCache>
                <c:formatCode>#,##0.00_ ;\-#,##0.00\ </c:formatCode>
                <c:ptCount val="12"/>
                <c:pt idx="0">
                  <c:v>0.70256987000000004</c:v>
                </c:pt>
                <c:pt idx="1">
                  <c:v>0.75160369999999999</c:v>
                </c:pt>
                <c:pt idx="2">
                  <c:v>0.71103057999999986</c:v>
                </c:pt>
                <c:pt idx="3">
                  <c:v>0.73622114999999988</c:v>
                </c:pt>
                <c:pt idx="4">
                  <c:v>0.78522822999999997</c:v>
                </c:pt>
                <c:pt idx="5">
                  <c:v>0.83708202999999992</c:v>
                </c:pt>
                <c:pt idx="6">
                  <c:v>0.73154384999999988</c:v>
                </c:pt>
                <c:pt idx="7">
                  <c:v>0.83912334999999993</c:v>
                </c:pt>
                <c:pt idx="8">
                  <c:v>0.8430213099999998</c:v>
                </c:pt>
                <c:pt idx="9">
                  <c:v>0.79030898999999999</c:v>
                </c:pt>
                <c:pt idx="10">
                  <c:v>0.88800747000000002</c:v>
                </c:pt>
                <c:pt idx="11">
                  <c:v>0.77246735999999994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'29_g'!$S$65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'29_g'!$T$62:$AE$62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'29_g'!$T$65:$AE$65</c:f>
              <c:numCache>
                <c:formatCode>#,##0.00_ ;\-#,##0.00\ </c:formatCode>
                <c:ptCount val="12"/>
                <c:pt idx="0">
                  <c:v>0.75307400000000002</c:v>
                </c:pt>
                <c:pt idx="1">
                  <c:v>0.73602299999999998</c:v>
                </c:pt>
                <c:pt idx="2">
                  <c:v>0.74809899999999996</c:v>
                </c:pt>
                <c:pt idx="3">
                  <c:v>0.75318300000000005</c:v>
                </c:pt>
                <c:pt idx="4">
                  <c:v>0.76867099999999999</c:v>
                </c:pt>
                <c:pt idx="5">
                  <c:v>0.83149300000000004</c:v>
                </c:pt>
                <c:pt idx="6">
                  <c:v>0.74338099999999996</c:v>
                </c:pt>
                <c:pt idx="7">
                  <c:v>0.79232199999999997</c:v>
                </c:pt>
                <c:pt idx="8">
                  <c:v>0.82380699999999996</c:v>
                </c:pt>
                <c:pt idx="9">
                  <c:v>0.78442400000000001</c:v>
                </c:pt>
                <c:pt idx="10">
                  <c:v>0.83418899999999996</c:v>
                </c:pt>
                <c:pt idx="11">
                  <c:v>0.88678500000000005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'29_g'!$S$66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'29_g'!$T$62:$AE$62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'29_g'!$T$66:$AE$66</c:f>
              <c:numCache>
                <c:formatCode>#,##0.00_ ;\-#,##0.00\ </c:formatCode>
                <c:ptCount val="12"/>
                <c:pt idx="0">
                  <c:v>0.7753829499999999</c:v>
                </c:pt>
                <c:pt idx="1">
                  <c:v>0.73560298000000024</c:v>
                </c:pt>
                <c:pt idx="2">
                  <c:v>0.96090560999999997</c:v>
                </c:pt>
                <c:pt idx="3">
                  <c:v>0.79469700999999993</c:v>
                </c:pt>
                <c:pt idx="4">
                  <c:v>0.73783538000000015</c:v>
                </c:pt>
                <c:pt idx="5">
                  <c:v>0.87369266999999984</c:v>
                </c:pt>
                <c:pt idx="6">
                  <c:v>0.73958425000000005</c:v>
                </c:pt>
                <c:pt idx="7">
                  <c:v>0.82643591999999999</c:v>
                </c:pt>
                <c:pt idx="8">
                  <c:v>0.90173856000000019</c:v>
                </c:pt>
                <c:pt idx="9">
                  <c:v>0.82361386999999997</c:v>
                </c:pt>
                <c:pt idx="10">
                  <c:v>0.92731838000000011</c:v>
                </c:pt>
                <c:pt idx="11">
                  <c:v>1.1101979399999999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621824"/>
        <c:axId val="271240000"/>
      </c:lineChart>
      <c:catAx>
        <c:axId val="2686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240000"/>
        <c:crosses val="autoZero"/>
        <c:auto val="1"/>
        <c:lblAlgn val="ctr"/>
        <c:lblOffset val="100"/>
        <c:noMultiLvlLbl val="0"/>
      </c:catAx>
      <c:valAx>
        <c:axId val="2712400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86218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'29_g'!$T$85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'29_g'!$U$85:$AF$85</c:f>
              <c:numCache>
                <c:formatCode>#,##0.00_ ;\-#,##0.00\ </c:formatCode>
                <c:ptCount val="12"/>
                <c:pt idx="0">
                  <c:v>0.70256987000000004</c:v>
                </c:pt>
                <c:pt idx="1">
                  <c:v>1.45417357</c:v>
                </c:pt>
                <c:pt idx="2">
                  <c:v>2.1652041500000001</c:v>
                </c:pt>
                <c:pt idx="3">
                  <c:v>2.9014253000000001</c:v>
                </c:pt>
                <c:pt idx="4">
                  <c:v>3.6866535300000001</c:v>
                </c:pt>
                <c:pt idx="5">
                  <c:v>4.5237355600000004</c:v>
                </c:pt>
                <c:pt idx="6">
                  <c:v>5.25527941</c:v>
                </c:pt>
                <c:pt idx="7">
                  <c:v>6.0944027599999995</c:v>
                </c:pt>
                <c:pt idx="8">
                  <c:v>6.9374240699999996</c:v>
                </c:pt>
                <c:pt idx="9">
                  <c:v>7.7277330599999994</c:v>
                </c:pt>
                <c:pt idx="10">
                  <c:v>8.6157405300000001</c:v>
                </c:pt>
                <c:pt idx="11">
                  <c:v>9.3882078900000003</c:v>
                </c:pt>
              </c:numCache>
            </c:numRef>
          </c:val>
        </c:ser>
        <c:ser>
          <c:idx val="0"/>
          <c:order val="2"/>
          <c:tx>
            <c:strRef>
              <c:f>'29_g'!$T$87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'29_g'!$U$87:$AF$87</c:f>
              <c:numCache>
                <c:formatCode>#,##0.00_ ;\-#,##0.00\ </c:formatCode>
                <c:ptCount val="12"/>
                <c:pt idx="0">
                  <c:v>0.7753829499999999</c:v>
                </c:pt>
                <c:pt idx="1">
                  <c:v>1.5109859300000001</c:v>
                </c:pt>
                <c:pt idx="2">
                  <c:v>2.4718915400000001</c:v>
                </c:pt>
                <c:pt idx="3">
                  <c:v>3.2665885499999998</c:v>
                </c:pt>
                <c:pt idx="4">
                  <c:v>4.0044239299999997</c:v>
                </c:pt>
                <c:pt idx="5">
                  <c:v>4.8781165999999994</c:v>
                </c:pt>
                <c:pt idx="6">
                  <c:v>5.6177008499999994</c:v>
                </c:pt>
                <c:pt idx="7">
                  <c:v>6.4441367699999992</c:v>
                </c:pt>
                <c:pt idx="8">
                  <c:v>7.3458753299999993</c:v>
                </c:pt>
                <c:pt idx="9">
                  <c:v>8.1694891999999992</c:v>
                </c:pt>
                <c:pt idx="10">
                  <c:v>9.0968075800000001</c:v>
                </c:pt>
                <c:pt idx="11">
                  <c:v>10.207005519999999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1177216"/>
        <c:axId val="271242304"/>
      </c:barChart>
      <c:lineChart>
        <c:grouping val="standard"/>
        <c:varyColors val="0"/>
        <c:ser>
          <c:idx val="3"/>
          <c:order val="1"/>
          <c:tx>
            <c:strRef>
              <c:f>'29_g'!$T$86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'29_g'!$U$83:$AF$83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'29_g'!$U$86:$AF$86</c:f>
              <c:numCache>
                <c:formatCode>#,##0.00_ ;\-#,##0.00\ </c:formatCode>
                <c:ptCount val="12"/>
                <c:pt idx="0">
                  <c:v>0.75307400000000002</c:v>
                </c:pt>
                <c:pt idx="1">
                  <c:v>1.4890970000000001</c:v>
                </c:pt>
                <c:pt idx="2">
                  <c:v>2.237196</c:v>
                </c:pt>
                <c:pt idx="3">
                  <c:v>2.9903789999999999</c:v>
                </c:pt>
                <c:pt idx="4">
                  <c:v>3.7590499999999998</c:v>
                </c:pt>
                <c:pt idx="5">
                  <c:v>4.5905430000000003</c:v>
                </c:pt>
                <c:pt idx="6">
                  <c:v>5.3339240000000006</c:v>
                </c:pt>
                <c:pt idx="7">
                  <c:v>6.1262460000000001</c:v>
                </c:pt>
                <c:pt idx="8">
                  <c:v>6.9500530000000005</c:v>
                </c:pt>
                <c:pt idx="9">
                  <c:v>7.734477</c:v>
                </c:pt>
                <c:pt idx="10">
                  <c:v>8.5686660000000003</c:v>
                </c:pt>
                <c:pt idx="11">
                  <c:v>9.4554510000000001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77216"/>
        <c:axId val="271242304"/>
      </c:lineChart>
      <c:catAx>
        <c:axId val="27117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242304"/>
        <c:crosses val="autoZero"/>
        <c:auto val="1"/>
        <c:lblAlgn val="ctr"/>
        <c:lblOffset val="100"/>
        <c:noMultiLvlLbl val="0"/>
      </c:catAx>
      <c:valAx>
        <c:axId val="2712423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1772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'29_g'!$AI$64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'29_g'!$AJ$62:$AU$62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'29_g'!$AJ$64:$AU$64</c:f>
              <c:numCache>
                <c:formatCode>#,##0.00_ ;\-#,##0.00\ </c:formatCode>
                <c:ptCount val="12"/>
                <c:pt idx="0">
                  <c:v>0.76725549000000037</c:v>
                </c:pt>
                <c:pt idx="1">
                  <c:v>0.78698975999999998</c:v>
                </c:pt>
                <c:pt idx="2">
                  <c:v>0.75485026999999993</c:v>
                </c:pt>
                <c:pt idx="3">
                  <c:v>0.83631945000000008</c:v>
                </c:pt>
                <c:pt idx="4">
                  <c:v>0.6825427599999998</c:v>
                </c:pt>
                <c:pt idx="5">
                  <c:v>0.68434661999999991</c:v>
                </c:pt>
                <c:pt idx="6">
                  <c:v>0.95739094000000013</c:v>
                </c:pt>
                <c:pt idx="7">
                  <c:v>0.85577917000000014</c:v>
                </c:pt>
                <c:pt idx="8">
                  <c:v>0.85091764000000014</c:v>
                </c:pt>
                <c:pt idx="9">
                  <c:v>0.95033980999999979</c:v>
                </c:pt>
                <c:pt idx="10">
                  <c:v>0.52516198999999997</c:v>
                </c:pt>
                <c:pt idx="11">
                  <c:v>0.92104018000000021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'29_g'!$AI$65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'29_g'!$AJ$62:$AU$62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'29_g'!$AJ$65:$AU$65</c:f>
              <c:numCache>
                <c:formatCode>#,##0.00_ ;\-#,##0.00\ </c:formatCode>
                <c:ptCount val="12"/>
                <c:pt idx="0">
                  <c:v>0.79147400000000001</c:v>
                </c:pt>
                <c:pt idx="1">
                  <c:v>0.83309</c:v>
                </c:pt>
                <c:pt idx="2">
                  <c:v>0.79121399999999997</c:v>
                </c:pt>
                <c:pt idx="3">
                  <c:v>0.96075600000000005</c:v>
                </c:pt>
                <c:pt idx="4">
                  <c:v>0.73377100000000006</c:v>
                </c:pt>
                <c:pt idx="5">
                  <c:v>0.68480300000000005</c:v>
                </c:pt>
                <c:pt idx="6">
                  <c:v>0.94393899999999997</c:v>
                </c:pt>
                <c:pt idx="7">
                  <c:v>0.89655900000000011</c:v>
                </c:pt>
                <c:pt idx="8">
                  <c:v>0.889262</c:v>
                </c:pt>
                <c:pt idx="9">
                  <c:v>0.90886800000000001</c:v>
                </c:pt>
                <c:pt idx="10">
                  <c:v>0.72842400000000007</c:v>
                </c:pt>
                <c:pt idx="11">
                  <c:v>0.75464799999999987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'29_g'!$AI$66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'29_g'!$AJ$62:$AU$62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'29_g'!$AJ$66:$AU$66</c:f>
              <c:numCache>
                <c:formatCode>#,##0.00_ ;\-#,##0.00\ </c:formatCode>
                <c:ptCount val="12"/>
                <c:pt idx="0">
                  <c:v>0.76976262999999989</c:v>
                </c:pt>
                <c:pt idx="1">
                  <c:v>0.81798971999999981</c:v>
                </c:pt>
                <c:pt idx="2">
                  <c:v>0.55685241999999979</c:v>
                </c:pt>
                <c:pt idx="3">
                  <c:v>0.94856445000000011</c:v>
                </c:pt>
                <c:pt idx="4">
                  <c:v>0.74312475999999994</c:v>
                </c:pt>
                <c:pt idx="5">
                  <c:v>0.66979366000000029</c:v>
                </c:pt>
                <c:pt idx="6">
                  <c:v>0.96096135999999999</c:v>
                </c:pt>
                <c:pt idx="7">
                  <c:v>0.83334038999999982</c:v>
                </c:pt>
                <c:pt idx="8">
                  <c:v>0.83654734999999969</c:v>
                </c:pt>
                <c:pt idx="9">
                  <c:v>0.82398409000000017</c:v>
                </c:pt>
                <c:pt idx="10">
                  <c:v>0.69260261999999984</c:v>
                </c:pt>
                <c:pt idx="11">
                  <c:v>0.51902621999999976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78240"/>
        <c:axId val="271244608"/>
      </c:lineChart>
      <c:catAx>
        <c:axId val="27117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244608"/>
        <c:crosses val="autoZero"/>
        <c:auto val="1"/>
        <c:lblAlgn val="ctr"/>
        <c:lblOffset val="100"/>
        <c:noMultiLvlLbl val="0"/>
      </c:catAx>
      <c:valAx>
        <c:axId val="2712446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39820829426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1782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764848977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'29_g'!$AJ$85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'29_g'!$AK$85:$AV$85</c:f>
              <c:numCache>
                <c:formatCode>#,##0.00_ ;\-#,##0.00\ </c:formatCode>
                <c:ptCount val="12"/>
                <c:pt idx="0">
                  <c:v>0.76725549000000037</c:v>
                </c:pt>
                <c:pt idx="1">
                  <c:v>1.5542452500000004</c:v>
                </c:pt>
                <c:pt idx="2">
                  <c:v>2.3090955200000005</c:v>
                </c:pt>
                <c:pt idx="3">
                  <c:v>3.1454149700000005</c:v>
                </c:pt>
                <c:pt idx="4">
                  <c:v>3.8279577300000005</c:v>
                </c:pt>
                <c:pt idx="5">
                  <c:v>4.5123043500000009</c:v>
                </c:pt>
                <c:pt idx="6">
                  <c:v>5.4696952900000007</c:v>
                </c:pt>
                <c:pt idx="7">
                  <c:v>6.3254744600000006</c:v>
                </c:pt>
                <c:pt idx="8">
                  <c:v>7.1763921000000011</c:v>
                </c:pt>
                <c:pt idx="9">
                  <c:v>8.1267319100000002</c:v>
                </c:pt>
                <c:pt idx="10">
                  <c:v>8.651893900000001</c:v>
                </c:pt>
                <c:pt idx="11">
                  <c:v>9.5729340800000013</c:v>
                </c:pt>
              </c:numCache>
            </c:numRef>
          </c:val>
        </c:ser>
        <c:ser>
          <c:idx val="0"/>
          <c:order val="2"/>
          <c:tx>
            <c:strRef>
              <c:f>'29_g'!$AJ$87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'29_g'!$AK$83:$AV$83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'29_g'!$AK$87:$AV$87</c:f>
              <c:numCache>
                <c:formatCode>#,##0.00_ ;\-#,##0.00\ </c:formatCode>
                <c:ptCount val="12"/>
                <c:pt idx="0">
                  <c:v>0.76976262999999989</c:v>
                </c:pt>
                <c:pt idx="1">
                  <c:v>1.5877523499999997</c:v>
                </c:pt>
                <c:pt idx="2">
                  <c:v>2.1446047699999995</c:v>
                </c:pt>
                <c:pt idx="3">
                  <c:v>3.0931692199999996</c:v>
                </c:pt>
                <c:pt idx="4">
                  <c:v>3.8362939799999998</c:v>
                </c:pt>
                <c:pt idx="5">
                  <c:v>4.5060876400000005</c:v>
                </c:pt>
                <c:pt idx="6">
                  <c:v>5.4670490000000003</c:v>
                </c:pt>
                <c:pt idx="7">
                  <c:v>6.3003893900000003</c:v>
                </c:pt>
                <c:pt idx="8">
                  <c:v>7.1369367400000003</c:v>
                </c:pt>
                <c:pt idx="9">
                  <c:v>7.9609208300000009</c:v>
                </c:pt>
                <c:pt idx="10">
                  <c:v>8.6535234500000016</c:v>
                </c:pt>
                <c:pt idx="11">
                  <c:v>9.1725496700000022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1178752"/>
        <c:axId val="271804096"/>
      </c:barChart>
      <c:lineChart>
        <c:grouping val="standard"/>
        <c:varyColors val="0"/>
        <c:ser>
          <c:idx val="3"/>
          <c:order val="1"/>
          <c:tx>
            <c:strRef>
              <c:f>'29_g'!$AJ$86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'29_g'!$AK$83:$AV$83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'29_g'!$AK$86:$AV$86</c:f>
              <c:numCache>
                <c:formatCode>#,##0.00_ ;\-#,##0.00\ </c:formatCode>
                <c:ptCount val="12"/>
                <c:pt idx="0">
                  <c:v>0.79147400000000001</c:v>
                </c:pt>
                <c:pt idx="1">
                  <c:v>1.6245639999999999</c:v>
                </c:pt>
                <c:pt idx="2">
                  <c:v>2.415778</c:v>
                </c:pt>
                <c:pt idx="3">
                  <c:v>3.3765339999999999</c:v>
                </c:pt>
                <c:pt idx="4">
                  <c:v>4.1103050000000003</c:v>
                </c:pt>
                <c:pt idx="5">
                  <c:v>4.7951080000000008</c:v>
                </c:pt>
                <c:pt idx="6">
                  <c:v>5.7390470000000011</c:v>
                </c:pt>
                <c:pt idx="7">
                  <c:v>6.635606000000001</c:v>
                </c:pt>
                <c:pt idx="8">
                  <c:v>7.5248680000000014</c:v>
                </c:pt>
                <c:pt idx="9">
                  <c:v>8.4337360000000015</c:v>
                </c:pt>
                <c:pt idx="10">
                  <c:v>9.1621600000000019</c:v>
                </c:pt>
                <c:pt idx="11">
                  <c:v>9.9168080000000014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78752"/>
        <c:axId val="271804096"/>
      </c:lineChart>
      <c:catAx>
        <c:axId val="2711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804096"/>
        <c:crosses val="autoZero"/>
        <c:auto val="1"/>
        <c:lblAlgn val="ctr"/>
        <c:lblOffset val="100"/>
        <c:noMultiLvlLbl val="0"/>
      </c:catAx>
      <c:valAx>
        <c:axId val="2718040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994845891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11787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34982800593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'11_g'!$T$21:$U$21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'11_g'!$V$21:$AC$21</c:f>
              <c:numCache>
                <c:formatCode>#,##0</c:formatCode>
                <c:ptCount val="8"/>
                <c:pt idx="0">
                  <c:v>1379.8889584637864</c:v>
                </c:pt>
                <c:pt idx="1">
                  <c:v>1441</c:v>
                </c:pt>
                <c:pt idx="2">
                  <c:v>2800.8968900020873</c:v>
                </c:pt>
                <c:pt idx="3">
                  <c:v>2662</c:v>
                </c:pt>
                <c:pt idx="4">
                  <c:v>4330.0100187852222</c:v>
                </c:pt>
                <c:pt idx="5">
                  <c:v>3746</c:v>
                </c:pt>
                <c:pt idx="6">
                  <c:v>5982</c:v>
                </c:pt>
                <c:pt idx="7">
                  <c:v>6278</c:v>
                </c:pt>
              </c:numCache>
            </c:numRef>
          </c:val>
        </c:ser>
        <c:ser>
          <c:idx val="0"/>
          <c:order val="1"/>
          <c:tx>
            <c:strRef>
              <c:f>'11_g'!$T$22:$U$22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'11_g'!$V$20:$AC$20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'11_g'!$V$22:$AC$22</c:f>
              <c:numCache>
                <c:formatCode>#,##0</c:formatCode>
                <c:ptCount val="8"/>
                <c:pt idx="0">
                  <c:v>41</c:v>
                </c:pt>
                <c:pt idx="1">
                  <c:v>263</c:v>
                </c:pt>
                <c:pt idx="2">
                  <c:v>82</c:v>
                </c:pt>
                <c:pt idx="3">
                  <c:v>276</c:v>
                </c:pt>
                <c:pt idx="4">
                  <c:v>150</c:v>
                </c:pt>
                <c:pt idx="5">
                  <c:v>301</c:v>
                </c:pt>
                <c:pt idx="6">
                  <c:v>272</c:v>
                </c:pt>
                <c:pt idx="7">
                  <c:v>315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73407744"/>
        <c:axId val="173339712"/>
      </c:barChart>
      <c:catAx>
        <c:axId val="173407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73339712"/>
        <c:crosses val="autoZero"/>
        <c:auto val="1"/>
        <c:lblAlgn val="ctr"/>
        <c:lblOffset val="100"/>
        <c:noMultiLvlLbl val="0"/>
      </c:catAx>
      <c:valAx>
        <c:axId val="17333971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173407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'29_g'!$T$21:$U$21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'29_g'!$V$20:$AC$20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'29_g'!$V$21:$AC$21</c:f>
              <c:numCache>
                <c:formatCode>#,##0</c:formatCode>
                <c:ptCount val="8"/>
                <c:pt idx="0">
                  <c:v>49.167487684729068</c:v>
                </c:pt>
                <c:pt idx="1">
                  <c:v>31</c:v>
                </c:pt>
                <c:pt idx="2">
                  <c:v>112.12479474548441</c:v>
                </c:pt>
                <c:pt idx="3">
                  <c:v>68</c:v>
                </c:pt>
                <c:pt idx="4">
                  <c:v>154.1231527093596</c:v>
                </c:pt>
                <c:pt idx="5">
                  <c:v>110</c:v>
                </c:pt>
                <c:pt idx="6">
                  <c:v>209</c:v>
                </c:pt>
                <c:pt idx="7">
                  <c:v>162</c:v>
                </c:pt>
              </c:numCache>
            </c:numRef>
          </c:val>
        </c:ser>
        <c:ser>
          <c:idx val="0"/>
          <c:order val="1"/>
          <c:tx>
            <c:strRef>
              <c:f>'29_g'!$T$22:$U$22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'29_g'!$V$20:$AC$20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'29_g'!$V$22:$AC$22</c:f>
              <c:numCache>
                <c:formatCode>#,##0</c:formatCode>
                <c:ptCount val="8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71179264"/>
        <c:axId val="271806400"/>
      </c:barChart>
      <c:catAx>
        <c:axId val="271179264"/>
        <c:scaling>
          <c:orientation val="minMax"/>
        </c:scaling>
        <c:delete val="1"/>
        <c:axPos val="b"/>
        <c:majorTickMark val="out"/>
        <c:minorTickMark val="none"/>
        <c:tickLblPos val="nextTo"/>
        <c:crossAx val="271806400"/>
        <c:crosses val="autoZero"/>
        <c:auto val="1"/>
        <c:lblAlgn val="ctr"/>
        <c:lblOffset val="100"/>
        <c:noMultiLvlLbl val="0"/>
      </c:catAx>
      <c:valAx>
        <c:axId val="271806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71179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('30'!$A$9,'30'!$A$13,'30'!$A$17)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('30'!$B$9,'30'!$B$13,'30'!$B$17)</c:f>
              <c:numCache>
                <c:formatCode>_-* #,##0_-;\-* #,##0_-;_-* "-"??_-;_-@_-</c:formatCode>
                <c:ptCount val="3"/>
                <c:pt idx="0">
                  <c:v>17543</c:v>
                </c:pt>
                <c:pt idx="1">
                  <c:v>2451</c:v>
                </c:pt>
                <c:pt idx="2">
                  <c:v>928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('30'!$A$9,'30'!$A$13,'30'!$A$17)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('30'!$G$9,'30'!$G$13,'30'!$G$17)</c:f>
              <c:numCache>
                <c:formatCode>_-* #,##0_-;\-* #,##0_-;_-* "-"??_-;_-@_-</c:formatCode>
                <c:ptCount val="3"/>
                <c:pt idx="0">
                  <c:v>18547</c:v>
                </c:pt>
                <c:pt idx="1">
                  <c:v>2540</c:v>
                </c:pt>
                <c:pt idx="2">
                  <c:v>872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('30'!$A$9,'30'!$A$13,'30'!$A$17)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('30'!$C$9,'30'!$C$13,'30'!$C$17)</c:f>
              <c:numCache>
                <c:formatCode>_(* #,##0.00_);_(* \(#,##0.00\);_(* "-"??_);_(@_)</c:formatCode>
                <c:ptCount val="3"/>
                <c:pt idx="0">
                  <c:v>2.6956190000000002</c:v>
                </c:pt>
                <c:pt idx="1">
                  <c:v>1.238939</c:v>
                </c:pt>
                <c:pt idx="2">
                  <c:v>0.64060700000000004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('30'!$A$9,'30'!$A$13,'30'!$A$17)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('30'!$H$9,'30'!$H$13,'30'!$H$17)</c:f>
              <c:numCache>
                <c:formatCode>_(* #,##0.00_);_(* \(#,##0.00\);_(* "-"??_);_(@_)</c:formatCode>
                <c:ptCount val="3"/>
                <c:pt idx="0">
                  <c:v>2.8071130000000002</c:v>
                </c:pt>
                <c:pt idx="1">
                  <c:v>1.2615209999999999</c:v>
                </c:pt>
                <c:pt idx="2">
                  <c:v>0.62353899999999995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('30'!$A$9,'30'!$A$13,'30'!$A$17)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('30'!$E$9,'30'!$E$13,'30'!$E$17)</c:f>
              <c:numCache>
                <c:formatCode>_(* #,##0.00_);_(* \(#,##0.00\);_(* "-"??_);_(@_)</c:formatCode>
                <c:ptCount val="3"/>
                <c:pt idx="0">
                  <c:v>36.210785940000001</c:v>
                </c:pt>
                <c:pt idx="1">
                  <c:v>26.796472179999999</c:v>
                </c:pt>
                <c:pt idx="2">
                  <c:v>17.470785399999997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79774507620997"/>
          <c:y val="0.17221860919262225"/>
          <c:w val="0.64583797205297921"/>
          <c:h val="8.2288570583967074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('30'!$A$9,'30'!$A$13,'30'!$A$17)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('30'!$J$9,'30'!$J$13,'30'!$J$17)</c:f>
              <c:numCache>
                <c:formatCode>_(* #,##0.00_);_(* \(#,##0.00\);_(* "-"??_);_(@_)</c:formatCode>
                <c:ptCount val="3"/>
                <c:pt idx="0">
                  <c:v>37.844571889999997</c:v>
                </c:pt>
                <c:pt idx="1">
                  <c:v>27.321847599999995</c:v>
                </c:pt>
                <c:pt idx="2">
                  <c:v>17.072776550000004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('30'!$A$9,'30'!$A$13,'30'!$A$17,'30'!$A$20)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('30'!$D$9,'30'!$D$13,'30'!$D$17,'30'!$D$20)</c:f>
              <c:numCache>
                <c:formatCode>_-* #,##0.000_-;\-* #,##0.000_-;_-* "-"??_-;_-@_-</c:formatCode>
                <c:ptCount val="4"/>
                <c:pt idx="0">
                  <c:v>0.42987529302948635</c:v>
                </c:pt>
                <c:pt idx="1">
                  <c:v>1.4413390338248553</c:v>
                </c:pt>
                <c:pt idx="2">
                  <c:v>1.8671145438647625</c:v>
                </c:pt>
                <c:pt idx="3">
                  <c:v>0.61219529329118372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('30'!$A$9,'30'!$A$13,'30'!$A$17,'30'!$A$20)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('30'!$I$9,'30'!$I$13,'30'!$I$17,'30'!$I$20)</c:f>
              <c:numCache>
                <c:formatCode>_-* #,##0.000_-;\-* #,##0.000_-;_-* "-"??_-;_-@_-</c:formatCode>
                <c:ptCount val="4"/>
                <c:pt idx="0">
                  <c:v>0.42619676076171825</c:v>
                </c:pt>
                <c:pt idx="1">
                  <c:v>1.3849817342449287</c:v>
                </c:pt>
                <c:pt idx="2">
                  <c:v>1.8981400304414002</c:v>
                </c:pt>
                <c:pt idx="3">
                  <c:v>0.59957876416831157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2445440"/>
        <c:axId val="269718592"/>
      </c:barChart>
      <c:catAx>
        <c:axId val="27244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718592"/>
        <c:crosses val="autoZero"/>
        <c:auto val="1"/>
        <c:lblAlgn val="ctr"/>
        <c:lblOffset val="100"/>
        <c:noMultiLvlLbl val="0"/>
      </c:catAx>
      <c:valAx>
        <c:axId val="269718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445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70430124805827"/>
          <c:y val="1.305774278215223E-3"/>
          <c:w val="9.8336922170442986E-2"/>
          <c:h val="0.1739180519101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('30'!$A$9,'30'!$A$13,'30'!$A$17,'30'!$A$20)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('30'!$F$9,'30'!$F$13,'30'!$F$17,'30'!$F$20)</c:f>
              <c:numCache>
                <c:formatCode>_(* #,##0.00_);_(* \(#,##0.00\);_(* "-"??_);_(@_)</c:formatCode>
                <c:ptCount val="4"/>
                <c:pt idx="0">
                  <c:v>13.433198808882116</c:v>
                </c:pt>
                <c:pt idx="1">
                  <c:v>21.628564586311352</c:v>
                </c:pt>
                <c:pt idx="2">
                  <c:v>27.272236176001815</c:v>
                </c:pt>
                <c:pt idx="3">
                  <c:v>17.590194784231826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('30'!$A$9,'30'!$A$13,'30'!$A$17,'30'!$A$20)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('30'!$K$9,'30'!$K$13,'30'!$K$17,'30'!$K$20)</c:f>
              <c:numCache>
                <c:formatCode>_(* #,##0.00_);_(* \(#,##0.00\);_(* "-"??_);_(@_)</c:formatCode>
                <c:ptCount val="4"/>
                <c:pt idx="0">
                  <c:v>13.481670274762717</c:v>
                </c:pt>
                <c:pt idx="1">
                  <c:v>21.657861898454325</c:v>
                </c:pt>
                <c:pt idx="2">
                  <c:v>27.380447012937452</c:v>
                </c:pt>
                <c:pt idx="3">
                  <c:v>17.526889149227877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2446464"/>
        <c:axId val="269720320"/>
      </c:barChart>
      <c:catAx>
        <c:axId val="27244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9720320"/>
        <c:crosses val="autoZero"/>
        <c:auto val="1"/>
        <c:lblAlgn val="ctr"/>
        <c:lblOffset val="100"/>
        <c:noMultiLvlLbl val="0"/>
      </c:catAx>
      <c:valAx>
        <c:axId val="2697203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446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982076467245718"/>
          <c:y val="1.5194663167104112E-2"/>
          <c:w val="0.1035125145439294"/>
          <c:h val="0.1674343832020997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'30_g'!$A$18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'30_g'!$B$16:$M$16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'30_g'!$B$18:$M$18</c:f>
              <c:numCache>
                <c:formatCode>#,##0_ ;\-#,##0\ </c:formatCode>
                <c:ptCount val="12"/>
                <c:pt idx="0">
                  <c:v>40</c:v>
                </c:pt>
                <c:pt idx="1">
                  <c:v>37</c:v>
                </c:pt>
                <c:pt idx="2">
                  <c:v>173</c:v>
                </c:pt>
                <c:pt idx="3">
                  <c:v>106</c:v>
                </c:pt>
                <c:pt idx="4">
                  <c:v>90</c:v>
                </c:pt>
                <c:pt idx="5">
                  <c:v>161</c:v>
                </c:pt>
                <c:pt idx="6">
                  <c:v>71</c:v>
                </c:pt>
                <c:pt idx="7">
                  <c:v>81</c:v>
                </c:pt>
                <c:pt idx="8">
                  <c:v>98</c:v>
                </c:pt>
                <c:pt idx="9">
                  <c:v>45</c:v>
                </c:pt>
                <c:pt idx="10">
                  <c:v>72</c:v>
                </c:pt>
                <c:pt idx="11">
                  <c:v>91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'30_g'!$A$19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'30_g'!$B$16:$M$16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'30_g'!$B$19:$M$19</c:f>
              <c:numCache>
                <c:formatCode>#,##0_ ;\-#,##0\ </c:formatCode>
                <c:ptCount val="12"/>
                <c:pt idx="0">
                  <c:v>69.928491620111728</c:v>
                </c:pt>
                <c:pt idx="1">
                  <c:v>51.1173184357542</c:v>
                </c:pt>
                <c:pt idx="2">
                  <c:v>114.09385474860336</c:v>
                </c:pt>
                <c:pt idx="3">
                  <c:v>142.7195530726257</c:v>
                </c:pt>
                <c:pt idx="4">
                  <c:v>88.739664804469285</c:v>
                </c:pt>
                <c:pt idx="5">
                  <c:v>119.81899441340785</c:v>
                </c:pt>
                <c:pt idx="6">
                  <c:v>92.829050279329635</c:v>
                </c:pt>
                <c:pt idx="7">
                  <c:v>80.560893854748628</c:v>
                </c:pt>
                <c:pt idx="8">
                  <c:v>103.05251396648046</c:v>
                </c:pt>
                <c:pt idx="9">
                  <c:v>62.158659217877101</c:v>
                </c:pt>
                <c:pt idx="10">
                  <c:v>74.83575418994414</c:v>
                </c:pt>
                <c:pt idx="11">
                  <c:v>98.145251396648064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'30_g'!$A$20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'30_g'!$B$16:$M$16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'30_g'!$B$20:$M$20</c:f>
              <c:numCache>
                <c:formatCode>#,##0_ ;\-#,##0\ </c:formatCode>
                <c:ptCount val="12"/>
                <c:pt idx="0">
                  <c:v>87</c:v>
                </c:pt>
                <c:pt idx="1">
                  <c:v>121</c:v>
                </c:pt>
                <c:pt idx="2">
                  <c:v>69</c:v>
                </c:pt>
                <c:pt idx="3">
                  <c:v>91</c:v>
                </c:pt>
                <c:pt idx="4">
                  <c:v>144</c:v>
                </c:pt>
                <c:pt idx="5">
                  <c:v>141</c:v>
                </c:pt>
                <c:pt idx="6">
                  <c:v>122</c:v>
                </c:pt>
                <c:pt idx="7">
                  <c:v>105</c:v>
                </c:pt>
                <c:pt idx="8">
                  <c:v>73</c:v>
                </c:pt>
                <c:pt idx="9">
                  <c:v>67</c:v>
                </c:pt>
                <c:pt idx="10">
                  <c:v>101</c:v>
                </c:pt>
                <c:pt idx="11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18176"/>
        <c:axId val="273113664"/>
      </c:lineChart>
      <c:catAx>
        <c:axId val="27281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113664"/>
        <c:crosses val="autoZero"/>
        <c:auto val="1"/>
        <c:lblAlgn val="ctr"/>
        <c:lblOffset val="100"/>
        <c:noMultiLvlLbl val="0"/>
      </c:catAx>
      <c:valAx>
        <c:axId val="2731136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8181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('12'!$A$9,'12'!$A$13,'12'!$A$17)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('12'!$B$9,'12'!$B$13,'12'!$B$17)</c:f>
              <c:numCache>
                <c:formatCode>_-* #,##0_-;\-* #,##0_-;_-* "-"??_-;_-@_-</c:formatCode>
                <c:ptCount val="3"/>
                <c:pt idx="0">
                  <c:v>2434</c:v>
                </c:pt>
                <c:pt idx="1">
                  <c:v>398</c:v>
                </c:pt>
                <c:pt idx="2">
                  <c:v>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'30_g'!$B$39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'30_g'!$C$39:$N$39</c:f>
              <c:numCache>
                <c:formatCode>#,##0_ ;\-#,##0\ </c:formatCode>
                <c:ptCount val="12"/>
                <c:pt idx="0">
                  <c:v>40</c:v>
                </c:pt>
                <c:pt idx="1">
                  <c:v>77</c:v>
                </c:pt>
                <c:pt idx="2">
                  <c:v>250</c:v>
                </c:pt>
                <c:pt idx="3">
                  <c:v>356</c:v>
                </c:pt>
                <c:pt idx="4">
                  <c:v>446</c:v>
                </c:pt>
                <c:pt idx="5">
                  <c:v>607</c:v>
                </c:pt>
                <c:pt idx="6">
                  <c:v>678</c:v>
                </c:pt>
                <c:pt idx="7">
                  <c:v>759</c:v>
                </c:pt>
                <c:pt idx="8">
                  <c:v>857</c:v>
                </c:pt>
                <c:pt idx="9">
                  <c:v>902</c:v>
                </c:pt>
                <c:pt idx="10">
                  <c:v>974</c:v>
                </c:pt>
                <c:pt idx="11">
                  <c:v>1065</c:v>
                </c:pt>
              </c:numCache>
            </c:numRef>
          </c:val>
        </c:ser>
        <c:ser>
          <c:idx val="0"/>
          <c:order val="2"/>
          <c:tx>
            <c:strRef>
              <c:f>'30_g'!$B$41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'30_g'!$C$41:$N$41</c:f>
              <c:numCache>
                <c:formatCode>#,##0_ ;\-#,##0\ </c:formatCode>
                <c:ptCount val="12"/>
                <c:pt idx="0">
                  <c:v>87</c:v>
                </c:pt>
                <c:pt idx="1">
                  <c:v>208</c:v>
                </c:pt>
                <c:pt idx="2">
                  <c:v>277</c:v>
                </c:pt>
                <c:pt idx="3">
                  <c:v>368</c:v>
                </c:pt>
                <c:pt idx="4">
                  <c:v>512</c:v>
                </c:pt>
                <c:pt idx="5">
                  <c:v>653</c:v>
                </c:pt>
                <c:pt idx="6">
                  <c:v>775</c:v>
                </c:pt>
                <c:pt idx="7">
                  <c:v>880</c:v>
                </c:pt>
                <c:pt idx="8">
                  <c:v>953</c:v>
                </c:pt>
                <c:pt idx="9">
                  <c:v>1020</c:v>
                </c:pt>
                <c:pt idx="10">
                  <c:v>1121</c:v>
                </c:pt>
                <c:pt idx="11">
                  <c:v>1226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2819200"/>
        <c:axId val="273115968"/>
      </c:barChart>
      <c:lineChart>
        <c:grouping val="standard"/>
        <c:varyColors val="0"/>
        <c:ser>
          <c:idx val="3"/>
          <c:order val="1"/>
          <c:tx>
            <c:strRef>
              <c:f>'30_g'!$B$40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'30_g'!$C$37:$N$37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'30_g'!$C$40:$N$40</c:f>
              <c:numCache>
                <c:formatCode>#,##0_ ;\-#,##0\ </c:formatCode>
                <c:ptCount val="12"/>
                <c:pt idx="0">
                  <c:v>69.928491620111728</c:v>
                </c:pt>
                <c:pt idx="1">
                  <c:v>121.04581005586593</c:v>
                </c:pt>
                <c:pt idx="2">
                  <c:v>235.13966480446931</c:v>
                </c:pt>
                <c:pt idx="3">
                  <c:v>377.85921787709503</c:v>
                </c:pt>
                <c:pt idx="4">
                  <c:v>466.59888268156431</c:v>
                </c:pt>
                <c:pt idx="5">
                  <c:v>586.41787709497214</c:v>
                </c:pt>
                <c:pt idx="6">
                  <c:v>679.24692737430178</c:v>
                </c:pt>
                <c:pt idx="7">
                  <c:v>759.80782122905043</c:v>
                </c:pt>
                <c:pt idx="8">
                  <c:v>862.86033519553087</c:v>
                </c:pt>
                <c:pt idx="9">
                  <c:v>925.018994413408</c:v>
                </c:pt>
                <c:pt idx="10">
                  <c:v>999.85474860335216</c:v>
                </c:pt>
                <c:pt idx="11">
                  <c:v>1098.0000000000002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19200"/>
        <c:axId val="273115968"/>
      </c:lineChart>
      <c:catAx>
        <c:axId val="27281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115968"/>
        <c:crosses val="autoZero"/>
        <c:auto val="1"/>
        <c:lblAlgn val="ctr"/>
        <c:lblOffset val="100"/>
        <c:noMultiLvlLbl val="0"/>
      </c:catAx>
      <c:valAx>
        <c:axId val="2731159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8192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'30_g'!$AI$18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'30_g'!$AJ$16:$AU$16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'30_g'!$AJ$18:$AU$18</c:f>
              <c:numCache>
                <c:formatCode>#,##0.000_ ;\-#,##0.000\ </c:formatCode>
                <c:ptCount val="12"/>
                <c:pt idx="0">
                  <c:v>0.36039199999999999</c:v>
                </c:pt>
                <c:pt idx="1">
                  <c:v>0.36973800000000001</c:v>
                </c:pt>
                <c:pt idx="2">
                  <c:v>0.35999199999999998</c:v>
                </c:pt>
                <c:pt idx="3">
                  <c:v>0.37143999999999999</c:v>
                </c:pt>
                <c:pt idx="4">
                  <c:v>0.36340499999999998</c:v>
                </c:pt>
                <c:pt idx="5">
                  <c:v>0.354711</c:v>
                </c:pt>
                <c:pt idx="6">
                  <c:v>0.42513299999999998</c:v>
                </c:pt>
                <c:pt idx="7">
                  <c:v>0.42613600000000001</c:v>
                </c:pt>
                <c:pt idx="8">
                  <c:v>0.40430700000000003</c:v>
                </c:pt>
                <c:pt idx="9">
                  <c:v>0.406524</c:v>
                </c:pt>
                <c:pt idx="10">
                  <c:v>0.34144099999999999</c:v>
                </c:pt>
                <c:pt idx="11">
                  <c:v>0.39335599999999998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'30_g'!$AI$19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'30_g'!$AJ$16:$AU$16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'30_g'!$AJ$19:$AU$19</c:f>
              <c:numCache>
                <c:formatCode>#,##0.000_ ;\-#,##0.000\ </c:formatCode>
                <c:ptCount val="12"/>
                <c:pt idx="0">
                  <c:v>0.36637199999999998</c:v>
                </c:pt>
                <c:pt idx="1">
                  <c:v>0.37842900000000002</c:v>
                </c:pt>
                <c:pt idx="2">
                  <c:v>0.367732</c:v>
                </c:pt>
                <c:pt idx="3">
                  <c:v>0.38961600000000002</c:v>
                </c:pt>
                <c:pt idx="4">
                  <c:v>0.366537</c:v>
                </c:pt>
                <c:pt idx="5">
                  <c:v>0.36166199999999998</c:v>
                </c:pt>
                <c:pt idx="6">
                  <c:v>0.43435499999999999</c:v>
                </c:pt>
                <c:pt idx="7">
                  <c:v>0.43180099999999999</c:v>
                </c:pt>
                <c:pt idx="8">
                  <c:v>0.426205</c:v>
                </c:pt>
                <c:pt idx="9">
                  <c:v>0.41583399999999998</c:v>
                </c:pt>
                <c:pt idx="10">
                  <c:v>0.38861499999999999</c:v>
                </c:pt>
                <c:pt idx="11">
                  <c:v>0.39866000000000001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'30_g'!$AI$20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'30_g'!$AJ$16:$AU$16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'30_g'!$AJ$20:$AU$20</c:f>
              <c:numCache>
                <c:formatCode>#,##0.000_ ;\-#,##0.000\ </c:formatCode>
                <c:ptCount val="12"/>
                <c:pt idx="0">
                  <c:v>0.37310100000000002</c:v>
                </c:pt>
                <c:pt idx="1">
                  <c:v>0.37618200000000002</c:v>
                </c:pt>
                <c:pt idx="2">
                  <c:v>0.36683100000000002</c:v>
                </c:pt>
                <c:pt idx="3">
                  <c:v>0.37280799999999997</c:v>
                </c:pt>
                <c:pt idx="4">
                  <c:v>0.36417699999999997</c:v>
                </c:pt>
                <c:pt idx="5">
                  <c:v>0.36271500000000001</c:v>
                </c:pt>
                <c:pt idx="6">
                  <c:v>0.442637</c:v>
                </c:pt>
                <c:pt idx="7">
                  <c:v>0.41869099999999998</c:v>
                </c:pt>
                <c:pt idx="8">
                  <c:v>0.41687400000000002</c:v>
                </c:pt>
                <c:pt idx="9">
                  <c:v>0.39508900000000002</c:v>
                </c:pt>
                <c:pt idx="10">
                  <c:v>0.40223500000000001</c:v>
                </c:pt>
                <c:pt idx="11">
                  <c:v>0.40167999999999998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19712"/>
        <c:axId val="273118272"/>
      </c:lineChart>
      <c:catAx>
        <c:axId val="27281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118272"/>
        <c:crosses val="autoZero"/>
        <c:auto val="1"/>
        <c:lblAlgn val="ctr"/>
        <c:lblOffset val="100"/>
        <c:noMultiLvlLbl val="0"/>
      </c:catAx>
      <c:valAx>
        <c:axId val="2731182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9044762518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8197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833734373"/>
          <c:y val="2.2161373086791118E-2"/>
          <c:w val="0.3512889511479644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'30_g'!$AJ$39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'30_g'!$AK$39:$AV$39</c:f>
              <c:numCache>
                <c:formatCode>#,##0.000_ ;\-#,##0.000\ </c:formatCode>
                <c:ptCount val="12"/>
                <c:pt idx="0">
                  <c:v>0.36039199999999999</c:v>
                </c:pt>
                <c:pt idx="1">
                  <c:v>0.73012999999999995</c:v>
                </c:pt>
                <c:pt idx="2">
                  <c:v>1.090122</c:v>
                </c:pt>
                <c:pt idx="3">
                  <c:v>1.461562</c:v>
                </c:pt>
                <c:pt idx="4">
                  <c:v>1.824967</c:v>
                </c:pt>
                <c:pt idx="5">
                  <c:v>2.179678</c:v>
                </c:pt>
                <c:pt idx="6">
                  <c:v>2.6048109999999998</c:v>
                </c:pt>
                <c:pt idx="7">
                  <c:v>3.0309469999999998</c:v>
                </c:pt>
                <c:pt idx="8">
                  <c:v>3.435254</c:v>
                </c:pt>
                <c:pt idx="9">
                  <c:v>3.8417780000000001</c:v>
                </c:pt>
                <c:pt idx="10">
                  <c:v>4.1832190000000002</c:v>
                </c:pt>
                <c:pt idx="11">
                  <c:v>4.5765750000000001</c:v>
                </c:pt>
              </c:numCache>
            </c:numRef>
          </c:val>
        </c:ser>
        <c:ser>
          <c:idx val="0"/>
          <c:order val="2"/>
          <c:tx>
            <c:strRef>
              <c:f>'30_g'!$AJ$41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'30_g'!$AK$41:$AV$41</c:f>
              <c:numCache>
                <c:formatCode>#,##0.000_ ;\-#,##0.000\ </c:formatCode>
                <c:ptCount val="12"/>
                <c:pt idx="0">
                  <c:v>0.37310100000000002</c:v>
                </c:pt>
                <c:pt idx="1">
                  <c:v>0.74928300000000003</c:v>
                </c:pt>
                <c:pt idx="2">
                  <c:v>1.1161140000000001</c:v>
                </c:pt>
                <c:pt idx="3">
                  <c:v>1.4889220000000001</c:v>
                </c:pt>
                <c:pt idx="4">
                  <c:v>1.8530990000000001</c:v>
                </c:pt>
                <c:pt idx="5">
                  <c:v>2.215814</c:v>
                </c:pt>
                <c:pt idx="6">
                  <c:v>2.6584509999999999</c:v>
                </c:pt>
                <c:pt idx="7">
                  <c:v>3.0771419999999998</c:v>
                </c:pt>
                <c:pt idx="8">
                  <c:v>3.4940159999999998</c:v>
                </c:pt>
                <c:pt idx="9">
                  <c:v>3.8891049999999998</c:v>
                </c:pt>
                <c:pt idx="10">
                  <c:v>4.2913399999999999</c:v>
                </c:pt>
                <c:pt idx="11">
                  <c:v>4.6930199999999997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2820224"/>
        <c:axId val="273120576"/>
      </c:barChart>
      <c:lineChart>
        <c:grouping val="standard"/>
        <c:varyColors val="0"/>
        <c:ser>
          <c:idx val="3"/>
          <c:order val="1"/>
          <c:tx>
            <c:strRef>
              <c:f>'30_g'!$AJ$40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'30_g'!$AK$37:$AV$37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'30_g'!$AK$40:$AV$40</c:f>
              <c:numCache>
                <c:formatCode>#,##0.000_ ;\-#,##0.000\ </c:formatCode>
                <c:ptCount val="12"/>
                <c:pt idx="0">
                  <c:v>0.36637199999999998</c:v>
                </c:pt>
                <c:pt idx="1">
                  <c:v>0.74480100000000005</c:v>
                </c:pt>
                <c:pt idx="2">
                  <c:v>1.112533</c:v>
                </c:pt>
                <c:pt idx="3">
                  <c:v>1.502149</c:v>
                </c:pt>
                <c:pt idx="4">
                  <c:v>1.8686859999999998</c:v>
                </c:pt>
                <c:pt idx="5">
                  <c:v>2.2303479999999998</c:v>
                </c:pt>
                <c:pt idx="6">
                  <c:v>2.6647029999999998</c:v>
                </c:pt>
                <c:pt idx="7">
                  <c:v>3.0965039999999999</c:v>
                </c:pt>
                <c:pt idx="8">
                  <c:v>3.5227089999999999</c:v>
                </c:pt>
                <c:pt idx="9">
                  <c:v>3.9385429999999997</c:v>
                </c:pt>
                <c:pt idx="10">
                  <c:v>4.3271579999999998</c:v>
                </c:pt>
                <c:pt idx="11">
                  <c:v>4.7258180000000003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20224"/>
        <c:axId val="273120576"/>
      </c:lineChart>
      <c:catAx>
        <c:axId val="27282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120576"/>
        <c:crosses val="autoZero"/>
        <c:auto val="1"/>
        <c:lblAlgn val="ctr"/>
        <c:lblOffset val="100"/>
        <c:noMultiLvlLbl val="0"/>
      </c:catAx>
      <c:valAx>
        <c:axId val="2731205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73193151143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8202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39916729384"/>
          <c:y val="2.2161373086791118E-2"/>
          <c:w val="0.33180960083270616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'30_g'!$AY$18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'30_g'!$AZ$16:$BK$16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'30_g'!$AZ$18:$BK$18</c:f>
              <c:numCache>
                <c:formatCode>#,##0.000_ ;\-#,##0.000\ </c:formatCode>
                <c:ptCount val="12"/>
                <c:pt idx="0">
                  <c:v>0.17577799999999999</c:v>
                </c:pt>
                <c:pt idx="1">
                  <c:v>5.7799999999999997E-2</c:v>
                </c:pt>
                <c:pt idx="2">
                  <c:v>0.13831599999999999</c:v>
                </c:pt>
                <c:pt idx="3">
                  <c:v>0.16941000000000001</c:v>
                </c:pt>
                <c:pt idx="4">
                  <c:v>0.14202500000000001</c:v>
                </c:pt>
                <c:pt idx="5">
                  <c:v>0.206149</c:v>
                </c:pt>
                <c:pt idx="6">
                  <c:v>0.14405100000000001</c:v>
                </c:pt>
                <c:pt idx="7">
                  <c:v>0.118808</c:v>
                </c:pt>
                <c:pt idx="8">
                  <c:v>9.6652000000000002E-2</c:v>
                </c:pt>
                <c:pt idx="9">
                  <c:v>0.104046</c:v>
                </c:pt>
                <c:pt idx="10">
                  <c:v>0.15417400000000001</c:v>
                </c:pt>
                <c:pt idx="11">
                  <c:v>0.110024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'30_g'!$AY$19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'30_g'!$AZ$16:$BK$16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'30_g'!$AZ$19:$BK$19</c:f>
              <c:numCache>
                <c:formatCode>#,##0.000_ ;\-#,##0.000\ </c:formatCode>
                <c:ptCount val="12"/>
                <c:pt idx="0">
                  <c:v>0.16639599999999999</c:v>
                </c:pt>
                <c:pt idx="1">
                  <c:v>9.0282000000000001E-2</c:v>
                </c:pt>
                <c:pt idx="2">
                  <c:v>0.138376</c:v>
                </c:pt>
                <c:pt idx="3">
                  <c:v>0.128856</c:v>
                </c:pt>
                <c:pt idx="4">
                  <c:v>0.13004199999999999</c:v>
                </c:pt>
                <c:pt idx="5">
                  <c:v>0.20554600000000001</c:v>
                </c:pt>
                <c:pt idx="6">
                  <c:v>0.13675200000000001</c:v>
                </c:pt>
                <c:pt idx="7">
                  <c:v>0.144931</c:v>
                </c:pt>
                <c:pt idx="8">
                  <c:v>0.11648600000000001</c:v>
                </c:pt>
                <c:pt idx="9">
                  <c:v>0.13033600000000001</c:v>
                </c:pt>
                <c:pt idx="10">
                  <c:v>0.135377</c:v>
                </c:pt>
                <c:pt idx="11">
                  <c:v>0.137042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'30_g'!$AY$20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'30_g'!$AZ$16:$BK$16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'30_g'!$AZ$20:$BK$20</c:f>
              <c:numCache>
                <c:formatCode>#,##0.000_ ;\-#,##0.000\ </c:formatCode>
                <c:ptCount val="12"/>
                <c:pt idx="0">
                  <c:v>0.16103300000000001</c:v>
                </c:pt>
                <c:pt idx="1">
                  <c:v>0.13220399999999999</c:v>
                </c:pt>
                <c:pt idx="2">
                  <c:v>0.16125800000000001</c:v>
                </c:pt>
                <c:pt idx="3">
                  <c:v>0.15976000000000001</c:v>
                </c:pt>
                <c:pt idx="4">
                  <c:v>0.14613300000000001</c:v>
                </c:pt>
                <c:pt idx="5">
                  <c:v>0.19917899999999999</c:v>
                </c:pt>
                <c:pt idx="6">
                  <c:v>7.1322999999999998E-2</c:v>
                </c:pt>
                <c:pt idx="7">
                  <c:v>0.114943</c:v>
                </c:pt>
                <c:pt idx="8">
                  <c:v>9.7433000000000006E-2</c:v>
                </c:pt>
                <c:pt idx="9">
                  <c:v>0.12793299999999999</c:v>
                </c:pt>
                <c:pt idx="10">
                  <c:v>0.12686900000000001</c:v>
                </c:pt>
                <c:pt idx="11">
                  <c:v>0.119454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21760"/>
        <c:axId val="272926400"/>
      </c:lineChart>
      <c:catAx>
        <c:axId val="27282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926400"/>
        <c:crosses val="autoZero"/>
        <c:auto val="1"/>
        <c:lblAlgn val="ctr"/>
        <c:lblOffset val="100"/>
        <c:noMultiLvlLbl val="0"/>
      </c:catAx>
      <c:valAx>
        <c:axId val="2729264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16285808311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8217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45646817077"/>
          <c:y val="2.2161373086791118E-2"/>
          <c:w val="0.3530095435318292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'30_g'!$AY$39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'30_g'!$AZ$37:$BO$37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'30_g'!$AZ$39:$BO$39</c:f>
              <c:numCache>
                <c:formatCode>_(* #,##0.00_);_(* \(#,##0.00\);_(* "-"??_);_(@_)</c:formatCode>
                <c:ptCount val="16"/>
                <c:pt idx="0">
                  <c:v>32.769092529277764</c:v>
                </c:pt>
                <c:pt idx="1">
                  <c:v>13.508334034457937</c:v>
                </c:pt>
                <c:pt idx="2">
                  <c:v>27.725137958198616</c:v>
                </c:pt>
                <c:pt idx="3">
                  <c:v>25.416814461095385</c:v>
                </c:pt>
                <c:pt idx="4">
                  <c:v>31.284914137767377</c:v>
                </c:pt>
                <c:pt idx="5">
                  <c:v>28.067072447729341</c:v>
                </c:pt>
                <c:pt idx="6">
                  <c:v>36.682817980095273</c:v>
                </c:pt>
                <c:pt idx="7">
                  <c:v>28.947907123574335</c:v>
                </c:pt>
                <c:pt idx="8">
                  <c:v>25.268470149908257</c:v>
                </c:pt>
                <c:pt idx="9">
                  <c:v>21.777336231894683</c:v>
                </c:pt>
                <c:pt idx="10">
                  <c:v>19.279809779139537</c:v>
                </c:pt>
                <c:pt idx="11">
                  <c:v>26.632956879178494</c:v>
                </c:pt>
                <c:pt idx="12">
                  <c:v>20.375567179290343</c:v>
                </c:pt>
                <c:pt idx="13">
                  <c:v>31.103848287688507</c:v>
                </c:pt>
                <c:pt idx="14">
                  <c:v>21.857046366562042</c:v>
                </c:pt>
                <c:pt idx="15">
                  <c:v>26.087209704656939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'30_g'!$AY$40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'30_g'!$AZ$37:$BO$37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'30_g'!$AZ$40:$BO$40</c:f>
              <c:numCache>
                <c:formatCode>_(* #,##0.00_);_(* \(#,##0.00\);_(* "-"??_);_(@_)</c:formatCode>
                <c:ptCount val="16"/>
                <c:pt idx="0">
                  <c:v>25.999993736533551</c:v>
                </c:pt>
                <c:pt idx="1">
                  <c:v>25.999993736533551</c:v>
                </c:pt>
                <c:pt idx="2">
                  <c:v>25.999993736533551</c:v>
                </c:pt>
                <c:pt idx="3">
                  <c:v>25.999993736533551</c:v>
                </c:pt>
                <c:pt idx="4">
                  <c:v>25.999993736533551</c:v>
                </c:pt>
                <c:pt idx="5">
                  <c:v>25.999993736533551</c:v>
                </c:pt>
                <c:pt idx="6">
                  <c:v>25.999993736533551</c:v>
                </c:pt>
                <c:pt idx="7">
                  <c:v>25.999993736533551</c:v>
                </c:pt>
                <c:pt idx="8">
                  <c:v>25.999993736533551</c:v>
                </c:pt>
                <c:pt idx="9">
                  <c:v>25.999993736533551</c:v>
                </c:pt>
                <c:pt idx="10">
                  <c:v>25.999993736533551</c:v>
                </c:pt>
                <c:pt idx="11">
                  <c:v>25.999993736533551</c:v>
                </c:pt>
                <c:pt idx="12">
                  <c:v>25.999993736533551</c:v>
                </c:pt>
                <c:pt idx="13">
                  <c:v>25.999993736533551</c:v>
                </c:pt>
                <c:pt idx="14">
                  <c:v>25.999993736533551</c:v>
                </c:pt>
                <c:pt idx="15">
                  <c:v>25.999993736533551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'30_g'!$AY$41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'30_g'!$AZ$37:$BO$37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'30_g'!$AZ$41:$BO$41</c:f>
              <c:numCache>
                <c:formatCode>_(* #,##0.00_);_(* \(#,##0.00\);_(* "-"??_);_(@_)</c:formatCode>
                <c:ptCount val="16"/>
                <c:pt idx="0">
                  <c:v>30.141429796091028</c:v>
                </c:pt>
                <c:pt idx="1">
                  <c:v>26.00275754637379</c:v>
                </c:pt>
                <c:pt idx="2">
                  <c:v>30.536140688406689</c:v>
                </c:pt>
                <c:pt idx="3">
                  <c:v>28.934535291608576</c:v>
                </c:pt>
                <c:pt idx="4">
                  <c:v>29.996751728812544</c:v>
                </c:pt>
                <c:pt idx="5">
                  <c:v>28.634552002790308</c:v>
                </c:pt>
                <c:pt idx="6">
                  <c:v>35.447221317558366</c:v>
                </c:pt>
                <c:pt idx="7">
                  <c:v>30.216853371423746</c:v>
                </c:pt>
                <c:pt idx="8">
                  <c:v>13.875017265226958</c:v>
                </c:pt>
                <c:pt idx="9">
                  <c:v>21.538014709326838</c:v>
                </c:pt>
                <c:pt idx="10">
                  <c:v>18.94242209796953</c:v>
                </c:pt>
                <c:pt idx="11">
                  <c:v>26.242084733456039</c:v>
                </c:pt>
                <c:pt idx="12">
                  <c:v>24.460347748278274</c:v>
                </c:pt>
                <c:pt idx="13">
                  <c:v>23.977539896733418</c:v>
                </c:pt>
                <c:pt idx="14">
                  <c:v>22.920616159212841</c:v>
                </c:pt>
                <c:pt idx="15">
                  <c:v>25.630274337654583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36672"/>
        <c:axId val="272928704"/>
      </c:lineChart>
      <c:catAx>
        <c:axId val="27343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928704"/>
        <c:crosses val="autoZero"/>
        <c:auto val="1"/>
        <c:lblAlgn val="ctr"/>
        <c:lblOffset val="100"/>
        <c:noMultiLvlLbl val="0"/>
      </c:catAx>
      <c:valAx>
        <c:axId val="2729287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692756782489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4366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7976998103"/>
          <c:y val="2.2161373086791118E-2"/>
          <c:w val="0.2830307130463107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'30_g'!$A$64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'30_g'!$B$62:$M$62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'30_g'!$B$64:$M$64</c:f>
              <c:numCache>
                <c:formatCode>#,##0.00_ ;\-#,##0.00\ </c:formatCode>
                <c:ptCount val="12"/>
                <c:pt idx="0">
                  <c:v>7.2342956799999998</c:v>
                </c:pt>
                <c:pt idx="1">
                  <c:v>8.8343267300000008</c:v>
                </c:pt>
                <c:pt idx="2">
                  <c:v>7.1062332700000006</c:v>
                </c:pt>
                <c:pt idx="3">
                  <c:v>7.4633507799999999</c:v>
                </c:pt>
                <c:pt idx="4">
                  <c:v>7.0978042099999996</c:v>
                </c:pt>
                <c:pt idx="5">
                  <c:v>7.0084158299999997</c:v>
                </c:pt>
                <c:pt idx="6">
                  <c:v>8.2400433599999996</c:v>
                </c:pt>
                <c:pt idx="7">
                  <c:v>8.3095590900000005</c:v>
                </c:pt>
                <c:pt idx="8">
                  <c:v>8.0670844900000009</c:v>
                </c:pt>
                <c:pt idx="9">
                  <c:v>7.9333437200000008</c:v>
                </c:pt>
                <c:pt idx="10">
                  <c:v>6.7620922899999991</c:v>
                </c:pt>
                <c:pt idx="11">
                  <c:v>7.7535651699999981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'30_g'!$A$65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'30_g'!$B$62:$M$62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'30_g'!$B$65:$M$65</c:f>
              <c:numCache>
                <c:formatCode>#,##0.00_ ;\-#,##0.00\ </c:formatCode>
                <c:ptCount val="12"/>
                <c:pt idx="0">
                  <c:v>7.2393489999999998</c:v>
                </c:pt>
                <c:pt idx="1">
                  <c:v>8.0945280000000004</c:v>
                </c:pt>
                <c:pt idx="2">
                  <c:v>7.2434789999999998</c:v>
                </c:pt>
                <c:pt idx="3">
                  <c:v>7.6456160000000004</c:v>
                </c:pt>
                <c:pt idx="4">
                  <c:v>7.1823889999999997</c:v>
                </c:pt>
                <c:pt idx="5">
                  <c:v>7.0529200000000003</c:v>
                </c:pt>
                <c:pt idx="6">
                  <c:v>8.3806700000000003</c:v>
                </c:pt>
                <c:pt idx="7">
                  <c:v>8.4418290000000002</c:v>
                </c:pt>
                <c:pt idx="8">
                  <c:v>8.4204129999999999</c:v>
                </c:pt>
                <c:pt idx="9">
                  <c:v>8.1189660000000003</c:v>
                </c:pt>
                <c:pt idx="10">
                  <c:v>7.5853809999999999</c:v>
                </c:pt>
                <c:pt idx="11">
                  <c:v>7.8998020000000002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'30_g'!$A$66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'30_g'!$B$62:$M$62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'30_g'!$B$66:$M$66</c:f>
              <c:numCache>
                <c:formatCode>#,##0.00_ ;\-#,##0.00\ </c:formatCode>
                <c:ptCount val="12"/>
                <c:pt idx="0">
                  <c:v>7.3426620800000011</c:v>
                </c:pt>
                <c:pt idx="1">
                  <c:v>7.730755470000001</c:v>
                </c:pt>
                <c:pt idx="2">
                  <c:v>7.2604511699999996</c:v>
                </c:pt>
                <c:pt idx="3">
                  <c:v>8.0811979800000007</c:v>
                </c:pt>
                <c:pt idx="4">
                  <c:v>7.1307086599999989</c:v>
                </c:pt>
                <c:pt idx="5">
                  <c:v>8.0365754499999991</c:v>
                </c:pt>
                <c:pt idx="6">
                  <c:v>8.8858583000000007</c:v>
                </c:pt>
                <c:pt idx="7">
                  <c:v>8.1038040200000001</c:v>
                </c:pt>
                <c:pt idx="8">
                  <c:v>8.1048670000000005</c:v>
                </c:pt>
                <c:pt idx="9">
                  <c:v>7.74243185</c:v>
                </c:pt>
                <c:pt idx="10">
                  <c:v>7.9098970200000016</c:v>
                </c:pt>
                <c:pt idx="11">
                  <c:v>7.9590564500000003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37184"/>
        <c:axId val="272931008"/>
      </c:lineChart>
      <c:catAx>
        <c:axId val="27343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931008"/>
        <c:crosses val="autoZero"/>
        <c:auto val="1"/>
        <c:lblAlgn val="ctr"/>
        <c:lblOffset val="100"/>
        <c:noMultiLvlLbl val="0"/>
      </c:catAx>
      <c:valAx>
        <c:axId val="2729310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4371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'30_g'!$B$85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'30_g'!$C$85:$N$85</c:f>
              <c:numCache>
                <c:formatCode>#,##0.00_ ;\-#,##0.00\ </c:formatCode>
                <c:ptCount val="12"/>
                <c:pt idx="0">
                  <c:v>7.2342956799999998</c:v>
                </c:pt>
                <c:pt idx="1">
                  <c:v>16.06862241</c:v>
                </c:pt>
                <c:pt idx="2">
                  <c:v>23.17485568</c:v>
                </c:pt>
                <c:pt idx="3">
                  <c:v>30.638206459999999</c:v>
                </c:pt>
                <c:pt idx="4">
                  <c:v>37.736010669999999</c:v>
                </c:pt>
                <c:pt idx="5">
                  <c:v>44.744426499999996</c:v>
                </c:pt>
                <c:pt idx="6">
                  <c:v>52.984469859999997</c:v>
                </c:pt>
                <c:pt idx="7">
                  <c:v>61.294028949999998</c:v>
                </c:pt>
                <c:pt idx="8">
                  <c:v>69.361113439999997</c:v>
                </c:pt>
                <c:pt idx="9">
                  <c:v>77.294457159999993</c:v>
                </c:pt>
                <c:pt idx="10">
                  <c:v>84.056549449999991</c:v>
                </c:pt>
                <c:pt idx="11">
                  <c:v>91.810114619999993</c:v>
                </c:pt>
              </c:numCache>
            </c:numRef>
          </c:val>
        </c:ser>
        <c:ser>
          <c:idx val="0"/>
          <c:order val="2"/>
          <c:tx>
            <c:strRef>
              <c:f>'30_g'!$B$87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'30_g'!$C$87:$N$87</c:f>
              <c:numCache>
                <c:formatCode>#,##0.00_ ;\-#,##0.00\ </c:formatCode>
                <c:ptCount val="12"/>
                <c:pt idx="0">
                  <c:v>7.3426620800000011</c:v>
                </c:pt>
                <c:pt idx="1">
                  <c:v>15.073417550000002</c:v>
                </c:pt>
                <c:pt idx="2">
                  <c:v>22.333868720000002</c:v>
                </c:pt>
                <c:pt idx="3">
                  <c:v>30.415066700000004</c:v>
                </c:pt>
                <c:pt idx="4">
                  <c:v>37.54577536</c:v>
                </c:pt>
                <c:pt idx="5">
                  <c:v>45.582350810000001</c:v>
                </c:pt>
                <c:pt idx="6">
                  <c:v>54.468209110000004</c:v>
                </c:pt>
                <c:pt idx="7">
                  <c:v>62.572013130000002</c:v>
                </c:pt>
                <c:pt idx="8">
                  <c:v>70.676880130000001</c:v>
                </c:pt>
                <c:pt idx="9">
                  <c:v>78.419311980000003</c:v>
                </c:pt>
                <c:pt idx="10">
                  <c:v>86.329209000000006</c:v>
                </c:pt>
                <c:pt idx="11">
                  <c:v>94.288265450000011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3437696"/>
        <c:axId val="273736256"/>
      </c:barChart>
      <c:lineChart>
        <c:grouping val="standard"/>
        <c:varyColors val="0"/>
        <c:ser>
          <c:idx val="3"/>
          <c:order val="1"/>
          <c:tx>
            <c:strRef>
              <c:f>'30_g'!$B$86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'30_g'!$C$83:$N$83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'30_g'!$C$86:$N$86</c:f>
              <c:numCache>
                <c:formatCode>#,##0.00_ ;\-#,##0.00\ </c:formatCode>
                <c:ptCount val="12"/>
                <c:pt idx="0">
                  <c:v>7.2393489999999998</c:v>
                </c:pt>
                <c:pt idx="1">
                  <c:v>15.333877000000001</c:v>
                </c:pt>
                <c:pt idx="2">
                  <c:v>22.577356000000002</c:v>
                </c:pt>
                <c:pt idx="3">
                  <c:v>30.222972000000002</c:v>
                </c:pt>
                <c:pt idx="4">
                  <c:v>37.405360999999999</c:v>
                </c:pt>
                <c:pt idx="5">
                  <c:v>44.458280999999999</c:v>
                </c:pt>
                <c:pt idx="6">
                  <c:v>52.838951000000002</c:v>
                </c:pt>
                <c:pt idx="7">
                  <c:v>61.28078</c:v>
                </c:pt>
                <c:pt idx="8">
                  <c:v>69.701193000000004</c:v>
                </c:pt>
                <c:pt idx="9">
                  <c:v>77.820159000000004</c:v>
                </c:pt>
                <c:pt idx="10">
                  <c:v>85.405540000000002</c:v>
                </c:pt>
                <c:pt idx="11">
                  <c:v>93.305341999999996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37696"/>
        <c:axId val="273736256"/>
      </c:lineChart>
      <c:catAx>
        <c:axId val="2734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736256"/>
        <c:crosses val="autoZero"/>
        <c:auto val="1"/>
        <c:lblAlgn val="ctr"/>
        <c:lblOffset val="100"/>
        <c:noMultiLvlLbl val="0"/>
      </c:catAx>
      <c:valAx>
        <c:axId val="2737362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4376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'30_g'!$S$64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'30_g'!$T$62:$AE$62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'30_g'!$T$64:$AE$64</c:f>
              <c:numCache>
                <c:formatCode>#,##0.00_ ;\-#,##0.00\ </c:formatCode>
                <c:ptCount val="12"/>
                <c:pt idx="0">
                  <c:v>3.5229893000000003</c:v>
                </c:pt>
                <c:pt idx="1">
                  <c:v>2.8407080800000002</c:v>
                </c:pt>
                <c:pt idx="2">
                  <c:v>2.9348585599999999</c:v>
                </c:pt>
                <c:pt idx="3">
                  <c:v>2.7347710700000003</c:v>
                </c:pt>
                <c:pt idx="4">
                  <c:v>2.8736233799999993</c:v>
                </c:pt>
                <c:pt idx="5">
                  <c:v>3.6027654899999995</c:v>
                </c:pt>
                <c:pt idx="6">
                  <c:v>2.9293327700000007</c:v>
                </c:pt>
                <c:pt idx="7">
                  <c:v>2.8969031899999997</c:v>
                </c:pt>
                <c:pt idx="8">
                  <c:v>3.1063785199999994</c:v>
                </c:pt>
                <c:pt idx="9">
                  <c:v>2.4323047200000003</c:v>
                </c:pt>
                <c:pt idx="10">
                  <c:v>2.5937810100000003</c:v>
                </c:pt>
                <c:pt idx="11">
                  <c:v>-0.13885906000000053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'30_g'!$S$65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'30_g'!$T$62:$AE$62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'30_g'!$T$65:$AE$65</c:f>
              <c:numCache>
                <c:formatCode>#,##0.00_ ;\-#,##0.00\ </c:formatCode>
                <c:ptCount val="12"/>
                <c:pt idx="0">
                  <c:v>3.046198</c:v>
                </c:pt>
                <c:pt idx="1">
                  <c:v>2.8059159999999999</c:v>
                </c:pt>
                <c:pt idx="2">
                  <c:v>2.8770250000000002</c:v>
                </c:pt>
                <c:pt idx="3">
                  <c:v>2.8419509999999999</c:v>
                </c:pt>
                <c:pt idx="4">
                  <c:v>2.8011400000000002</c:v>
                </c:pt>
                <c:pt idx="5">
                  <c:v>3.2688920000000001</c:v>
                </c:pt>
                <c:pt idx="6">
                  <c:v>3.1193119999999999</c:v>
                </c:pt>
                <c:pt idx="7">
                  <c:v>2.994332</c:v>
                </c:pt>
                <c:pt idx="8">
                  <c:v>3.3838620000000001</c:v>
                </c:pt>
                <c:pt idx="9">
                  <c:v>3.1265890000000001</c:v>
                </c:pt>
                <c:pt idx="10">
                  <c:v>3.0230329999999999</c:v>
                </c:pt>
                <c:pt idx="11">
                  <c:v>3.0770840000000002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'30_g'!$S$66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'30_g'!$T$62:$AE$62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'30_g'!$T$66:$AE$66</c:f>
              <c:numCache>
                <c:formatCode>#,##0.00_ ;\-#,##0.00\ </c:formatCode>
                <c:ptCount val="12"/>
                <c:pt idx="0">
                  <c:v>2.9219070499999997</c:v>
                </c:pt>
                <c:pt idx="1">
                  <c:v>2.6042152000000001</c:v>
                </c:pt>
                <c:pt idx="2">
                  <c:v>2.8201797000000002</c:v>
                </c:pt>
                <c:pt idx="3">
                  <c:v>2.5798502899999991</c:v>
                </c:pt>
                <c:pt idx="4">
                  <c:v>2.6115142699999998</c:v>
                </c:pt>
                <c:pt idx="5">
                  <c:v>3.6622545099999999</c:v>
                </c:pt>
                <c:pt idx="6">
                  <c:v>2.7145194099999999</c:v>
                </c:pt>
                <c:pt idx="7">
                  <c:v>3.1701046000000006</c:v>
                </c:pt>
                <c:pt idx="8">
                  <c:v>2.76135318</c:v>
                </c:pt>
                <c:pt idx="9">
                  <c:v>2.8125237300000001</c:v>
                </c:pt>
                <c:pt idx="10">
                  <c:v>3.1220663999999996</c:v>
                </c:pt>
                <c:pt idx="11">
                  <c:v>2.8030322700000001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38208"/>
        <c:axId val="273738560"/>
      </c:lineChart>
      <c:catAx>
        <c:axId val="2734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738560"/>
        <c:crosses val="autoZero"/>
        <c:auto val="1"/>
        <c:lblAlgn val="ctr"/>
        <c:lblOffset val="100"/>
        <c:noMultiLvlLbl val="0"/>
      </c:catAx>
      <c:valAx>
        <c:axId val="2737385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4382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'30_g'!$T$85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'30_g'!$U$85:$AF$85</c:f>
              <c:numCache>
                <c:formatCode>#,##0.00_ ;\-#,##0.00\ </c:formatCode>
                <c:ptCount val="12"/>
                <c:pt idx="0">
                  <c:v>3.5229893000000003</c:v>
                </c:pt>
                <c:pt idx="1">
                  <c:v>6.3636973800000005</c:v>
                </c:pt>
                <c:pt idx="2">
                  <c:v>9.29855594</c:v>
                </c:pt>
                <c:pt idx="3">
                  <c:v>12.033327010000001</c:v>
                </c:pt>
                <c:pt idx="4">
                  <c:v>14.90695039</c:v>
                </c:pt>
                <c:pt idx="5">
                  <c:v>18.509715880000002</c:v>
                </c:pt>
                <c:pt idx="6">
                  <c:v>21.439048650000004</c:v>
                </c:pt>
                <c:pt idx="7">
                  <c:v>24.335951840000003</c:v>
                </c:pt>
                <c:pt idx="8">
                  <c:v>27.442330360000003</c:v>
                </c:pt>
                <c:pt idx="9">
                  <c:v>29.874635080000004</c:v>
                </c:pt>
                <c:pt idx="10">
                  <c:v>32.468416090000005</c:v>
                </c:pt>
                <c:pt idx="11">
                  <c:v>32.329557030000004</c:v>
                </c:pt>
              </c:numCache>
            </c:numRef>
          </c:val>
        </c:ser>
        <c:ser>
          <c:idx val="0"/>
          <c:order val="2"/>
          <c:tx>
            <c:strRef>
              <c:f>'30_g'!$T$87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'30_g'!$U$87:$AF$87</c:f>
              <c:numCache>
                <c:formatCode>#,##0.00_ ;\-#,##0.00\ </c:formatCode>
                <c:ptCount val="12"/>
                <c:pt idx="0">
                  <c:v>2.9219070499999997</c:v>
                </c:pt>
                <c:pt idx="1">
                  <c:v>5.5261222500000002</c:v>
                </c:pt>
                <c:pt idx="2">
                  <c:v>8.3463019500000009</c:v>
                </c:pt>
                <c:pt idx="3">
                  <c:v>10.92615224</c:v>
                </c:pt>
                <c:pt idx="4">
                  <c:v>13.537666510000001</c:v>
                </c:pt>
                <c:pt idx="5">
                  <c:v>17.199921020000001</c:v>
                </c:pt>
                <c:pt idx="6">
                  <c:v>19.914440430000003</c:v>
                </c:pt>
                <c:pt idx="7">
                  <c:v>23.084545030000005</c:v>
                </c:pt>
                <c:pt idx="8">
                  <c:v>25.845898210000005</c:v>
                </c:pt>
                <c:pt idx="9">
                  <c:v>28.658421940000004</c:v>
                </c:pt>
                <c:pt idx="10">
                  <c:v>31.780488340000005</c:v>
                </c:pt>
                <c:pt idx="11">
                  <c:v>34.583520610000008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3438720"/>
        <c:axId val="273740864"/>
      </c:barChart>
      <c:lineChart>
        <c:grouping val="standard"/>
        <c:varyColors val="0"/>
        <c:ser>
          <c:idx val="3"/>
          <c:order val="1"/>
          <c:tx>
            <c:strRef>
              <c:f>'30_g'!$T$86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'30_g'!$U$83:$AF$83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'30_g'!$U$86:$AF$86</c:f>
              <c:numCache>
                <c:formatCode>#,##0.00_ ;\-#,##0.00\ </c:formatCode>
                <c:ptCount val="12"/>
                <c:pt idx="0">
                  <c:v>3.046198</c:v>
                </c:pt>
                <c:pt idx="1">
                  <c:v>5.8521140000000003</c:v>
                </c:pt>
                <c:pt idx="2">
                  <c:v>8.729139</c:v>
                </c:pt>
                <c:pt idx="3">
                  <c:v>11.57109</c:v>
                </c:pt>
                <c:pt idx="4">
                  <c:v>14.37223</c:v>
                </c:pt>
                <c:pt idx="5">
                  <c:v>17.641121999999999</c:v>
                </c:pt>
                <c:pt idx="6">
                  <c:v>20.760434</c:v>
                </c:pt>
                <c:pt idx="7">
                  <c:v>23.754766</c:v>
                </c:pt>
                <c:pt idx="8">
                  <c:v>27.138628000000001</c:v>
                </c:pt>
                <c:pt idx="9">
                  <c:v>30.265217</c:v>
                </c:pt>
                <c:pt idx="10">
                  <c:v>33.288249999999998</c:v>
                </c:pt>
                <c:pt idx="11">
                  <c:v>36.365333999999997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38720"/>
        <c:axId val="273740864"/>
      </c:lineChart>
      <c:catAx>
        <c:axId val="27343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740864"/>
        <c:crosses val="autoZero"/>
        <c:auto val="1"/>
        <c:lblAlgn val="ctr"/>
        <c:lblOffset val="100"/>
        <c:noMultiLvlLbl val="0"/>
      </c:catAx>
      <c:valAx>
        <c:axId val="2737408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4387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'30_g'!$AI$64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'30_g'!$AJ$62:$AU$62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'30_g'!$AJ$64:$AU$64</c:f>
              <c:numCache>
                <c:formatCode>#,##0.00_ ;\-#,##0.00\ </c:formatCode>
                <c:ptCount val="12"/>
                <c:pt idx="0">
                  <c:v>3.7113063799999995</c:v>
                </c:pt>
                <c:pt idx="1">
                  <c:v>5.9936186500000002</c:v>
                </c:pt>
                <c:pt idx="2">
                  <c:v>4.1713747100000003</c:v>
                </c:pt>
                <c:pt idx="3">
                  <c:v>4.72857971</c:v>
                </c:pt>
                <c:pt idx="4">
                  <c:v>4.2241808299999999</c:v>
                </c:pt>
                <c:pt idx="5">
                  <c:v>3.4056503400000002</c:v>
                </c:pt>
                <c:pt idx="6">
                  <c:v>5.3107105899999993</c:v>
                </c:pt>
                <c:pt idx="7">
                  <c:v>5.4126559000000007</c:v>
                </c:pt>
                <c:pt idx="8">
                  <c:v>4.9607059700000011</c:v>
                </c:pt>
                <c:pt idx="9">
                  <c:v>5.5010390000000005</c:v>
                </c:pt>
                <c:pt idx="10">
                  <c:v>4.1683112799999993</c:v>
                </c:pt>
                <c:pt idx="11">
                  <c:v>7.8924242299999987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'30_g'!$AI$65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'30_g'!$AJ$62:$AU$62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'30_g'!$AJ$65:$AU$65</c:f>
              <c:numCache>
                <c:formatCode>#,##0.00_ ;\-#,##0.00\ </c:formatCode>
                <c:ptCount val="12"/>
                <c:pt idx="0">
                  <c:v>4.1931510000000003</c:v>
                </c:pt>
                <c:pt idx="1">
                  <c:v>5.2886120000000005</c:v>
                </c:pt>
                <c:pt idx="2">
                  <c:v>4.3664539999999992</c:v>
                </c:pt>
                <c:pt idx="3">
                  <c:v>4.8036650000000005</c:v>
                </c:pt>
                <c:pt idx="4">
                  <c:v>4.3812489999999995</c:v>
                </c:pt>
                <c:pt idx="5">
                  <c:v>3.7840280000000002</c:v>
                </c:pt>
                <c:pt idx="6">
                  <c:v>5.2613580000000004</c:v>
                </c:pt>
                <c:pt idx="7">
                  <c:v>5.4474970000000003</c:v>
                </c:pt>
                <c:pt idx="8">
                  <c:v>5.0365509999999993</c:v>
                </c:pt>
                <c:pt idx="9">
                  <c:v>4.9923770000000003</c:v>
                </c:pt>
                <c:pt idx="10">
                  <c:v>4.5623480000000001</c:v>
                </c:pt>
                <c:pt idx="11">
                  <c:v>4.8227180000000001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'30_g'!$AI$66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'30_g'!$AJ$62:$AU$62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'30_g'!$AJ$66:$AU$66</c:f>
              <c:numCache>
                <c:formatCode>#,##0.00_ ;\-#,##0.00\ </c:formatCode>
                <c:ptCount val="12"/>
                <c:pt idx="0">
                  <c:v>4.4207550300000014</c:v>
                </c:pt>
                <c:pt idx="1">
                  <c:v>5.1265402700000013</c:v>
                </c:pt>
                <c:pt idx="2">
                  <c:v>4.440271469999999</c:v>
                </c:pt>
                <c:pt idx="3">
                  <c:v>5.5013476900000011</c:v>
                </c:pt>
                <c:pt idx="4">
                  <c:v>4.5191943899999991</c:v>
                </c:pt>
                <c:pt idx="5">
                  <c:v>4.3743209399999987</c:v>
                </c:pt>
                <c:pt idx="6">
                  <c:v>6.1713388900000012</c:v>
                </c:pt>
                <c:pt idx="7">
                  <c:v>4.9336994199999999</c:v>
                </c:pt>
                <c:pt idx="8">
                  <c:v>5.3435138200000001</c:v>
                </c:pt>
                <c:pt idx="9">
                  <c:v>4.9299081200000003</c:v>
                </c:pt>
                <c:pt idx="10">
                  <c:v>4.787830620000002</c:v>
                </c:pt>
                <c:pt idx="11">
                  <c:v>5.1560241800000002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39744"/>
        <c:axId val="273743168"/>
      </c:lineChart>
      <c:catAx>
        <c:axId val="27343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743168"/>
        <c:crosses val="autoZero"/>
        <c:auto val="1"/>
        <c:lblAlgn val="ctr"/>
        <c:lblOffset val="100"/>
        <c:noMultiLvlLbl val="0"/>
      </c:catAx>
      <c:valAx>
        <c:axId val="2737431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3008053480493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4397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72670510204"/>
          <c:y val="2.2161373086791118E-2"/>
          <c:w val="0.4542922732948979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('12'!$A$9,'12'!$A$13,'12'!$A$17)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('12'!$G$9,'12'!$G$13,'12'!$G$17)</c:f>
              <c:numCache>
                <c:formatCode>_-* #,##0_-;\-* #,##0_-;_-* "-"??_-;_-@_-</c:formatCode>
                <c:ptCount val="3"/>
                <c:pt idx="0">
                  <c:v>2522</c:v>
                </c:pt>
                <c:pt idx="1">
                  <c:v>437</c:v>
                </c:pt>
                <c:pt idx="2">
                  <c:v>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'30_g'!$AJ$85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'30_g'!$AK$85:$AV$85</c:f>
              <c:numCache>
                <c:formatCode>#,##0.00_ ;\-#,##0.00\ </c:formatCode>
                <c:ptCount val="12"/>
                <c:pt idx="0">
                  <c:v>3.7113063799999995</c:v>
                </c:pt>
                <c:pt idx="1">
                  <c:v>9.7049250300000001</c:v>
                </c:pt>
                <c:pt idx="2">
                  <c:v>13.87629974</c:v>
                </c:pt>
                <c:pt idx="3">
                  <c:v>18.604879449999999</c:v>
                </c:pt>
                <c:pt idx="4">
                  <c:v>22.82906028</c:v>
                </c:pt>
                <c:pt idx="5">
                  <c:v>26.234710620000001</c:v>
                </c:pt>
                <c:pt idx="6">
                  <c:v>31.545421210000001</c:v>
                </c:pt>
                <c:pt idx="7">
                  <c:v>36.958077110000005</c:v>
                </c:pt>
                <c:pt idx="8">
                  <c:v>41.918783080000004</c:v>
                </c:pt>
                <c:pt idx="9">
                  <c:v>47.419822080000003</c:v>
                </c:pt>
                <c:pt idx="10">
                  <c:v>51.58813336</c:v>
                </c:pt>
                <c:pt idx="11">
                  <c:v>59.480557589999997</c:v>
                </c:pt>
              </c:numCache>
            </c:numRef>
          </c:val>
        </c:ser>
        <c:ser>
          <c:idx val="0"/>
          <c:order val="2"/>
          <c:tx>
            <c:strRef>
              <c:f>'30_g'!$AJ$87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'30_g'!$AK$83:$AV$83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'30_g'!$AK$87:$AV$87</c:f>
              <c:numCache>
                <c:formatCode>#,##0.00_ ;\-#,##0.00\ </c:formatCode>
                <c:ptCount val="12"/>
                <c:pt idx="0">
                  <c:v>4.4207550300000014</c:v>
                </c:pt>
                <c:pt idx="1">
                  <c:v>9.5472953000000018</c:v>
                </c:pt>
                <c:pt idx="2">
                  <c:v>13.987566770000001</c:v>
                </c:pt>
                <c:pt idx="3">
                  <c:v>19.488914460000004</c:v>
                </c:pt>
                <c:pt idx="4">
                  <c:v>24.008108850000003</c:v>
                </c:pt>
                <c:pt idx="5">
                  <c:v>28.382429790000003</c:v>
                </c:pt>
                <c:pt idx="6">
                  <c:v>34.553768680000005</c:v>
                </c:pt>
                <c:pt idx="7">
                  <c:v>39.487468100000001</c:v>
                </c:pt>
                <c:pt idx="8">
                  <c:v>44.830981919999999</c:v>
                </c:pt>
                <c:pt idx="9">
                  <c:v>49.76089004</c:v>
                </c:pt>
                <c:pt idx="10">
                  <c:v>54.548720660000001</c:v>
                </c:pt>
                <c:pt idx="11">
                  <c:v>59.704744840000004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3440256"/>
        <c:axId val="274286272"/>
      </c:barChart>
      <c:lineChart>
        <c:grouping val="standard"/>
        <c:varyColors val="0"/>
        <c:ser>
          <c:idx val="3"/>
          <c:order val="1"/>
          <c:tx>
            <c:strRef>
              <c:f>'30_g'!$AJ$86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'30_g'!$AK$83:$AV$83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'30_g'!$AK$86:$AV$86</c:f>
              <c:numCache>
                <c:formatCode>#,##0.00_ ;\-#,##0.00\ </c:formatCode>
                <c:ptCount val="12"/>
                <c:pt idx="0">
                  <c:v>4.1931510000000003</c:v>
                </c:pt>
                <c:pt idx="1">
                  <c:v>9.4817630000000008</c:v>
                </c:pt>
                <c:pt idx="2">
                  <c:v>13.848217</c:v>
                </c:pt>
                <c:pt idx="3">
                  <c:v>18.651882000000001</c:v>
                </c:pt>
                <c:pt idx="4">
                  <c:v>23.033131000000001</c:v>
                </c:pt>
                <c:pt idx="5">
                  <c:v>26.817159</c:v>
                </c:pt>
                <c:pt idx="6">
                  <c:v>32.078516999999998</c:v>
                </c:pt>
                <c:pt idx="7">
                  <c:v>37.526013999999996</c:v>
                </c:pt>
                <c:pt idx="8">
                  <c:v>42.562564999999992</c:v>
                </c:pt>
                <c:pt idx="9">
                  <c:v>47.55494199999999</c:v>
                </c:pt>
                <c:pt idx="10">
                  <c:v>52.11728999999999</c:v>
                </c:pt>
                <c:pt idx="11">
                  <c:v>56.940007999999992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40256"/>
        <c:axId val="274286272"/>
      </c:lineChart>
      <c:catAx>
        <c:axId val="27344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4286272"/>
        <c:crosses val="autoZero"/>
        <c:auto val="1"/>
        <c:lblAlgn val="ctr"/>
        <c:lblOffset val="100"/>
        <c:noMultiLvlLbl val="0"/>
      </c:catAx>
      <c:valAx>
        <c:axId val="2742862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152249799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4402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34873492319"/>
          <c:y val="2.2161373086791118E-2"/>
          <c:w val="0.39103665126507681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'30_g'!$T$21:$U$21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'30_g'!$V$20:$AC$20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'30_g'!$V$21:$AC$21</c:f>
              <c:numCache>
                <c:formatCode>#,##0</c:formatCode>
                <c:ptCount val="8"/>
                <c:pt idx="0">
                  <c:v>219.13966480446931</c:v>
                </c:pt>
                <c:pt idx="1">
                  <c:v>153</c:v>
                </c:pt>
                <c:pt idx="2">
                  <c:v>555.41787709497214</c:v>
                </c:pt>
                <c:pt idx="3">
                  <c:v>501</c:v>
                </c:pt>
                <c:pt idx="4">
                  <c:v>805.86033519553087</c:v>
                </c:pt>
                <c:pt idx="5">
                  <c:v>752</c:v>
                </c:pt>
                <c:pt idx="6">
                  <c:v>994.00000000000023</c:v>
                </c:pt>
                <c:pt idx="7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'30_g'!$T$22:$U$22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'30_g'!$V$20:$AC$20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'30_g'!$V$22:$AC$22</c:f>
              <c:numCache>
                <c:formatCode>#,##0</c:formatCode>
                <c:ptCount val="8"/>
                <c:pt idx="0">
                  <c:v>16</c:v>
                </c:pt>
                <c:pt idx="1">
                  <c:v>124</c:v>
                </c:pt>
                <c:pt idx="2">
                  <c:v>31</c:v>
                </c:pt>
                <c:pt idx="3">
                  <c:v>152</c:v>
                </c:pt>
                <c:pt idx="4">
                  <c:v>57</c:v>
                </c:pt>
                <c:pt idx="5">
                  <c:v>201</c:v>
                </c:pt>
                <c:pt idx="6">
                  <c:v>104</c:v>
                </c:pt>
                <c:pt idx="7">
                  <c:v>205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74395648"/>
        <c:axId val="274288576"/>
      </c:barChart>
      <c:catAx>
        <c:axId val="27439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274288576"/>
        <c:crosses val="autoZero"/>
        <c:auto val="1"/>
        <c:lblAlgn val="ctr"/>
        <c:lblOffset val="100"/>
        <c:noMultiLvlLbl val="0"/>
      </c:catAx>
      <c:valAx>
        <c:axId val="274288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7439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('31'!$A$9,'31'!$A$13,'31'!$A$17)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('31'!$B$9,'31'!$B$13,'31'!$B$17)</c:f>
              <c:numCache>
                <c:formatCode>_-* #,##0_-;\-* #,##0_-;_-* "-"??_-;_-@_-</c:formatCode>
                <c:ptCount val="3"/>
                <c:pt idx="0">
                  <c:v>4322</c:v>
                </c:pt>
                <c:pt idx="1">
                  <c:v>1194</c:v>
                </c:pt>
                <c:pt idx="2">
                  <c:v>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('31'!$A$9,'31'!$A$13,'31'!$A$17)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('31'!$G$9,'31'!$G$13,'31'!$G$17)</c:f>
              <c:numCache>
                <c:formatCode>_-* #,##0_-;\-* #,##0_-;_-* "-"??_-;_-@_-</c:formatCode>
                <c:ptCount val="3"/>
                <c:pt idx="0">
                  <c:v>4556</c:v>
                </c:pt>
                <c:pt idx="1">
                  <c:v>1225</c:v>
                </c:pt>
                <c:pt idx="2">
                  <c:v>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('31'!$A$9,'31'!$A$13,'31'!$A$17)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('31'!$C$9,'31'!$C$13,'31'!$C$17)</c:f>
              <c:numCache>
                <c:formatCode>_(* #,##0.00_);_(* \(#,##0.00\);_(* "-"??_);_(@_)</c:formatCode>
                <c:ptCount val="3"/>
                <c:pt idx="0">
                  <c:v>0.527841</c:v>
                </c:pt>
                <c:pt idx="1">
                  <c:v>0.32234499999999999</c:v>
                </c:pt>
                <c:pt idx="2">
                  <c:v>0.13431599999999999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('31'!$A$9,'31'!$A$13,'31'!$A$17)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('31'!$H$9,'31'!$H$13,'31'!$H$17)</c:f>
              <c:numCache>
                <c:formatCode>_(* #,##0.00_);_(* \(#,##0.00\);_(* "-"??_);_(@_)</c:formatCode>
                <c:ptCount val="3"/>
                <c:pt idx="0">
                  <c:v>0.54591699999999999</c:v>
                </c:pt>
                <c:pt idx="1">
                  <c:v>0.33470499999999997</c:v>
                </c:pt>
                <c:pt idx="2">
                  <c:v>0.13411899999999999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('31'!$A$9,'31'!$A$13,'31'!$A$17)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('31'!$E$9,'31'!$E$13,'31'!$E$17)</c:f>
              <c:numCache>
                <c:formatCode>_(* #,##0.00_);_(* \(#,##0.00\);_(* "-"??_);_(@_)</c:formatCode>
                <c:ptCount val="3"/>
                <c:pt idx="0">
                  <c:v>6.7074892100000003</c:v>
                </c:pt>
                <c:pt idx="1">
                  <c:v>6.8750805199999991</c:v>
                </c:pt>
                <c:pt idx="2">
                  <c:v>3.5754860000000002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79774507620997"/>
          <c:y val="0.17221860919262225"/>
          <c:w val="0.64583797205297921"/>
          <c:h val="8.2288570583967074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('31'!$A$9,'31'!$A$13,'31'!$A$17)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('31'!$J$9,'31'!$J$13,'31'!$J$17)</c:f>
              <c:numCache>
                <c:formatCode>_(* #,##0.00_);_(* \(#,##0.00\);_(* "-"??_);_(@_)</c:formatCode>
                <c:ptCount val="3"/>
                <c:pt idx="0">
                  <c:v>6.85631214</c:v>
                </c:pt>
                <c:pt idx="1">
                  <c:v>7.1757258899999998</c:v>
                </c:pt>
                <c:pt idx="2">
                  <c:v>3.6084409000000002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('31'!$A$9,'31'!$A$13,'31'!$A$17,'31'!$A$20)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('31'!$D$9,'31'!$D$13,'31'!$D$17,'31'!$D$20)</c:f>
              <c:numCache>
                <c:formatCode>_-* #,##0.000_-;\-* #,##0.000_-;_-* "-"??_-;_-@_-</c:formatCode>
                <c:ptCount val="4"/>
                <c:pt idx="0">
                  <c:v>0.34062883665702443</c:v>
                </c:pt>
                <c:pt idx="1">
                  <c:v>0.75903479699301235</c:v>
                </c:pt>
                <c:pt idx="2">
                  <c:v>0.95333948470437935</c:v>
                </c:pt>
                <c:pt idx="3">
                  <c:v>0.4654470670275509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('31'!$A$9,'31'!$A$13,'31'!$A$17,'31'!$A$20)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('31'!$I$9,'31'!$I$13,'31'!$I$17,'31'!$I$20)</c:f>
              <c:numCache>
                <c:formatCode>_-* #,##0.000_-;\-* #,##0.000_-;_-* "-"??_-;_-@_-</c:formatCode>
                <c:ptCount val="4"/>
                <c:pt idx="0">
                  <c:v>0.33693692581631679</c:v>
                </c:pt>
                <c:pt idx="1">
                  <c:v>0.7581645307978504</c:v>
                </c:pt>
                <c:pt idx="2">
                  <c:v>0.95441380537270948</c:v>
                </c:pt>
                <c:pt idx="3">
                  <c:v>0.46077936997880553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3335296"/>
        <c:axId val="272020544"/>
      </c:barChart>
      <c:catAx>
        <c:axId val="27333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020544"/>
        <c:crosses val="autoZero"/>
        <c:auto val="1"/>
        <c:lblAlgn val="ctr"/>
        <c:lblOffset val="100"/>
        <c:noMultiLvlLbl val="0"/>
      </c:catAx>
      <c:valAx>
        <c:axId val="2720205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335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70430124805827"/>
          <c:y val="1.305774278215223E-3"/>
          <c:w val="9.8336922170442986E-2"/>
          <c:h val="0.1739180519101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('31'!$A$9,'31'!$A$13,'31'!$A$17,'31'!$A$20)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('31'!$F$9,'31'!$F$13,'31'!$F$17,'31'!$F$20)</c:f>
              <c:numCache>
                <c:formatCode>_(* #,##0.00_);_(* \(#,##0.00\);_(* "-"??_);_(@_)</c:formatCode>
                <c:ptCount val="4"/>
                <c:pt idx="0">
                  <c:v>12.707404710888317</c:v>
                </c:pt>
                <c:pt idx="1">
                  <c:v>21.32832995703361</c:v>
                </c:pt>
                <c:pt idx="2">
                  <c:v>26.619955924833977</c:v>
                </c:pt>
                <c:pt idx="3">
                  <c:v>17.428157312021714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('31'!$A$9,'31'!$A$13,'31'!$A$17,'31'!$A$20)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('31'!$K$9,'31'!$K$13,'31'!$K$17,'31'!$K$20)</c:f>
              <c:numCache>
                <c:formatCode>_(* #,##0.00_);_(* \(#,##0.00\);_(* "-"??_);_(@_)</c:formatCode>
                <c:ptCount val="4"/>
                <c:pt idx="0">
                  <c:v>12.559257432906469</c:v>
                </c:pt>
                <c:pt idx="1">
                  <c:v>21.438956364559836</c:v>
                </c:pt>
                <c:pt idx="2">
                  <c:v>26.904770390474134</c:v>
                </c:pt>
                <c:pt idx="3">
                  <c:v>17.384218169956672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3335808"/>
        <c:axId val="272022272"/>
      </c:barChart>
      <c:catAx>
        <c:axId val="2733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2022272"/>
        <c:crosses val="autoZero"/>
        <c:auto val="1"/>
        <c:lblAlgn val="ctr"/>
        <c:lblOffset val="100"/>
        <c:noMultiLvlLbl val="0"/>
      </c:catAx>
      <c:valAx>
        <c:axId val="2720222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335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982076467245718"/>
          <c:y val="1.5194663167104112E-2"/>
          <c:w val="0.1035125145439294"/>
          <c:h val="0.1674343832020997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('12'!$A$9,'12'!$A$13,'12'!$A$17)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('12'!$C$9,'12'!$C$13,'12'!$C$17)</c:f>
              <c:numCache>
                <c:formatCode>_(* #,##0.00_);_(* \(#,##0.00\);_(* "-"??_);_(@_)</c:formatCode>
                <c:ptCount val="3"/>
                <c:pt idx="0">
                  <c:v>0.40529900000000002</c:v>
                </c:pt>
                <c:pt idx="1">
                  <c:v>0.15151100000000001</c:v>
                </c:pt>
                <c:pt idx="2">
                  <c:v>5.6134999999999997E-2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'31_g'!$A$18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'31_g'!$B$16:$M$16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'31_g'!$B$18:$M$18</c:f>
              <c:numCache>
                <c:formatCode>#,##0_ ;\-#,##0\ </c:formatCode>
                <c:ptCount val="12"/>
                <c:pt idx="0">
                  <c:v>23</c:v>
                </c:pt>
                <c:pt idx="1">
                  <c:v>10</c:v>
                </c:pt>
                <c:pt idx="2">
                  <c:v>10</c:v>
                </c:pt>
                <c:pt idx="3">
                  <c:v>19</c:v>
                </c:pt>
                <c:pt idx="4">
                  <c:v>14</c:v>
                </c:pt>
                <c:pt idx="5">
                  <c:v>31</c:v>
                </c:pt>
                <c:pt idx="6">
                  <c:v>17</c:v>
                </c:pt>
                <c:pt idx="7">
                  <c:v>45</c:v>
                </c:pt>
                <c:pt idx="8">
                  <c:v>16</c:v>
                </c:pt>
                <c:pt idx="9">
                  <c:v>10</c:v>
                </c:pt>
                <c:pt idx="10">
                  <c:v>63</c:v>
                </c:pt>
                <c:pt idx="11">
                  <c:v>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'31_g'!$A$19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'31_g'!$B$16:$M$16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'31_g'!$B$19:$M$19</c:f>
              <c:numCache>
                <c:formatCode>#,##0_ ;\-#,##0\ </c:formatCode>
                <c:ptCount val="12"/>
                <c:pt idx="0">
                  <c:v>18.167061611374407</c:v>
                </c:pt>
                <c:pt idx="1">
                  <c:v>13.067535545023697</c:v>
                </c:pt>
                <c:pt idx="2">
                  <c:v>8.9241706161137451</c:v>
                </c:pt>
                <c:pt idx="3">
                  <c:v>16.57345971563981</c:v>
                </c:pt>
                <c:pt idx="4">
                  <c:v>15.298578199052134</c:v>
                </c:pt>
                <c:pt idx="5">
                  <c:v>20.716824644549764</c:v>
                </c:pt>
                <c:pt idx="6">
                  <c:v>29.959715639810426</c:v>
                </c:pt>
                <c:pt idx="7">
                  <c:v>45.258293838862564</c:v>
                </c:pt>
                <c:pt idx="8">
                  <c:v>22.629146919431282</c:v>
                </c:pt>
                <c:pt idx="9">
                  <c:v>17.84834123222749</c:v>
                </c:pt>
                <c:pt idx="10">
                  <c:v>45.895734597156398</c:v>
                </c:pt>
                <c:pt idx="11">
                  <c:v>14.661137440758296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'31_g'!$A$20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'31_g'!$B$16:$M$16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'31_g'!$B$20:$M$20</c:f>
              <c:numCache>
                <c:formatCode>#,##0_ ;\-#,##0\ </c:formatCode>
                <c:ptCount val="12"/>
                <c:pt idx="0">
                  <c:v>7</c:v>
                </c:pt>
                <c:pt idx="1">
                  <c:v>24</c:v>
                </c:pt>
                <c:pt idx="2">
                  <c:v>16</c:v>
                </c:pt>
                <c:pt idx="3">
                  <c:v>77</c:v>
                </c:pt>
                <c:pt idx="4">
                  <c:v>10</c:v>
                </c:pt>
                <c:pt idx="5">
                  <c:v>39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7</c:v>
                </c:pt>
                <c:pt idx="10">
                  <c:v>9</c:v>
                </c:pt>
                <c:pt idx="11">
                  <c:v>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31200"/>
        <c:axId val="275382848"/>
      </c:lineChart>
      <c:catAx>
        <c:axId val="27493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382848"/>
        <c:crosses val="autoZero"/>
        <c:auto val="1"/>
        <c:lblAlgn val="ctr"/>
        <c:lblOffset val="100"/>
        <c:noMultiLvlLbl val="0"/>
      </c:catAx>
      <c:valAx>
        <c:axId val="2753828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49312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'31_g'!$B$39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'31_g'!$C$39:$N$39</c:f>
              <c:numCache>
                <c:formatCode>#,##0_ ;\-#,##0\ </c:formatCode>
                <c:ptCount val="12"/>
                <c:pt idx="0">
                  <c:v>23</c:v>
                </c:pt>
                <c:pt idx="1">
                  <c:v>33</c:v>
                </c:pt>
                <c:pt idx="2">
                  <c:v>43</c:v>
                </c:pt>
                <c:pt idx="3">
                  <c:v>62</c:v>
                </c:pt>
                <c:pt idx="4">
                  <c:v>76</c:v>
                </c:pt>
                <c:pt idx="5">
                  <c:v>107</c:v>
                </c:pt>
                <c:pt idx="6">
                  <c:v>124</c:v>
                </c:pt>
                <c:pt idx="7">
                  <c:v>169</c:v>
                </c:pt>
                <c:pt idx="8">
                  <c:v>185</c:v>
                </c:pt>
                <c:pt idx="9">
                  <c:v>195</c:v>
                </c:pt>
                <c:pt idx="10">
                  <c:v>258</c:v>
                </c:pt>
                <c:pt idx="11">
                  <c:v>291</c:v>
                </c:pt>
              </c:numCache>
            </c:numRef>
          </c:val>
        </c:ser>
        <c:ser>
          <c:idx val="0"/>
          <c:order val="2"/>
          <c:tx>
            <c:strRef>
              <c:f>'31_g'!$B$41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'31_g'!$C$41:$N$41</c:f>
              <c:numCache>
                <c:formatCode>#,##0_ ;\-#,##0\ </c:formatCode>
                <c:ptCount val="12"/>
                <c:pt idx="0">
                  <c:v>7</c:v>
                </c:pt>
                <c:pt idx="1">
                  <c:v>31</c:v>
                </c:pt>
                <c:pt idx="2">
                  <c:v>47</c:v>
                </c:pt>
                <c:pt idx="3">
                  <c:v>124</c:v>
                </c:pt>
                <c:pt idx="4">
                  <c:v>134</c:v>
                </c:pt>
                <c:pt idx="5">
                  <c:v>173</c:v>
                </c:pt>
                <c:pt idx="6">
                  <c:v>189</c:v>
                </c:pt>
                <c:pt idx="7">
                  <c:v>205</c:v>
                </c:pt>
                <c:pt idx="8">
                  <c:v>222</c:v>
                </c:pt>
                <c:pt idx="9">
                  <c:v>229</c:v>
                </c:pt>
                <c:pt idx="10">
                  <c:v>238</c:v>
                </c:pt>
                <c:pt idx="11">
                  <c:v>244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4957824"/>
        <c:axId val="275385152"/>
      </c:barChart>
      <c:lineChart>
        <c:grouping val="standard"/>
        <c:varyColors val="0"/>
        <c:ser>
          <c:idx val="3"/>
          <c:order val="1"/>
          <c:tx>
            <c:strRef>
              <c:f>'31_g'!$B$40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'31_g'!$C$37:$N$37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'31_g'!$C$40:$N$40</c:f>
              <c:numCache>
                <c:formatCode>#,##0_ ;\-#,##0\ </c:formatCode>
                <c:ptCount val="12"/>
                <c:pt idx="0">
                  <c:v>18.167061611374407</c:v>
                </c:pt>
                <c:pt idx="1">
                  <c:v>31.234597156398102</c:v>
                </c:pt>
                <c:pt idx="2">
                  <c:v>40.158767772511851</c:v>
                </c:pt>
                <c:pt idx="3">
                  <c:v>56.732227488151665</c:v>
                </c:pt>
                <c:pt idx="4">
                  <c:v>72.030805687203795</c:v>
                </c:pt>
                <c:pt idx="5">
                  <c:v>92.747630331753555</c:v>
                </c:pt>
                <c:pt idx="6">
                  <c:v>122.70734597156398</c:v>
                </c:pt>
                <c:pt idx="7">
                  <c:v>167.96563981042655</c:v>
                </c:pt>
                <c:pt idx="8">
                  <c:v>190.59478672985784</c:v>
                </c:pt>
                <c:pt idx="9">
                  <c:v>208.44312796208533</c:v>
                </c:pt>
                <c:pt idx="10">
                  <c:v>254.33886255924173</c:v>
                </c:pt>
                <c:pt idx="11">
                  <c:v>269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57824"/>
        <c:axId val="275385152"/>
      </c:lineChart>
      <c:catAx>
        <c:axId val="2749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385152"/>
        <c:crosses val="autoZero"/>
        <c:auto val="1"/>
        <c:lblAlgn val="ctr"/>
        <c:lblOffset val="100"/>
        <c:noMultiLvlLbl val="0"/>
      </c:catAx>
      <c:valAx>
        <c:axId val="275385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49578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'31_g'!$AI$18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'31_g'!$AJ$16:$AU$16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'31_g'!$AJ$18:$AU$18</c:f>
              <c:numCache>
                <c:formatCode>#,##0.000_ ;\-#,##0.000\ </c:formatCode>
                <c:ptCount val="12"/>
                <c:pt idx="0">
                  <c:v>7.8954999999999997E-2</c:v>
                </c:pt>
                <c:pt idx="1">
                  <c:v>7.8838000000000005E-2</c:v>
                </c:pt>
                <c:pt idx="2">
                  <c:v>7.7099000000000001E-2</c:v>
                </c:pt>
                <c:pt idx="3">
                  <c:v>8.3757999999999999E-2</c:v>
                </c:pt>
                <c:pt idx="4">
                  <c:v>7.7681E-2</c:v>
                </c:pt>
                <c:pt idx="5">
                  <c:v>7.5364E-2</c:v>
                </c:pt>
                <c:pt idx="6">
                  <c:v>9.0875999999999998E-2</c:v>
                </c:pt>
                <c:pt idx="7">
                  <c:v>9.6125000000000002E-2</c:v>
                </c:pt>
                <c:pt idx="8">
                  <c:v>8.9098999999999998E-2</c:v>
                </c:pt>
                <c:pt idx="9">
                  <c:v>8.7844000000000005E-2</c:v>
                </c:pt>
                <c:pt idx="10">
                  <c:v>7.5278999999999999E-2</c:v>
                </c:pt>
                <c:pt idx="11">
                  <c:v>8.0588999999999994E-2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'31_g'!$AI$19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'31_g'!$AJ$16:$AU$16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'31_g'!$AJ$19:$AU$19</c:f>
              <c:numCache>
                <c:formatCode>#,##0.000_ ;\-#,##0.000\ </c:formatCode>
                <c:ptCount val="12"/>
                <c:pt idx="0">
                  <c:v>8.1989000000000006E-2</c:v>
                </c:pt>
                <c:pt idx="1">
                  <c:v>7.9631999999999994E-2</c:v>
                </c:pt>
                <c:pt idx="2">
                  <c:v>8.1085000000000004E-2</c:v>
                </c:pt>
                <c:pt idx="3">
                  <c:v>9.0792999999999999E-2</c:v>
                </c:pt>
                <c:pt idx="4">
                  <c:v>8.1683000000000006E-2</c:v>
                </c:pt>
                <c:pt idx="5">
                  <c:v>7.8189999999999996E-2</c:v>
                </c:pt>
                <c:pt idx="6">
                  <c:v>9.3412999999999996E-2</c:v>
                </c:pt>
                <c:pt idx="7">
                  <c:v>9.2409000000000005E-2</c:v>
                </c:pt>
                <c:pt idx="8">
                  <c:v>9.0647000000000005E-2</c:v>
                </c:pt>
                <c:pt idx="9">
                  <c:v>8.9013999999999996E-2</c:v>
                </c:pt>
                <c:pt idx="10">
                  <c:v>8.4587999999999997E-2</c:v>
                </c:pt>
                <c:pt idx="11">
                  <c:v>8.4906999999999996E-2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'31_g'!$AI$20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'31_g'!$AJ$16:$AU$16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'31_g'!$AJ$20:$AU$20</c:f>
              <c:numCache>
                <c:formatCode>#,##0.000_ ;\-#,##0.000\ </c:formatCode>
                <c:ptCount val="12"/>
                <c:pt idx="0">
                  <c:v>7.5556999999999999E-2</c:v>
                </c:pt>
                <c:pt idx="1">
                  <c:v>8.6360000000000006E-2</c:v>
                </c:pt>
                <c:pt idx="2">
                  <c:v>7.2239999999999999E-2</c:v>
                </c:pt>
                <c:pt idx="3">
                  <c:v>8.6689000000000002E-2</c:v>
                </c:pt>
                <c:pt idx="4">
                  <c:v>7.8780000000000003E-2</c:v>
                </c:pt>
                <c:pt idx="5">
                  <c:v>8.0737000000000003E-2</c:v>
                </c:pt>
                <c:pt idx="6">
                  <c:v>9.4367999999999994E-2</c:v>
                </c:pt>
                <c:pt idx="7">
                  <c:v>9.2721999999999999E-2</c:v>
                </c:pt>
                <c:pt idx="8">
                  <c:v>9.1513999999999998E-2</c:v>
                </c:pt>
                <c:pt idx="9">
                  <c:v>8.8034000000000001E-2</c:v>
                </c:pt>
                <c:pt idx="10">
                  <c:v>8.5697999999999996E-2</c:v>
                </c:pt>
                <c:pt idx="11">
                  <c:v>8.7016999999999997E-2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58848"/>
        <c:axId val="275387456"/>
      </c:lineChart>
      <c:catAx>
        <c:axId val="2749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387456"/>
        <c:crosses val="autoZero"/>
        <c:auto val="1"/>
        <c:lblAlgn val="ctr"/>
        <c:lblOffset val="100"/>
        <c:noMultiLvlLbl val="0"/>
      </c:catAx>
      <c:valAx>
        <c:axId val="2753874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730935457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49588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6355611133"/>
          <c:y val="2.2161373086791118E-2"/>
          <c:w val="0.3512889429593832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'31_g'!$AJ$39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'31_g'!$AK$39:$AV$39</c:f>
              <c:numCache>
                <c:formatCode>#,##0.000_ ;\-#,##0.000\ </c:formatCode>
                <c:ptCount val="12"/>
                <c:pt idx="0">
                  <c:v>7.8954999999999997E-2</c:v>
                </c:pt>
                <c:pt idx="1">
                  <c:v>0.15779300000000002</c:v>
                </c:pt>
                <c:pt idx="2">
                  <c:v>0.23489200000000002</c:v>
                </c:pt>
                <c:pt idx="3">
                  <c:v>0.31864999999999999</c:v>
                </c:pt>
                <c:pt idx="4">
                  <c:v>0.39633099999999999</c:v>
                </c:pt>
                <c:pt idx="5">
                  <c:v>0.47169499999999998</c:v>
                </c:pt>
                <c:pt idx="6">
                  <c:v>0.56257099999999993</c:v>
                </c:pt>
                <c:pt idx="7">
                  <c:v>0.65869599999999995</c:v>
                </c:pt>
                <c:pt idx="8">
                  <c:v>0.74779499999999999</c:v>
                </c:pt>
                <c:pt idx="9">
                  <c:v>0.83563900000000002</c:v>
                </c:pt>
                <c:pt idx="10">
                  <c:v>0.91091800000000001</c:v>
                </c:pt>
                <c:pt idx="11">
                  <c:v>0.99150700000000003</c:v>
                </c:pt>
              </c:numCache>
            </c:numRef>
          </c:val>
        </c:ser>
        <c:ser>
          <c:idx val="0"/>
          <c:order val="2"/>
          <c:tx>
            <c:strRef>
              <c:f>'31_g'!$AJ$41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'31_g'!$AK$41:$AV$41</c:f>
              <c:numCache>
                <c:formatCode>#,##0.000_ ;\-#,##0.000\ </c:formatCode>
                <c:ptCount val="12"/>
                <c:pt idx="0">
                  <c:v>7.5556999999999999E-2</c:v>
                </c:pt>
                <c:pt idx="1">
                  <c:v>0.16191700000000001</c:v>
                </c:pt>
                <c:pt idx="2">
                  <c:v>0.234157</c:v>
                </c:pt>
                <c:pt idx="3">
                  <c:v>0.32084600000000002</c:v>
                </c:pt>
                <c:pt idx="4">
                  <c:v>0.39962600000000004</c:v>
                </c:pt>
                <c:pt idx="5">
                  <c:v>0.48036300000000004</c:v>
                </c:pt>
                <c:pt idx="6">
                  <c:v>0.57473099999999999</c:v>
                </c:pt>
                <c:pt idx="7">
                  <c:v>0.66745299999999996</c:v>
                </c:pt>
                <c:pt idx="8">
                  <c:v>0.75896699999999995</c:v>
                </c:pt>
                <c:pt idx="9">
                  <c:v>0.84700099999999989</c:v>
                </c:pt>
                <c:pt idx="10">
                  <c:v>0.93269899999999994</c:v>
                </c:pt>
                <c:pt idx="11">
                  <c:v>1.0197159999999998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4959360"/>
        <c:axId val="275389760"/>
      </c:barChart>
      <c:lineChart>
        <c:grouping val="standard"/>
        <c:varyColors val="0"/>
        <c:ser>
          <c:idx val="3"/>
          <c:order val="1"/>
          <c:tx>
            <c:strRef>
              <c:f>'31_g'!$AJ$40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'31_g'!$AK$37:$AV$37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'31_g'!$AK$40:$AV$40</c:f>
              <c:numCache>
                <c:formatCode>#,##0.000_ ;\-#,##0.000\ </c:formatCode>
                <c:ptCount val="12"/>
                <c:pt idx="0">
                  <c:v>8.1989000000000006E-2</c:v>
                </c:pt>
                <c:pt idx="1">
                  <c:v>0.16162100000000001</c:v>
                </c:pt>
                <c:pt idx="2">
                  <c:v>0.24270600000000003</c:v>
                </c:pt>
                <c:pt idx="3">
                  <c:v>0.33349900000000005</c:v>
                </c:pt>
                <c:pt idx="4">
                  <c:v>0.41518200000000005</c:v>
                </c:pt>
                <c:pt idx="5">
                  <c:v>0.49337200000000003</c:v>
                </c:pt>
                <c:pt idx="6">
                  <c:v>0.586785</c:v>
                </c:pt>
                <c:pt idx="7">
                  <c:v>0.67919399999999996</c:v>
                </c:pt>
                <c:pt idx="8">
                  <c:v>0.769841</c:v>
                </c:pt>
                <c:pt idx="9">
                  <c:v>0.85885500000000004</c:v>
                </c:pt>
                <c:pt idx="10">
                  <c:v>0.94344300000000003</c:v>
                </c:pt>
                <c:pt idx="11">
                  <c:v>1.0283500000000001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59360"/>
        <c:axId val="275389760"/>
      </c:lineChart>
      <c:catAx>
        <c:axId val="27495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389760"/>
        <c:crosses val="autoZero"/>
        <c:auto val="1"/>
        <c:lblAlgn val="ctr"/>
        <c:lblOffset val="100"/>
        <c:noMultiLvlLbl val="0"/>
      </c:catAx>
      <c:valAx>
        <c:axId val="2753897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81690586548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49593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4001228573"/>
          <c:y val="2.2161373086791118E-2"/>
          <c:w val="0.33180945998771427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'31_g'!$AY$18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'31_g'!$AZ$16:$BK$16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'31_g'!$AZ$18:$BK$18</c:f>
              <c:numCache>
                <c:formatCode>#,##0.000_ ;\-#,##0.000\ </c:formatCode>
                <c:ptCount val="12"/>
                <c:pt idx="0">
                  <c:v>4.1202000000000003E-2</c:v>
                </c:pt>
                <c:pt idx="1">
                  <c:v>3.6824999999999997E-2</c:v>
                </c:pt>
                <c:pt idx="2">
                  <c:v>4.0908E-2</c:v>
                </c:pt>
                <c:pt idx="3">
                  <c:v>3.2686E-2</c:v>
                </c:pt>
                <c:pt idx="4">
                  <c:v>2.9071E-2</c:v>
                </c:pt>
                <c:pt idx="5">
                  <c:v>3.1486E-2</c:v>
                </c:pt>
                <c:pt idx="6">
                  <c:v>2.1162E-2</c:v>
                </c:pt>
                <c:pt idx="7">
                  <c:v>1.9272999999999998E-2</c:v>
                </c:pt>
                <c:pt idx="8">
                  <c:v>1.8038999999999999E-2</c:v>
                </c:pt>
                <c:pt idx="9">
                  <c:v>1.4881E-2</c:v>
                </c:pt>
                <c:pt idx="10">
                  <c:v>2.9801999999999999E-2</c:v>
                </c:pt>
                <c:pt idx="11">
                  <c:v>2.3911000000000002E-2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'31_g'!$AY$19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'31_g'!$AZ$16:$BK$16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'31_g'!$AZ$19:$BK$19</c:f>
              <c:numCache>
                <c:formatCode>#,##0.000_ ;\-#,##0.000\ </c:formatCode>
                <c:ptCount val="12"/>
                <c:pt idx="0">
                  <c:v>3.2853E-2</c:v>
                </c:pt>
                <c:pt idx="1">
                  <c:v>3.0703000000000001E-2</c:v>
                </c:pt>
                <c:pt idx="2">
                  <c:v>3.2753999999999998E-2</c:v>
                </c:pt>
                <c:pt idx="3">
                  <c:v>2.7817999999999999E-2</c:v>
                </c:pt>
                <c:pt idx="4">
                  <c:v>2.8139000000000001E-2</c:v>
                </c:pt>
                <c:pt idx="5">
                  <c:v>3.5463000000000001E-2</c:v>
                </c:pt>
                <c:pt idx="6">
                  <c:v>3.116E-2</c:v>
                </c:pt>
                <c:pt idx="7">
                  <c:v>3.083E-2</c:v>
                </c:pt>
                <c:pt idx="8">
                  <c:v>2.5016E-2</c:v>
                </c:pt>
                <c:pt idx="9">
                  <c:v>1.9494000000000001E-2</c:v>
                </c:pt>
                <c:pt idx="10">
                  <c:v>2.5007999999999999E-2</c:v>
                </c:pt>
                <c:pt idx="11">
                  <c:v>2.3543999999999999E-2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'31_g'!$AY$20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'31_g'!$AZ$16:$BK$16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'31_g'!$AZ$20:$BK$20</c:f>
              <c:numCache>
                <c:formatCode>#,##0.000_ ;\-#,##0.000\ </c:formatCode>
                <c:ptCount val="12"/>
                <c:pt idx="0">
                  <c:v>3.0594E-2</c:v>
                </c:pt>
                <c:pt idx="1">
                  <c:v>2.4218E-2</c:v>
                </c:pt>
                <c:pt idx="2">
                  <c:v>2.9357999999999999E-2</c:v>
                </c:pt>
                <c:pt idx="3">
                  <c:v>2.8691999999999999E-2</c:v>
                </c:pt>
                <c:pt idx="4">
                  <c:v>2.7973000000000001E-2</c:v>
                </c:pt>
                <c:pt idx="5">
                  <c:v>3.2883000000000003E-2</c:v>
                </c:pt>
                <c:pt idx="6">
                  <c:v>3.0928000000000001E-2</c:v>
                </c:pt>
                <c:pt idx="7">
                  <c:v>3.1525999999999998E-2</c:v>
                </c:pt>
                <c:pt idx="8">
                  <c:v>2.7980999999999999E-2</c:v>
                </c:pt>
                <c:pt idx="9">
                  <c:v>2.7400999999999998E-2</c:v>
                </c:pt>
                <c:pt idx="10">
                  <c:v>2.2932000000000001E-2</c:v>
                </c:pt>
                <c:pt idx="11">
                  <c:v>2.2638999999999999E-2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59872"/>
        <c:axId val="275375808"/>
      </c:lineChart>
      <c:catAx>
        <c:axId val="2749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375808"/>
        <c:crosses val="autoZero"/>
        <c:auto val="1"/>
        <c:lblAlgn val="ctr"/>
        <c:lblOffset val="100"/>
        <c:noMultiLvlLbl val="0"/>
      </c:catAx>
      <c:valAx>
        <c:axId val="2753758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97385857971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49598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52039483"/>
          <c:y val="2.2161373086791118E-2"/>
          <c:w val="0.3530097147960517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'31_g'!$AY$39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'31_g'!$AZ$37:$BO$37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'31_g'!$AZ$39:$BO$39</c:f>
              <c:numCache>
                <c:formatCode>_(* #,##0.00_);_(* \(#,##0.00\);_(* "-"??_);_(@_)</c:formatCode>
                <c:ptCount val="16"/>
                <c:pt idx="0">
                  <c:v>34.290137070665878</c:v>
                </c:pt>
                <c:pt idx="1">
                  <c:v>31.83543264201672</c:v>
                </c:pt>
                <c:pt idx="2">
                  <c:v>34.665740167956137</c:v>
                </c:pt>
                <c:pt idx="3">
                  <c:v>33.612934769399473</c:v>
                </c:pt>
                <c:pt idx="4">
                  <c:v>28.070145305898116</c:v>
                </c:pt>
                <c:pt idx="5">
                  <c:v>27.232276678657076</c:v>
                </c:pt>
                <c:pt idx="6">
                  <c:v>29.308932494321777</c:v>
                </c:pt>
                <c:pt idx="7">
                  <c:v>30.999282647221683</c:v>
                </c:pt>
                <c:pt idx="8">
                  <c:v>18.786286241855016</c:v>
                </c:pt>
                <c:pt idx="9">
                  <c:v>16.661191604135688</c:v>
                </c:pt>
                <c:pt idx="10">
                  <c:v>16.837163284735574</c:v>
                </c:pt>
                <c:pt idx="11">
                  <c:v>26.536565086903792</c:v>
                </c:pt>
                <c:pt idx="12">
                  <c:v>14.486249695789729</c:v>
                </c:pt>
                <c:pt idx="13">
                  <c:v>28.353153838835503</c:v>
                </c:pt>
                <c:pt idx="14">
                  <c:v>22.88133971291866</c:v>
                </c:pt>
                <c:pt idx="15">
                  <c:v>25.464024932145175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'31_g'!$AY$40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'31_g'!$AZ$37:$BO$37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'31_g'!$AZ$40:$BO$40</c:f>
              <c:numCache>
                <c:formatCode>_(* #,##0.00_);_(* \(#,##0.00\);_(* "-"??_);_(@_)</c:formatCode>
                <c:ptCount val="16"/>
                <c:pt idx="0">
                  <c:v>24.999963533727655</c:v>
                </c:pt>
                <c:pt idx="1">
                  <c:v>24.999963533727655</c:v>
                </c:pt>
                <c:pt idx="2">
                  <c:v>24.999963533727655</c:v>
                </c:pt>
                <c:pt idx="3">
                  <c:v>24.999963533727655</c:v>
                </c:pt>
                <c:pt idx="4">
                  <c:v>24.999963533727655</c:v>
                </c:pt>
                <c:pt idx="5">
                  <c:v>24.999963533727655</c:v>
                </c:pt>
                <c:pt idx="6">
                  <c:v>24.999963533727655</c:v>
                </c:pt>
                <c:pt idx="7">
                  <c:v>24.999963533727655</c:v>
                </c:pt>
                <c:pt idx="8">
                  <c:v>24.999963533727655</c:v>
                </c:pt>
                <c:pt idx="9">
                  <c:v>24.999963533727655</c:v>
                </c:pt>
                <c:pt idx="10">
                  <c:v>24.999963533727655</c:v>
                </c:pt>
                <c:pt idx="11">
                  <c:v>24.999963533727655</c:v>
                </c:pt>
                <c:pt idx="12">
                  <c:v>24.999963533727655</c:v>
                </c:pt>
                <c:pt idx="13">
                  <c:v>24.999963533727655</c:v>
                </c:pt>
                <c:pt idx="14">
                  <c:v>24.999963533727655</c:v>
                </c:pt>
                <c:pt idx="15">
                  <c:v>24.999963533727655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'31_g'!$AY$41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'31_g'!$AZ$37:$BO$37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'31_g'!$AZ$41:$BO$41</c:f>
              <c:numCache>
                <c:formatCode>_(* #,##0.00_);_(* \(#,##0.00\);_(* "-"??_);_(@_)</c:formatCode>
                <c:ptCount val="16"/>
                <c:pt idx="0">
                  <c:v>28.821207525129296</c:v>
                </c:pt>
                <c:pt idx="1">
                  <c:v>21.901282352728391</c:v>
                </c:pt>
                <c:pt idx="2">
                  <c:v>28.896238114923523</c:v>
                </c:pt>
                <c:pt idx="3">
                  <c:v>26.441363754880985</c:v>
                </c:pt>
                <c:pt idx="4">
                  <c:v>24.867179171614044</c:v>
                </c:pt>
                <c:pt idx="5">
                  <c:v>26.199552304507861</c:v>
                </c:pt>
                <c:pt idx="6">
                  <c:v>28.938660564991643</c:v>
                </c:pt>
                <c:pt idx="7">
                  <c:v>26.558040198316178</c:v>
                </c:pt>
                <c:pt idx="8">
                  <c:v>24.681584575605708</c:v>
                </c:pt>
                <c:pt idx="9">
                  <c:v>25.373446655076943</c:v>
                </c:pt>
                <c:pt idx="10">
                  <c:v>23.416042512239006</c:v>
                </c:pt>
                <c:pt idx="11">
                  <c:v>25.817420183392986</c:v>
                </c:pt>
                <c:pt idx="12">
                  <c:v>23.737168103261574</c:v>
                </c:pt>
                <c:pt idx="13">
                  <c:v>21.110190555095276</c:v>
                </c:pt>
                <c:pt idx="14">
                  <c:v>20.645473115926169</c:v>
                </c:pt>
                <c:pt idx="15">
                  <c:v>24.845619985275032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02464"/>
        <c:axId val="275378112"/>
      </c:lineChart>
      <c:catAx>
        <c:axId val="27590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378112"/>
        <c:crosses val="autoZero"/>
        <c:auto val="1"/>
        <c:lblAlgn val="ctr"/>
        <c:lblOffset val="100"/>
        <c:noMultiLvlLbl val="0"/>
      </c:catAx>
      <c:valAx>
        <c:axId val="2753781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38852712614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9024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9002957676"/>
          <c:y val="2.2161373086791118E-2"/>
          <c:w val="0.2830308149197613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'31_g'!$A$64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'31_g'!$B$62:$M$62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'31_g'!$B$64:$M$64</c:f>
              <c:numCache>
                <c:formatCode>#,##0.00_ ;\-#,##0.00\ </c:formatCode>
                <c:ptCount val="12"/>
                <c:pt idx="0">
                  <c:v>1.6146182</c:v>
                </c:pt>
                <c:pt idx="1">
                  <c:v>1.5869468200000003</c:v>
                </c:pt>
                <c:pt idx="2">
                  <c:v>1.5571132400000001</c:v>
                </c:pt>
                <c:pt idx="3">
                  <c:v>1.6949538200000001</c:v>
                </c:pt>
                <c:pt idx="4">
                  <c:v>1.57991953</c:v>
                </c:pt>
                <c:pt idx="5">
                  <c:v>1.5238516599999998</c:v>
                </c:pt>
                <c:pt idx="6">
                  <c:v>1.7990466800000002</c:v>
                </c:pt>
                <c:pt idx="7">
                  <c:v>1.9355603700000001</c:v>
                </c:pt>
                <c:pt idx="8">
                  <c:v>1.7763559199999999</c:v>
                </c:pt>
                <c:pt idx="9">
                  <c:v>1.7472453600000002</c:v>
                </c:pt>
                <c:pt idx="10">
                  <c:v>1.52429356</c:v>
                </c:pt>
                <c:pt idx="11">
                  <c:v>1.6399771699999999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'31_g'!$A$65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'31_g'!$B$62:$M$62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'31_g'!$B$65:$M$65</c:f>
              <c:numCache>
                <c:formatCode>#,##0.00_ ;\-#,##0.00\ </c:formatCode>
                <c:ptCount val="12"/>
                <c:pt idx="0">
                  <c:v>1.6412260000000001</c:v>
                </c:pt>
                <c:pt idx="1">
                  <c:v>1.6233219999999999</c:v>
                </c:pt>
                <c:pt idx="2">
                  <c:v>1.5995159999999999</c:v>
                </c:pt>
                <c:pt idx="3">
                  <c:v>1.7578769999999999</c:v>
                </c:pt>
                <c:pt idx="4">
                  <c:v>1.619</c:v>
                </c:pt>
                <c:pt idx="5">
                  <c:v>1.5891630000000001</c:v>
                </c:pt>
                <c:pt idx="6">
                  <c:v>1.85554</c:v>
                </c:pt>
                <c:pt idx="7">
                  <c:v>1.8894899999999999</c:v>
                </c:pt>
                <c:pt idx="8">
                  <c:v>1.845237</c:v>
                </c:pt>
                <c:pt idx="9">
                  <c:v>1.7995920000000001</c:v>
                </c:pt>
                <c:pt idx="10">
                  <c:v>1.6975519999999999</c:v>
                </c:pt>
                <c:pt idx="11">
                  <c:v>1.818783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'31_g'!$A$66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'31_g'!$B$62:$M$62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'31_g'!$B$66:$M$66</c:f>
              <c:numCache>
                <c:formatCode>#,##0.00_ ;\-#,##0.00\ </c:formatCode>
                <c:ptCount val="12"/>
                <c:pt idx="0">
                  <c:v>1.5286465499999997</c:v>
                </c:pt>
                <c:pt idx="1">
                  <c:v>1.7626718699999999</c:v>
                </c:pt>
                <c:pt idx="2">
                  <c:v>1.4978346</c:v>
                </c:pt>
                <c:pt idx="3">
                  <c:v>1.8120254099999997</c:v>
                </c:pt>
                <c:pt idx="4">
                  <c:v>1.5968586999999999</c:v>
                </c:pt>
                <c:pt idx="5">
                  <c:v>1.6659454599999999</c:v>
                </c:pt>
                <c:pt idx="6">
                  <c:v>1.7672540000000001</c:v>
                </c:pt>
                <c:pt idx="7">
                  <c:v>1.9467876099999999</c:v>
                </c:pt>
                <c:pt idx="8">
                  <c:v>1.8160616199999997</c:v>
                </c:pt>
                <c:pt idx="9">
                  <c:v>1.7519119599999997</c:v>
                </c:pt>
                <c:pt idx="10">
                  <c:v>1.7342902599999999</c:v>
                </c:pt>
                <c:pt idx="11">
                  <c:v>1.7190327499999998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02976"/>
        <c:axId val="275380416"/>
      </c:lineChart>
      <c:catAx>
        <c:axId val="27590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380416"/>
        <c:crosses val="autoZero"/>
        <c:auto val="1"/>
        <c:lblAlgn val="ctr"/>
        <c:lblOffset val="100"/>
        <c:noMultiLvlLbl val="0"/>
      </c:catAx>
      <c:valAx>
        <c:axId val="2753804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9029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'31_g'!$B$85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'31_g'!$C$85:$N$85</c:f>
              <c:numCache>
                <c:formatCode>#,##0.00_ ;\-#,##0.00\ </c:formatCode>
                <c:ptCount val="12"/>
                <c:pt idx="0">
                  <c:v>1.6146182</c:v>
                </c:pt>
                <c:pt idx="1">
                  <c:v>3.2015650200000003</c:v>
                </c:pt>
                <c:pt idx="2">
                  <c:v>4.7586782599999999</c:v>
                </c:pt>
                <c:pt idx="3">
                  <c:v>6.4536320800000002</c:v>
                </c:pt>
                <c:pt idx="4">
                  <c:v>8.03355161</c:v>
                </c:pt>
                <c:pt idx="5">
                  <c:v>9.55740327</c:v>
                </c:pt>
                <c:pt idx="6">
                  <c:v>11.35644995</c:v>
                </c:pt>
                <c:pt idx="7">
                  <c:v>13.292010319999999</c:v>
                </c:pt>
                <c:pt idx="8">
                  <c:v>15.06836624</c:v>
                </c:pt>
                <c:pt idx="9">
                  <c:v>16.8156116</c:v>
                </c:pt>
                <c:pt idx="10">
                  <c:v>18.339905160000001</c:v>
                </c:pt>
                <c:pt idx="11">
                  <c:v>19.979882330000002</c:v>
                </c:pt>
              </c:numCache>
            </c:numRef>
          </c:val>
        </c:ser>
        <c:ser>
          <c:idx val="0"/>
          <c:order val="2"/>
          <c:tx>
            <c:strRef>
              <c:f>'31_g'!$B$87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'31_g'!$C$87:$N$87</c:f>
              <c:numCache>
                <c:formatCode>#,##0.00_ ;\-#,##0.00\ </c:formatCode>
                <c:ptCount val="12"/>
                <c:pt idx="0">
                  <c:v>1.5286465499999997</c:v>
                </c:pt>
                <c:pt idx="1">
                  <c:v>3.2913184199999996</c:v>
                </c:pt>
                <c:pt idx="2">
                  <c:v>4.7891530199999996</c:v>
                </c:pt>
                <c:pt idx="3">
                  <c:v>6.6011784299999992</c:v>
                </c:pt>
                <c:pt idx="4">
                  <c:v>8.1980371299999995</c:v>
                </c:pt>
                <c:pt idx="5">
                  <c:v>9.8639825899999991</c:v>
                </c:pt>
                <c:pt idx="6">
                  <c:v>11.631236589999999</c:v>
                </c:pt>
                <c:pt idx="7">
                  <c:v>13.578024199999998</c:v>
                </c:pt>
                <c:pt idx="8">
                  <c:v>15.394085819999997</c:v>
                </c:pt>
                <c:pt idx="9">
                  <c:v>17.145997779999998</c:v>
                </c:pt>
                <c:pt idx="10">
                  <c:v>18.880288039999996</c:v>
                </c:pt>
                <c:pt idx="11">
                  <c:v>20.599320789999997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5904000"/>
        <c:axId val="276095552"/>
      </c:barChart>
      <c:lineChart>
        <c:grouping val="standard"/>
        <c:varyColors val="0"/>
        <c:ser>
          <c:idx val="3"/>
          <c:order val="1"/>
          <c:tx>
            <c:strRef>
              <c:f>'31_g'!$B$86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'31_g'!$C$83:$N$83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'31_g'!$C$86:$N$86</c:f>
              <c:numCache>
                <c:formatCode>#,##0.00_ ;\-#,##0.00\ </c:formatCode>
                <c:ptCount val="12"/>
                <c:pt idx="0">
                  <c:v>1.6412260000000001</c:v>
                </c:pt>
                <c:pt idx="1">
                  <c:v>3.264548</c:v>
                </c:pt>
                <c:pt idx="2">
                  <c:v>4.8640639999999999</c:v>
                </c:pt>
                <c:pt idx="3">
                  <c:v>6.6219409999999996</c:v>
                </c:pt>
                <c:pt idx="4">
                  <c:v>8.2409409999999994</c:v>
                </c:pt>
                <c:pt idx="5">
                  <c:v>9.8301039999999986</c:v>
                </c:pt>
                <c:pt idx="6">
                  <c:v>11.685643999999998</c:v>
                </c:pt>
                <c:pt idx="7">
                  <c:v>13.575133999999998</c:v>
                </c:pt>
                <c:pt idx="8">
                  <c:v>15.420370999999999</c:v>
                </c:pt>
                <c:pt idx="9">
                  <c:v>17.219963</c:v>
                </c:pt>
                <c:pt idx="10">
                  <c:v>18.917515000000002</c:v>
                </c:pt>
                <c:pt idx="11">
                  <c:v>20.736298000000001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04000"/>
        <c:axId val="276095552"/>
      </c:lineChart>
      <c:catAx>
        <c:axId val="2759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095552"/>
        <c:crosses val="autoZero"/>
        <c:auto val="1"/>
        <c:lblAlgn val="ctr"/>
        <c:lblOffset val="100"/>
        <c:noMultiLvlLbl val="0"/>
      </c:catAx>
      <c:valAx>
        <c:axId val="2760955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9040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'31_g'!$S$64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'31_g'!$T$62:$AE$62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'31_g'!$T$64:$AE$64</c:f>
              <c:numCache>
                <c:formatCode>#,##0.00_ ;\-#,##0.00\ </c:formatCode>
                <c:ptCount val="12"/>
                <c:pt idx="0">
                  <c:v>0.93918382999999994</c:v>
                </c:pt>
                <c:pt idx="1">
                  <c:v>0.87335964999999993</c:v>
                </c:pt>
                <c:pt idx="2">
                  <c:v>0.90613443999999999</c:v>
                </c:pt>
                <c:pt idx="3">
                  <c:v>0.8993971799999998</c:v>
                </c:pt>
                <c:pt idx="4">
                  <c:v>0.94063002999999989</c:v>
                </c:pt>
                <c:pt idx="5">
                  <c:v>0.98248834000000007</c:v>
                </c:pt>
                <c:pt idx="6">
                  <c:v>0.89746320999999984</c:v>
                </c:pt>
                <c:pt idx="7">
                  <c:v>0.99245603999999998</c:v>
                </c:pt>
                <c:pt idx="8">
                  <c:v>0.91123197</c:v>
                </c:pt>
                <c:pt idx="9">
                  <c:v>0.94529627999999999</c:v>
                </c:pt>
                <c:pt idx="10">
                  <c:v>0.90319172000000014</c:v>
                </c:pt>
                <c:pt idx="11">
                  <c:v>1.0984272000000002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'31_g'!$S$65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'31_g'!$T$62:$AE$62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'31_g'!$T$65:$AE$65</c:f>
              <c:numCache>
                <c:formatCode>#,##0.00_ ;\-#,##0.00\ </c:formatCode>
                <c:ptCount val="12"/>
                <c:pt idx="0">
                  <c:v>0.887795</c:v>
                </c:pt>
                <c:pt idx="1">
                  <c:v>0.83822300000000005</c:v>
                </c:pt>
                <c:pt idx="2">
                  <c:v>0.87945300000000004</c:v>
                </c:pt>
                <c:pt idx="3">
                  <c:v>0.88534599999999997</c:v>
                </c:pt>
                <c:pt idx="4">
                  <c:v>0.91707499999999997</c:v>
                </c:pt>
                <c:pt idx="5">
                  <c:v>0.97013700000000003</c:v>
                </c:pt>
                <c:pt idx="6">
                  <c:v>0.86893200000000004</c:v>
                </c:pt>
                <c:pt idx="7">
                  <c:v>0.94606999999999997</c:v>
                </c:pt>
                <c:pt idx="8">
                  <c:v>0.92662699999999998</c:v>
                </c:pt>
                <c:pt idx="9">
                  <c:v>0.93333200000000005</c:v>
                </c:pt>
                <c:pt idx="10">
                  <c:v>0.96731199999999995</c:v>
                </c:pt>
                <c:pt idx="11">
                  <c:v>1.0737840000000001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'31_g'!$S$66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'31_g'!$T$62:$AE$62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'31_g'!$T$66:$AE$66</c:f>
              <c:numCache>
                <c:formatCode>#,##0.00_ ;\-#,##0.00\ </c:formatCode>
                <c:ptCount val="12"/>
                <c:pt idx="0">
                  <c:v>0.78597480000000008</c:v>
                </c:pt>
                <c:pt idx="1">
                  <c:v>0.77018639000000011</c:v>
                </c:pt>
                <c:pt idx="2">
                  <c:v>1.03674409</c:v>
                </c:pt>
                <c:pt idx="3">
                  <c:v>0.7368923300000001</c:v>
                </c:pt>
                <c:pt idx="4">
                  <c:v>0.78062500000000001</c:v>
                </c:pt>
                <c:pt idx="5">
                  <c:v>1.02474044</c:v>
                </c:pt>
                <c:pt idx="6">
                  <c:v>0.84289743000000006</c:v>
                </c:pt>
                <c:pt idx="7">
                  <c:v>0.93258916999999997</c:v>
                </c:pt>
                <c:pt idx="8">
                  <c:v>0.85079954000000002</c:v>
                </c:pt>
                <c:pt idx="9">
                  <c:v>0.88107097999999984</c:v>
                </c:pt>
                <c:pt idx="10">
                  <c:v>0.89695676000000002</c:v>
                </c:pt>
                <c:pt idx="11">
                  <c:v>0.95756908000000007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30688"/>
        <c:axId val="276097856"/>
      </c:lineChart>
      <c:catAx>
        <c:axId val="27493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097856"/>
        <c:crosses val="autoZero"/>
        <c:auto val="1"/>
        <c:lblAlgn val="ctr"/>
        <c:lblOffset val="100"/>
        <c:noMultiLvlLbl val="0"/>
      </c:catAx>
      <c:valAx>
        <c:axId val="2760978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49306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'31_g'!$T$85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'31_g'!$U$85:$AF$85</c:f>
              <c:numCache>
                <c:formatCode>#,##0.00_ ;\-#,##0.00\ </c:formatCode>
                <c:ptCount val="12"/>
                <c:pt idx="0">
                  <c:v>0.93918382999999994</c:v>
                </c:pt>
                <c:pt idx="1">
                  <c:v>1.81254348</c:v>
                </c:pt>
                <c:pt idx="2">
                  <c:v>2.7186779200000002</c:v>
                </c:pt>
                <c:pt idx="3">
                  <c:v>3.6180751</c:v>
                </c:pt>
                <c:pt idx="4">
                  <c:v>4.5587051299999999</c:v>
                </c:pt>
                <c:pt idx="5">
                  <c:v>5.5411934699999996</c:v>
                </c:pt>
                <c:pt idx="6">
                  <c:v>6.4386566799999994</c:v>
                </c:pt>
                <c:pt idx="7">
                  <c:v>7.4311127199999998</c:v>
                </c:pt>
                <c:pt idx="8">
                  <c:v>8.3423446899999991</c:v>
                </c:pt>
                <c:pt idx="9">
                  <c:v>9.2876409699999982</c:v>
                </c:pt>
                <c:pt idx="10">
                  <c:v>10.190832689999999</c:v>
                </c:pt>
                <c:pt idx="11">
                  <c:v>11.289259889999999</c:v>
                </c:pt>
              </c:numCache>
            </c:numRef>
          </c:val>
        </c:ser>
        <c:ser>
          <c:idx val="0"/>
          <c:order val="2"/>
          <c:tx>
            <c:strRef>
              <c:f>'31_g'!$T$87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'31_g'!$U$87:$AF$87</c:f>
              <c:numCache>
                <c:formatCode>#,##0.00_ ;\-#,##0.00\ </c:formatCode>
                <c:ptCount val="12"/>
                <c:pt idx="0">
                  <c:v>0.78597480000000008</c:v>
                </c:pt>
                <c:pt idx="1">
                  <c:v>1.5561611900000001</c:v>
                </c:pt>
                <c:pt idx="2">
                  <c:v>2.5929052800000001</c:v>
                </c:pt>
                <c:pt idx="3">
                  <c:v>3.32979761</c:v>
                </c:pt>
                <c:pt idx="4">
                  <c:v>4.1104226099999996</c:v>
                </c:pt>
                <c:pt idx="5">
                  <c:v>5.1351630499999992</c:v>
                </c:pt>
                <c:pt idx="6">
                  <c:v>5.978060479999999</c:v>
                </c:pt>
                <c:pt idx="7">
                  <c:v>6.910649649999999</c:v>
                </c:pt>
                <c:pt idx="8">
                  <c:v>7.7614491899999987</c:v>
                </c:pt>
                <c:pt idx="9">
                  <c:v>8.6425201699999992</c:v>
                </c:pt>
                <c:pt idx="10">
                  <c:v>9.5394769299999993</c:v>
                </c:pt>
                <c:pt idx="11">
                  <c:v>10.49704601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5905024"/>
        <c:axId val="276100160"/>
      </c:barChart>
      <c:lineChart>
        <c:grouping val="standard"/>
        <c:varyColors val="0"/>
        <c:ser>
          <c:idx val="3"/>
          <c:order val="1"/>
          <c:tx>
            <c:strRef>
              <c:f>'31_g'!$T$86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'31_g'!$U$83:$AF$83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'31_g'!$U$86:$AF$86</c:f>
              <c:numCache>
                <c:formatCode>#,##0.00_ ;\-#,##0.00\ </c:formatCode>
                <c:ptCount val="12"/>
                <c:pt idx="0">
                  <c:v>0.887795</c:v>
                </c:pt>
                <c:pt idx="1">
                  <c:v>1.7260180000000001</c:v>
                </c:pt>
                <c:pt idx="2">
                  <c:v>2.6054710000000001</c:v>
                </c:pt>
                <c:pt idx="3">
                  <c:v>3.4908169999999998</c:v>
                </c:pt>
                <c:pt idx="4">
                  <c:v>4.4078919999999995</c:v>
                </c:pt>
                <c:pt idx="5">
                  <c:v>5.3780289999999997</c:v>
                </c:pt>
                <c:pt idx="6">
                  <c:v>6.2469609999999998</c:v>
                </c:pt>
                <c:pt idx="7">
                  <c:v>7.1930309999999995</c:v>
                </c:pt>
                <c:pt idx="8">
                  <c:v>8.1196579999999994</c:v>
                </c:pt>
                <c:pt idx="9">
                  <c:v>9.0529899999999994</c:v>
                </c:pt>
                <c:pt idx="10">
                  <c:v>10.020301999999999</c:v>
                </c:pt>
                <c:pt idx="11">
                  <c:v>11.094085999999999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905024"/>
        <c:axId val="276100160"/>
      </c:lineChart>
      <c:catAx>
        <c:axId val="27590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100160"/>
        <c:crosses val="autoZero"/>
        <c:auto val="1"/>
        <c:lblAlgn val="ctr"/>
        <c:lblOffset val="100"/>
        <c:noMultiLvlLbl val="0"/>
      </c:catAx>
      <c:valAx>
        <c:axId val="2761001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9050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('12'!$A$9,'12'!$A$13,'12'!$A$17)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('12'!$H$9,'12'!$H$13,'12'!$H$17)</c:f>
              <c:numCache>
                <c:formatCode>_(* #,##0.00_);_(* \(#,##0.00\);_(* "-"??_);_(@_)</c:formatCode>
                <c:ptCount val="3"/>
                <c:pt idx="0">
                  <c:v>0.39755200000000002</c:v>
                </c:pt>
                <c:pt idx="1">
                  <c:v>0.15604599999999999</c:v>
                </c:pt>
                <c:pt idx="2">
                  <c:v>5.8171E-2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'31_g'!$AI$64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'31_g'!$AJ$62:$AU$62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'31_g'!$AJ$64:$AU$64</c:f>
              <c:numCache>
                <c:formatCode>#,##0.00_ ;\-#,##0.00\ </c:formatCode>
                <c:ptCount val="12"/>
                <c:pt idx="0">
                  <c:v>0.67543437000000006</c:v>
                </c:pt>
                <c:pt idx="1">
                  <c:v>0.71358717000000038</c:v>
                </c:pt>
                <c:pt idx="2">
                  <c:v>0.65097880000000008</c:v>
                </c:pt>
                <c:pt idx="3">
                  <c:v>0.79555664000000026</c:v>
                </c:pt>
                <c:pt idx="4">
                  <c:v>0.63928950000000007</c:v>
                </c:pt>
                <c:pt idx="5">
                  <c:v>0.54136331999999976</c:v>
                </c:pt>
                <c:pt idx="6">
                  <c:v>0.90158347000000039</c:v>
                </c:pt>
                <c:pt idx="7">
                  <c:v>0.94310433000000016</c:v>
                </c:pt>
                <c:pt idx="8">
                  <c:v>0.86512394999999986</c:v>
                </c:pt>
                <c:pt idx="9">
                  <c:v>0.8019490800000002</c:v>
                </c:pt>
                <c:pt idx="10">
                  <c:v>0.62110183999999991</c:v>
                </c:pt>
                <c:pt idx="11">
                  <c:v>0.54154996999999971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'31_g'!$AI$65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'31_g'!$AJ$62:$AU$62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'31_g'!$AJ$65:$AU$65</c:f>
              <c:numCache>
                <c:formatCode>#,##0.00_ ;\-#,##0.00\ </c:formatCode>
                <c:ptCount val="12"/>
                <c:pt idx="0">
                  <c:v>0.75343100000000007</c:v>
                </c:pt>
                <c:pt idx="1">
                  <c:v>0.78509899999999988</c:v>
                </c:pt>
                <c:pt idx="2">
                  <c:v>0.7200629999999999</c:v>
                </c:pt>
                <c:pt idx="3">
                  <c:v>0.87253099999999995</c:v>
                </c:pt>
                <c:pt idx="4">
                  <c:v>0.70192500000000002</c:v>
                </c:pt>
                <c:pt idx="5">
                  <c:v>0.61902600000000008</c:v>
                </c:pt>
                <c:pt idx="6">
                  <c:v>0.98660799999999993</c:v>
                </c:pt>
                <c:pt idx="7">
                  <c:v>0.94341999999999993</c:v>
                </c:pt>
                <c:pt idx="8">
                  <c:v>0.91861000000000004</c:v>
                </c:pt>
                <c:pt idx="9">
                  <c:v>0.86626000000000003</c:v>
                </c:pt>
                <c:pt idx="10">
                  <c:v>0.73024</c:v>
                </c:pt>
                <c:pt idx="11">
                  <c:v>0.74499899999999997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'31_g'!$AI$66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'31_g'!$AJ$62:$AU$62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'31_g'!$AJ$66:$AU$66</c:f>
              <c:numCache>
                <c:formatCode>#,##0.00_ ;\-#,##0.00\ </c:formatCode>
                <c:ptCount val="12"/>
                <c:pt idx="0">
                  <c:v>0.74267174999999963</c:v>
                </c:pt>
                <c:pt idx="1">
                  <c:v>0.99248547999999981</c:v>
                </c:pt>
                <c:pt idx="2">
                  <c:v>0.46109051000000001</c:v>
                </c:pt>
                <c:pt idx="3">
                  <c:v>1.0751330799999996</c:v>
                </c:pt>
                <c:pt idx="4">
                  <c:v>0.81623369999999984</c:v>
                </c:pt>
                <c:pt idx="5">
                  <c:v>0.6412050199999999</c:v>
                </c:pt>
                <c:pt idx="6">
                  <c:v>0.92435657000000004</c:v>
                </c:pt>
                <c:pt idx="7">
                  <c:v>1.0141984399999999</c:v>
                </c:pt>
                <c:pt idx="8">
                  <c:v>0.96526207999999969</c:v>
                </c:pt>
                <c:pt idx="9">
                  <c:v>0.87084097999999988</c:v>
                </c:pt>
                <c:pt idx="10">
                  <c:v>0.83733349999999984</c:v>
                </c:pt>
                <c:pt idx="11">
                  <c:v>0.7614636699999997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42720"/>
        <c:axId val="276102464"/>
      </c:lineChart>
      <c:catAx>
        <c:axId val="27574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102464"/>
        <c:crosses val="autoZero"/>
        <c:auto val="1"/>
        <c:lblAlgn val="ctr"/>
        <c:lblOffset val="100"/>
        <c:noMultiLvlLbl val="0"/>
      </c:catAx>
      <c:valAx>
        <c:axId val="2761024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4559770937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7427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76664280596"/>
          <c:y val="2.2161373086791118E-2"/>
          <c:w val="0.4542922333571940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'31_g'!$AJ$85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'31_g'!$AK$85:$AV$85</c:f>
              <c:numCache>
                <c:formatCode>#,##0.00_ ;\-#,##0.00\ </c:formatCode>
                <c:ptCount val="12"/>
                <c:pt idx="0">
                  <c:v>0.67543437000000006</c:v>
                </c:pt>
                <c:pt idx="1">
                  <c:v>1.3890215400000003</c:v>
                </c:pt>
                <c:pt idx="2">
                  <c:v>2.0400003400000006</c:v>
                </c:pt>
                <c:pt idx="3">
                  <c:v>2.8355569800000007</c:v>
                </c:pt>
                <c:pt idx="4">
                  <c:v>3.474846480000001</c:v>
                </c:pt>
                <c:pt idx="5">
                  <c:v>4.0162098000000004</c:v>
                </c:pt>
                <c:pt idx="6">
                  <c:v>4.9177932700000007</c:v>
                </c:pt>
                <c:pt idx="7">
                  <c:v>5.8608976000000013</c:v>
                </c:pt>
                <c:pt idx="8">
                  <c:v>6.7260215500000013</c:v>
                </c:pt>
                <c:pt idx="9">
                  <c:v>7.5279706300000013</c:v>
                </c:pt>
                <c:pt idx="10">
                  <c:v>8.1490724700000019</c:v>
                </c:pt>
                <c:pt idx="11">
                  <c:v>8.6906224400000021</c:v>
                </c:pt>
              </c:numCache>
            </c:numRef>
          </c:val>
        </c:ser>
        <c:ser>
          <c:idx val="0"/>
          <c:order val="2"/>
          <c:tx>
            <c:strRef>
              <c:f>'31_g'!$AJ$87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'31_g'!$AK$83:$AV$83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'31_g'!$AK$87:$AV$87</c:f>
              <c:numCache>
                <c:formatCode>#,##0.00_ ;\-#,##0.00\ </c:formatCode>
                <c:ptCount val="12"/>
                <c:pt idx="0">
                  <c:v>0.74267174999999963</c:v>
                </c:pt>
                <c:pt idx="1">
                  <c:v>1.7351572299999996</c:v>
                </c:pt>
                <c:pt idx="2">
                  <c:v>2.1962477399999996</c:v>
                </c:pt>
                <c:pt idx="3">
                  <c:v>3.2713808199999992</c:v>
                </c:pt>
                <c:pt idx="4">
                  <c:v>4.0876145199999989</c:v>
                </c:pt>
                <c:pt idx="5">
                  <c:v>4.728819539999999</c:v>
                </c:pt>
                <c:pt idx="6">
                  <c:v>5.6531761099999986</c:v>
                </c:pt>
                <c:pt idx="7">
                  <c:v>6.6673745499999981</c:v>
                </c:pt>
                <c:pt idx="8">
                  <c:v>7.6326366299999977</c:v>
                </c:pt>
                <c:pt idx="9">
                  <c:v>8.5034776099999974</c:v>
                </c:pt>
                <c:pt idx="10">
                  <c:v>9.3408111099999971</c:v>
                </c:pt>
                <c:pt idx="11">
                  <c:v>10.102274779999997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5743232"/>
        <c:axId val="276268736"/>
      </c:barChart>
      <c:lineChart>
        <c:grouping val="standard"/>
        <c:varyColors val="0"/>
        <c:ser>
          <c:idx val="3"/>
          <c:order val="1"/>
          <c:tx>
            <c:strRef>
              <c:f>'31_g'!$AJ$86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'31_g'!$AK$83:$AV$83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'31_g'!$AK$86:$AV$86</c:f>
              <c:numCache>
                <c:formatCode>#,##0.00_ ;\-#,##0.00\ </c:formatCode>
                <c:ptCount val="12"/>
                <c:pt idx="0">
                  <c:v>0.75343100000000007</c:v>
                </c:pt>
                <c:pt idx="1">
                  <c:v>1.53853</c:v>
                </c:pt>
                <c:pt idx="2">
                  <c:v>2.2585929999999999</c:v>
                </c:pt>
                <c:pt idx="3">
                  <c:v>3.1311239999999998</c:v>
                </c:pt>
                <c:pt idx="4">
                  <c:v>3.8330489999999999</c:v>
                </c:pt>
                <c:pt idx="5">
                  <c:v>4.4520749999999998</c:v>
                </c:pt>
                <c:pt idx="6">
                  <c:v>5.4386829999999993</c:v>
                </c:pt>
                <c:pt idx="7">
                  <c:v>6.382102999999999</c:v>
                </c:pt>
                <c:pt idx="8">
                  <c:v>7.3007129999999991</c:v>
                </c:pt>
                <c:pt idx="9">
                  <c:v>8.1669729999999987</c:v>
                </c:pt>
                <c:pt idx="10">
                  <c:v>8.8972129999999989</c:v>
                </c:pt>
                <c:pt idx="11">
                  <c:v>9.6422119999999989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43232"/>
        <c:axId val="276268736"/>
      </c:lineChart>
      <c:catAx>
        <c:axId val="27574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268736"/>
        <c:crosses val="autoZero"/>
        <c:auto val="1"/>
        <c:lblAlgn val="ctr"/>
        <c:lblOffset val="100"/>
        <c:noMultiLvlLbl val="0"/>
      </c:catAx>
      <c:valAx>
        <c:axId val="2762687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2296045019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57432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733140882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'31_g'!$T$21:$U$21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'31_g'!$V$20:$AC$20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'31_g'!$V$21:$AC$21</c:f>
              <c:numCache>
                <c:formatCode>#,##0</c:formatCode>
                <c:ptCount val="8"/>
                <c:pt idx="0">
                  <c:v>36.158767772511851</c:v>
                </c:pt>
                <c:pt idx="1">
                  <c:v>47</c:v>
                </c:pt>
                <c:pt idx="2">
                  <c:v>84.747630331753555</c:v>
                </c:pt>
                <c:pt idx="3">
                  <c:v>172</c:v>
                </c:pt>
                <c:pt idx="4">
                  <c:v>175.59478672985784</c:v>
                </c:pt>
                <c:pt idx="5">
                  <c:v>220</c:v>
                </c:pt>
                <c:pt idx="6">
                  <c:v>241.00000000000003</c:v>
                </c:pt>
                <c:pt idx="7">
                  <c:v>242</c:v>
                </c:pt>
              </c:numCache>
            </c:numRef>
          </c:val>
        </c:ser>
        <c:ser>
          <c:idx val="0"/>
          <c:order val="1"/>
          <c:tx>
            <c:strRef>
              <c:f>'31_g'!$T$22:$U$22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'31_g'!$V$20:$AC$20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'31_g'!$V$22:$AC$22</c:f>
              <c:numCache>
                <c:formatCode>#,##0</c:formatCode>
                <c:ptCount val="8"/>
                <c:pt idx="0">
                  <c:v>4</c:v>
                </c:pt>
                <c:pt idx="1">
                  <c:v>0</c:v>
                </c:pt>
                <c:pt idx="2">
                  <c:v>8</c:v>
                </c:pt>
                <c:pt idx="3">
                  <c:v>1</c:v>
                </c:pt>
                <c:pt idx="4">
                  <c:v>15</c:v>
                </c:pt>
                <c:pt idx="5">
                  <c:v>2</c:v>
                </c:pt>
                <c:pt idx="6">
                  <c:v>28</c:v>
                </c:pt>
                <c:pt idx="7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75903488"/>
        <c:axId val="276271040"/>
      </c:barChart>
      <c:catAx>
        <c:axId val="275903488"/>
        <c:scaling>
          <c:orientation val="minMax"/>
        </c:scaling>
        <c:delete val="1"/>
        <c:axPos val="b"/>
        <c:majorTickMark val="out"/>
        <c:minorTickMark val="none"/>
        <c:tickLblPos val="nextTo"/>
        <c:crossAx val="276271040"/>
        <c:crosses val="autoZero"/>
        <c:auto val="1"/>
        <c:lblAlgn val="ctr"/>
        <c:lblOffset val="100"/>
        <c:noMultiLvlLbl val="0"/>
      </c:catAx>
      <c:valAx>
        <c:axId val="27627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75903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('32'!$A$9,'32'!$A$13,'32'!$A$17)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('32'!$B$9,'32'!$B$13,'32'!$B$17)</c:f>
              <c:numCache>
                <c:formatCode>_-* #,##0_-;\-* #,##0_-;_-* "-"??_-;_-@_-</c:formatCode>
                <c:ptCount val="3"/>
                <c:pt idx="0">
                  <c:v>21399</c:v>
                </c:pt>
                <c:pt idx="1">
                  <c:v>4589</c:v>
                </c:pt>
                <c:pt idx="2">
                  <c:v>1726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('32'!$A$9,'32'!$A$13,'32'!$A$17)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('32'!$G$9,'32'!$G$13,'32'!$G$17)</c:f>
              <c:numCache>
                <c:formatCode>_-* #,##0_-;\-* #,##0_-;_-* "-"??_-;_-@_-</c:formatCode>
                <c:ptCount val="3"/>
                <c:pt idx="0">
                  <c:v>22499</c:v>
                </c:pt>
                <c:pt idx="1">
                  <c:v>5064</c:v>
                </c:pt>
                <c:pt idx="2">
                  <c:v>1721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('32'!$A$9,'32'!$A$13,'32'!$A$17)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('32'!$C$9,'32'!$C$13,'32'!$C$17)</c:f>
              <c:numCache>
                <c:formatCode>_(* #,##0.00_);_(* \(#,##0.00\);_(* "-"??_);_(@_)</c:formatCode>
                <c:ptCount val="3"/>
                <c:pt idx="0">
                  <c:v>3.6057489999999999</c:v>
                </c:pt>
                <c:pt idx="1">
                  <c:v>2.105613</c:v>
                </c:pt>
                <c:pt idx="2">
                  <c:v>1.3574980000000001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('32'!$A$9,'32'!$A$13,'32'!$A$17)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('32'!$H$9,'32'!$H$13,'32'!$H$17)</c:f>
              <c:numCache>
                <c:formatCode>_(* #,##0.00_);_(* \(#,##0.00\);_(* "-"??_);_(@_)</c:formatCode>
                <c:ptCount val="3"/>
                <c:pt idx="0">
                  <c:v>3.7861690000000001</c:v>
                </c:pt>
                <c:pt idx="1">
                  <c:v>2.3501829999999999</c:v>
                </c:pt>
                <c:pt idx="2">
                  <c:v>1.2869569999999999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('32'!$A$9,'32'!$A$13,'32'!$A$17)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('32'!$E$9,'32'!$E$13,'32'!$E$17)</c:f>
              <c:numCache>
                <c:formatCode>_(* #,##0.00_);_(* \(#,##0.00\);_(* "-"??_);_(@_)</c:formatCode>
                <c:ptCount val="3"/>
                <c:pt idx="0">
                  <c:v>51.736413430000006</c:v>
                </c:pt>
                <c:pt idx="1">
                  <c:v>45.237764439999999</c:v>
                </c:pt>
                <c:pt idx="2">
                  <c:v>37.638491000000002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('32'!$A$9,'32'!$A$13,'32'!$A$17)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('32'!$J$9,'32'!$J$13,'32'!$J$17)</c:f>
              <c:numCache>
                <c:formatCode>_(* #,##0.00_);_(* \(#,##0.00\);_(* "-"??_);_(@_)</c:formatCode>
                <c:ptCount val="3"/>
                <c:pt idx="0">
                  <c:v>54.334782819999994</c:v>
                </c:pt>
                <c:pt idx="1">
                  <c:v>50.812498519999998</c:v>
                </c:pt>
                <c:pt idx="2">
                  <c:v>35.696404649999998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('32'!$A$9,'32'!$A$13,'32'!$A$17,'32'!$A$20)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('32'!$D$9,'32'!$D$13,'32'!$D$17,'32'!$D$20)</c:f>
              <c:numCache>
                <c:formatCode>_-* #,##0.000_-;\-* #,##0.000_-;_-* "-"??_-;_-@_-</c:formatCode>
                <c:ptCount val="4"/>
                <c:pt idx="0">
                  <c:v>0.47954002978382293</c:v>
                </c:pt>
                <c:pt idx="1">
                  <c:v>1.3107936241140712</c:v>
                </c:pt>
                <c:pt idx="2">
                  <c:v>2.0696564289035759</c:v>
                </c:pt>
                <c:pt idx="3">
                  <c:v>0.7226799905228799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('32'!$A$9,'32'!$A$13,'32'!$A$17,'32'!$A$20)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('32'!$I$9,'32'!$I$13,'32'!$I$17,'32'!$I$20)</c:f>
              <c:numCache>
                <c:formatCode>_-* #,##0.000_-;\-* #,##0.000_-;_-* "-"??_-;_-@_-</c:formatCode>
                <c:ptCount val="4"/>
                <c:pt idx="0">
                  <c:v>0.4725985581768945</c:v>
                </c:pt>
                <c:pt idx="1">
                  <c:v>1.3340635106695484</c:v>
                </c:pt>
                <c:pt idx="2">
                  <c:v>2.0457845019095422</c:v>
                </c:pt>
                <c:pt idx="3">
                  <c:v>0.71363321087449838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6712448"/>
        <c:axId val="273790016"/>
      </c:barChart>
      <c:catAx>
        <c:axId val="2767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790016"/>
        <c:crosses val="autoZero"/>
        <c:auto val="1"/>
        <c:lblAlgn val="ctr"/>
        <c:lblOffset val="100"/>
        <c:noMultiLvlLbl val="0"/>
      </c:catAx>
      <c:valAx>
        <c:axId val="2737900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71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70430124805827"/>
          <c:y val="1.305774278215223E-3"/>
          <c:w val="9.8336922170442986E-2"/>
          <c:h val="0.1739180519101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('12'!$A$9,'12'!$A$13,'12'!$A$17)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('12'!$E$9,'12'!$E$13,'12'!$E$17)</c:f>
              <c:numCache>
                <c:formatCode>_(* #,##0.00_);_(* \(#,##0.00\);_(* "-"??_);_(@_)</c:formatCode>
                <c:ptCount val="3"/>
                <c:pt idx="0">
                  <c:v>5.6170566800000001</c:v>
                </c:pt>
                <c:pt idx="1">
                  <c:v>3.1212566500000003</c:v>
                </c:pt>
                <c:pt idx="2">
                  <c:v>1.4340548999999998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('32'!$A$9,'32'!$A$13,'32'!$A$17,'32'!$A$20)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('32'!$F$9,'32'!$F$13,'32'!$F$17,'32'!$F$20)</c:f>
              <c:numCache>
                <c:formatCode>_(* #,##0.00_);_(* \(#,##0.00\);_(* "-"??_);_(@_)</c:formatCode>
                <c:ptCount val="4"/>
                <c:pt idx="0">
                  <c:v>14.348312494851973</c:v>
                </c:pt>
                <c:pt idx="1">
                  <c:v>21.48436794415688</c:v>
                </c:pt>
                <c:pt idx="2">
                  <c:v>27.726369394282717</c:v>
                </c:pt>
                <c:pt idx="3">
                  <c:v>19.043052043752457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('32'!$A$9,'32'!$A$13,'32'!$A$17,'32'!$A$20)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('32'!$K$9,'32'!$K$13,'32'!$K$17,'32'!$K$20)</c:f>
              <c:numCache>
                <c:formatCode>_(* #,##0.00_);_(* \(#,##0.00\);_(* "-"??_);_(@_)</c:formatCode>
                <c:ptCount val="4"/>
                <c:pt idx="0">
                  <c:v>14.350860413256775</c:v>
                </c:pt>
                <c:pt idx="1">
                  <c:v>21.620656144649161</c:v>
                </c:pt>
                <c:pt idx="2">
                  <c:v>27.737060873051703</c:v>
                </c:pt>
                <c:pt idx="3">
                  <c:v>18.97316762511166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6712960"/>
        <c:axId val="273791744"/>
      </c:barChart>
      <c:catAx>
        <c:axId val="2767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3791744"/>
        <c:crosses val="autoZero"/>
        <c:auto val="1"/>
        <c:lblAlgn val="ctr"/>
        <c:lblOffset val="100"/>
        <c:noMultiLvlLbl val="0"/>
      </c:catAx>
      <c:valAx>
        <c:axId val="2737917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71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982076467245718"/>
          <c:y val="1.5194663167104112E-2"/>
          <c:w val="0.1035125145439294"/>
          <c:h val="0.1674343832020997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'32_g'!$A$18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'32_g'!$B$16:$M$16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'32_g'!$B$18:$M$18</c:f>
              <c:numCache>
                <c:formatCode>#,##0_ ;\-#,##0\ </c:formatCode>
                <c:ptCount val="12"/>
                <c:pt idx="0">
                  <c:v>86</c:v>
                </c:pt>
                <c:pt idx="1">
                  <c:v>107</c:v>
                </c:pt>
                <c:pt idx="2">
                  <c:v>160</c:v>
                </c:pt>
                <c:pt idx="3">
                  <c:v>68</c:v>
                </c:pt>
                <c:pt idx="4">
                  <c:v>218</c:v>
                </c:pt>
                <c:pt idx="5">
                  <c:v>118</c:v>
                </c:pt>
                <c:pt idx="6">
                  <c:v>129</c:v>
                </c:pt>
                <c:pt idx="7">
                  <c:v>227</c:v>
                </c:pt>
                <c:pt idx="8">
                  <c:v>300</c:v>
                </c:pt>
                <c:pt idx="9">
                  <c:v>215</c:v>
                </c:pt>
                <c:pt idx="10">
                  <c:v>244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'32_g'!$A$19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'32_g'!$B$16:$M$16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'32_g'!$B$19:$M$19</c:f>
              <c:numCache>
                <c:formatCode>#,##0_ ;\-#,##0\ </c:formatCode>
                <c:ptCount val="12"/>
                <c:pt idx="0">
                  <c:v>156.68797797491584</c:v>
                </c:pt>
                <c:pt idx="1">
                  <c:v>113.17987152034262</c:v>
                </c:pt>
                <c:pt idx="2">
                  <c:v>159.3337412052615</c:v>
                </c:pt>
                <c:pt idx="3">
                  <c:v>119.0593453655552</c:v>
                </c:pt>
                <c:pt idx="4">
                  <c:v>164.33129397369225</c:v>
                </c:pt>
                <c:pt idx="5">
                  <c:v>144.34108289996939</c:v>
                </c:pt>
                <c:pt idx="6">
                  <c:v>157.27592535943714</c:v>
                </c:pt>
                <c:pt idx="7">
                  <c:v>138.16763536249616</c:v>
                </c:pt>
                <c:pt idx="8">
                  <c:v>234.29703273172223</c:v>
                </c:pt>
                <c:pt idx="9">
                  <c:v>154.04221474457017</c:v>
                </c:pt>
                <c:pt idx="10">
                  <c:v>161.68553074334659</c:v>
                </c:pt>
                <c:pt idx="11">
                  <c:v>219.59834811869069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'32_g'!$A$20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'32_g'!$B$16:$M$16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'32_g'!$B$20:$M$20</c:f>
              <c:numCache>
                <c:formatCode>#,##0_ ;\-#,##0\ </c:formatCode>
                <c:ptCount val="12"/>
                <c:pt idx="0">
                  <c:v>77</c:v>
                </c:pt>
                <c:pt idx="1">
                  <c:v>166</c:v>
                </c:pt>
                <c:pt idx="2">
                  <c:v>165</c:v>
                </c:pt>
                <c:pt idx="3">
                  <c:v>168</c:v>
                </c:pt>
                <c:pt idx="4">
                  <c:v>129</c:v>
                </c:pt>
                <c:pt idx="5">
                  <c:v>155</c:v>
                </c:pt>
                <c:pt idx="6">
                  <c:v>149</c:v>
                </c:pt>
                <c:pt idx="7">
                  <c:v>166</c:v>
                </c:pt>
                <c:pt idx="8">
                  <c:v>132</c:v>
                </c:pt>
                <c:pt idx="9">
                  <c:v>103</c:v>
                </c:pt>
                <c:pt idx="10">
                  <c:v>112</c:v>
                </c:pt>
                <c:pt idx="11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69664"/>
        <c:axId val="276849216"/>
      </c:lineChart>
      <c:catAx>
        <c:axId val="27716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849216"/>
        <c:crosses val="autoZero"/>
        <c:auto val="1"/>
        <c:lblAlgn val="ctr"/>
        <c:lblOffset val="100"/>
        <c:noMultiLvlLbl val="0"/>
      </c:catAx>
      <c:valAx>
        <c:axId val="2768492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1696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'32_g'!$B$39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'32_g'!$C$39:$N$39</c:f>
              <c:numCache>
                <c:formatCode>#,##0_ ;\-#,##0\ </c:formatCode>
                <c:ptCount val="12"/>
                <c:pt idx="0">
                  <c:v>86</c:v>
                </c:pt>
                <c:pt idx="1">
                  <c:v>193</c:v>
                </c:pt>
                <c:pt idx="2">
                  <c:v>353</c:v>
                </c:pt>
                <c:pt idx="3">
                  <c:v>421</c:v>
                </c:pt>
                <c:pt idx="4">
                  <c:v>639</c:v>
                </c:pt>
                <c:pt idx="5">
                  <c:v>757</c:v>
                </c:pt>
                <c:pt idx="6">
                  <c:v>886</c:v>
                </c:pt>
                <c:pt idx="7">
                  <c:v>1113</c:v>
                </c:pt>
                <c:pt idx="8">
                  <c:v>1413</c:v>
                </c:pt>
                <c:pt idx="9">
                  <c:v>1628</c:v>
                </c:pt>
                <c:pt idx="10">
                  <c:v>1872</c:v>
                </c:pt>
                <c:pt idx="11">
                  <c:v>2157</c:v>
                </c:pt>
              </c:numCache>
            </c:numRef>
          </c:val>
        </c:ser>
        <c:ser>
          <c:idx val="0"/>
          <c:order val="2"/>
          <c:tx>
            <c:strRef>
              <c:f>'32_g'!$B$41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'32_g'!$C$41:$N$41</c:f>
              <c:numCache>
                <c:formatCode>#,##0_ ;\-#,##0\ </c:formatCode>
                <c:ptCount val="12"/>
                <c:pt idx="0">
                  <c:v>77</c:v>
                </c:pt>
                <c:pt idx="1">
                  <c:v>243</c:v>
                </c:pt>
                <c:pt idx="2">
                  <c:v>408</c:v>
                </c:pt>
                <c:pt idx="3">
                  <c:v>576</c:v>
                </c:pt>
                <c:pt idx="4">
                  <c:v>705</c:v>
                </c:pt>
                <c:pt idx="5">
                  <c:v>860</c:v>
                </c:pt>
                <c:pt idx="6">
                  <c:v>1009</c:v>
                </c:pt>
                <c:pt idx="7">
                  <c:v>1175</c:v>
                </c:pt>
                <c:pt idx="8">
                  <c:v>1307</c:v>
                </c:pt>
                <c:pt idx="9">
                  <c:v>1410</c:v>
                </c:pt>
                <c:pt idx="10">
                  <c:v>1522</c:v>
                </c:pt>
                <c:pt idx="11">
                  <c:v>1622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7170176"/>
        <c:axId val="276851520"/>
      </c:barChart>
      <c:lineChart>
        <c:grouping val="standard"/>
        <c:varyColors val="0"/>
        <c:ser>
          <c:idx val="3"/>
          <c:order val="1"/>
          <c:tx>
            <c:strRef>
              <c:f>'32_g'!$B$40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'32_g'!$C$37:$N$37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'32_g'!$C$40:$N$40</c:f>
              <c:numCache>
                <c:formatCode>#,##0_ ;\-#,##0\ </c:formatCode>
                <c:ptCount val="12"/>
                <c:pt idx="0">
                  <c:v>156.68797797491584</c:v>
                </c:pt>
                <c:pt idx="1">
                  <c:v>269.86784949525844</c:v>
                </c:pt>
                <c:pt idx="2">
                  <c:v>429.20159070051994</c:v>
                </c:pt>
                <c:pt idx="3">
                  <c:v>548.26093606607515</c:v>
                </c:pt>
                <c:pt idx="4">
                  <c:v>712.5922300397674</c:v>
                </c:pt>
                <c:pt idx="5">
                  <c:v>856.93331293973677</c:v>
                </c:pt>
                <c:pt idx="6">
                  <c:v>1014.2092382991739</c:v>
                </c:pt>
                <c:pt idx="7">
                  <c:v>1152.3768736616701</c:v>
                </c:pt>
                <c:pt idx="8">
                  <c:v>1386.6739063933924</c:v>
                </c:pt>
                <c:pt idx="9">
                  <c:v>1540.7161211379625</c:v>
                </c:pt>
                <c:pt idx="10">
                  <c:v>1702.4016518813091</c:v>
                </c:pt>
                <c:pt idx="11">
                  <c:v>1921.9999999999998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70176"/>
        <c:axId val="276851520"/>
      </c:lineChart>
      <c:catAx>
        <c:axId val="27717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851520"/>
        <c:crosses val="autoZero"/>
        <c:auto val="1"/>
        <c:lblAlgn val="ctr"/>
        <c:lblOffset val="100"/>
        <c:noMultiLvlLbl val="0"/>
      </c:catAx>
      <c:valAx>
        <c:axId val="2768515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1701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'32_g'!$AI$18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'32_g'!$AJ$16:$AU$16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'32_g'!$AJ$18:$AU$18</c:f>
              <c:numCache>
                <c:formatCode>#,##0.000_ ;\-#,##0.000\ </c:formatCode>
                <c:ptCount val="12"/>
                <c:pt idx="0">
                  <c:v>0.55544247000000002</c:v>
                </c:pt>
                <c:pt idx="1">
                  <c:v>0.57830287000000002</c:v>
                </c:pt>
                <c:pt idx="2">
                  <c:v>0.5373513299999999</c:v>
                </c:pt>
                <c:pt idx="3">
                  <c:v>0.59205420999999991</c:v>
                </c:pt>
                <c:pt idx="4">
                  <c:v>0.57772782</c:v>
                </c:pt>
                <c:pt idx="5">
                  <c:v>0.56326947999999999</c:v>
                </c:pt>
                <c:pt idx="6">
                  <c:v>0.62150196999999996</c:v>
                </c:pt>
                <c:pt idx="7">
                  <c:v>0.62957109999999994</c:v>
                </c:pt>
                <c:pt idx="8">
                  <c:v>0.61856771999999993</c:v>
                </c:pt>
                <c:pt idx="9">
                  <c:v>0.63654200000000005</c:v>
                </c:pt>
                <c:pt idx="10">
                  <c:v>0.54636998000000003</c:v>
                </c:pt>
                <c:pt idx="11">
                  <c:v>0.61635305000000007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'32_g'!$AI$19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'32_g'!$AJ$16:$AU$16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'32_g'!$AJ$19:$AU$19</c:f>
              <c:numCache>
                <c:formatCode>#,##0.000_ ;\-#,##0.000\ </c:formatCode>
                <c:ptCount val="12"/>
                <c:pt idx="0">
                  <c:v>0.63083299999999998</c:v>
                </c:pt>
                <c:pt idx="1">
                  <c:v>0.63887899999999997</c:v>
                </c:pt>
                <c:pt idx="2">
                  <c:v>0.61749500000000002</c:v>
                </c:pt>
                <c:pt idx="3">
                  <c:v>0.67077399999999998</c:v>
                </c:pt>
                <c:pt idx="4">
                  <c:v>0.63945799999999997</c:v>
                </c:pt>
                <c:pt idx="5">
                  <c:v>0.62146900000000005</c:v>
                </c:pt>
                <c:pt idx="6">
                  <c:v>0.67228600000000005</c:v>
                </c:pt>
                <c:pt idx="7">
                  <c:v>0.67591999999999997</c:v>
                </c:pt>
                <c:pt idx="8">
                  <c:v>0.68269500000000005</c:v>
                </c:pt>
                <c:pt idx="9">
                  <c:v>0.68166199999999999</c:v>
                </c:pt>
                <c:pt idx="10">
                  <c:v>0.64482600000000001</c:v>
                </c:pt>
                <c:pt idx="11">
                  <c:v>0.676095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'32_g'!$AI$20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'32_g'!$AJ$16:$AU$16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'32_g'!$AJ$20:$AU$20</c:f>
              <c:numCache>
                <c:formatCode>#,##0.000_ ;\-#,##0.000\ </c:formatCode>
                <c:ptCount val="12"/>
                <c:pt idx="0">
                  <c:v>0.57592892000000007</c:v>
                </c:pt>
                <c:pt idx="1">
                  <c:v>0.60161052000000004</c:v>
                </c:pt>
                <c:pt idx="2">
                  <c:v>0.61229699999999998</c:v>
                </c:pt>
                <c:pt idx="3">
                  <c:v>0.62046745999999997</c:v>
                </c:pt>
                <c:pt idx="4">
                  <c:v>0.61038599999999998</c:v>
                </c:pt>
                <c:pt idx="5">
                  <c:v>0.58147400000000005</c:v>
                </c:pt>
                <c:pt idx="6">
                  <c:v>0.66240873</c:v>
                </c:pt>
                <c:pt idx="7">
                  <c:v>0.62382499999999996</c:v>
                </c:pt>
                <c:pt idx="8">
                  <c:v>0.64121499999999998</c:v>
                </c:pt>
                <c:pt idx="9">
                  <c:v>0.61972300000000002</c:v>
                </c:pt>
                <c:pt idx="10">
                  <c:v>0.62551235999999999</c:v>
                </c:pt>
                <c:pt idx="11">
                  <c:v>0.65205199999999996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71200"/>
        <c:axId val="276853824"/>
      </c:lineChart>
      <c:catAx>
        <c:axId val="27717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853824"/>
        <c:crosses val="autoZero"/>
        <c:auto val="1"/>
        <c:lblAlgn val="ctr"/>
        <c:lblOffset val="100"/>
        <c:noMultiLvlLbl val="0"/>
      </c:catAx>
      <c:valAx>
        <c:axId val="2768538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32202419456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1712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5228078788"/>
          <c:y val="2.2161373086791118E-2"/>
          <c:w val="0.3512889146647036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'32_g'!$AJ$39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'32_g'!$AK$39:$AV$39</c:f>
              <c:numCache>
                <c:formatCode>#,##0.000_ ;\-#,##0.000\ </c:formatCode>
                <c:ptCount val="12"/>
                <c:pt idx="0">
                  <c:v>0.55544247000000002</c:v>
                </c:pt>
                <c:pt idx="1">
                  <c:v>1.1337453399999999</c:v>
                </c:pt>
                <c:pt idx="2">
                  <c:v>1.6710966699999998</c:v>
                </c:pt>
                <c:pt idx="3">
                  <c:v>2.2631508799999995</c:v>
                </c:pt>
                <c:pt idx="4">
                  <c:v>2.8408786999999993</c:v>
                </c:pt>
                <c:pt idx="5">
                  <c:v>3.4041481799999991</c:v>
                </c:pt>
                <c:pt idx="6">
                  <c:v>4.0256501499999988</c:v>
                </c:pt>
                <c:pt idx="7">
                  <c:v>4.6552212499999985</c:v>
                </c:pt>
                <c:pt idx="8">
                  <c:v>5.2737889699999982</c:v>
                </c:pt>
                <c:pt idx="9">
                  <c:v>5.9103309699999986</c:v>
                </c:pt>
                <c:pt idx="10">
                  <c:v>6.4567009499999983</c:v>
                </c:pt>
                <c:pt idx="11">
                  <c:v>7.0730539999999982</c:v>
                </c:pt>
              </c:numCache>
            </c:numRef>
          </c:val>
        </c:ser>
        <c:ser>
          <c:idx val="0"/>
          <c:order val="2"/>
          <c:tx>
            <c:strRef>
              <c:f>'32_g'!$AJ$41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'32_g'!$AK$41:$AV$41</c:f>
              <c:numCache>
                <c:formatCode>#,##0.000_ ;\-#,##0.000\ </c:formatCode>
                <c:ptCount val="12"/>
                <c:pt idx="0">
                  <c:v>0.57592892000000007</c:v>
                </c:pt>
                <c:pt idx="1">
                  <c:v>1.1775394400000001</c:v>
                </c:pt>
                <c:pt idx="2">
                  <c:v>1.7898364400000002</c:v>
                </c:pt>
                <c:pt idx="3">
                  <c:v>2.4103039000000002</c:v>
                </c:pt>
                <c:pt idx="4">
                  <c:v>3.0206899000000003</c:v>
                </c:pt>
                <c:pt idx="5">
                  <c:v>3.6021639000000003</c:v>
                </c:pt>
                <c:pt idx="6">
                  <c:v>4.26457263</c:v>
                </c:pt>
                <c:pt idx="7">
                  <c:v>4.88839763</c:v>
                </c:pt>
                <c:pt idx="8">
                  <c:v>5.5296126299999999</c:v>
                </c:pt>
                <c:pt idx="9">
                  <c:v>6.1493356299999995</c:v>
                </c:pt>
                <c:pt idx="10">
                  <c:v>6.7748479899999996</c:v>
                </c:pt>
                <c:pt idx="11">
                  <c:v>7.4268999899999999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7171712"/>
        <c:axId val="276856128"/>
      </c:barChart>
      <c:lineChart>
        <c:grouping val="standard"/>
        <c:varyColors val="0"/>
        <c:ser>
          <c:idx val="3"/>
          <c:order val="1"/>
          <c:tx>
            <c:strRef>
              <c:f>'32_g'!$AJ$40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'32_g'!$AK$37:$AV$37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'32_g'!$AK$40:$AV$40</c:f>
              <c:numCache>
                <c:formatCode>#,##0.000_ ;\-#,##0.000\ </c:formatCode>
                <c:ptCount val="12"/>
                <c:pt idx="0">
                  <c:v>0.63083299999999998</c:v>
                </c:pt>
                <c:pt idx="1">
                  <c:v>1.269712</c:v>
                </c:pt>
                <c:pt idx="2">
                  <c:v>1.8872070000000001</c:v>
                </c:pt>
                <c:pt idx="3">
                  <c:v>2.5579809999999998</c:v>
                </c:pt>
                <c:pt idx="4">
                  <c:v>3.1974389999999997</c:v>
                </c:pt>
                <c:pt idx="5">
                  <c:v>3.8189079999999995</c:v>
                </c:pt>
                <c:pt idx="6">
                  <c:v>4.4911939999999992</c:v>
                </c:pt>
                <c:pt idx="7">
                  <c:v>5.1671139999999989</c:v>
                </c:pt>
                <c:pt idx="8">
                  <c:v>5.8498089999999987</c:v>
                </c:pt>
                <c:pt idx="9">
                  <c:v>6.5314709999999989</c:v>
                </c:pt>
                <c:pt idx="10">
                  <c:v>7.176296999999999</c:v>
                </c:pt>
                <c:pt idx="11">
                  <c:v>7.8523919999999992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71712"/>
        <c:axId val="276856128"/>
      </c:lineChart>
      <c:catAx>
        <c:axId val="2771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856128"/>
        <c:crosses val="autoZero"/>
        <c:auto val="1"/>
        <c:lblAlgn val="ctr"/>
        <c:lblOffset val="100"/>
        <c:noMultiLvlLbl val="0"/>
      </c:catAx>
      <c:valAx>
        <c:axId val="2768561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612715077281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1717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3452901716"/>
          <c:y val="2.2161373086791118E-2"/>
          <c:w val="0.33180956547098284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'32_g'!$AY$18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'32_g'!$AZ$16:$BK$16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'32_g'!$AZ$18:$BK$18</c:f>
              <c:numCache>
                <c:formatCode>#,##0.000_ ;\-#,##0.000\ </c:formatCode>
                <c:ptCount val="12"/>
                <c:pt idx="0">
                  <c:v>0.13446353000000003</c:v>
                </c:pt>
                <c:pt idx="1">
                  <c:v>0.10672819000000006</c:v>
                </c:pt>
                <c:pt idx="2">
                  <c:v>0.17822288</c:v>
                </c:pt>
                <c:pt idx="3">
                  <c:v>0.16611057000000007</c:v>
                </c:pt>
                <c:pt idx="4">
                  <c:v>0.15577318000000004</c:v>
                </c:pt>
                <c:pt idx="5">
                  <c:v>0.20748252000000003</c:v>
                </c:pt>
                <c:pt idx="6">
                  <c:v>0.14156903000000004</c:v>
                </c:pt>
                <c:pt idx="7">
                  <c:v>0.12632227000000001</c:v>
                </c:pt>
                <c:pt idx="8">
                  <c:v>0.10374828000000003</c:v>
                </c:pt>
                <c:pt idx="9">
                  <c:v>0.111973</c:v>
                </c:pt>
                <c:pt idx="10">
                  <c:v>0.20090902000000002</c:v>
                </c:pt>
                <c:pt idx="11">
                  <c:v>0.12828194999999995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'32_g'!$AY$19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'32_g'!$AZ$16:$BK$16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'32_g'!$AZ$19:$BK$19</c:f>
              <c:numCache>
                <c:formatCode>#,##0.000_ ;\-#,##0.000\ </c:formatCode>
                <c:ptCount val="12"/>
                <c:pt idx="0">
                  <c:v>0.177263</c:v>
                </c:pt>
                <c:pt idx="1">
                  <c:v>0.14932200000000001</c:v>
                </c:pt>
                <c:pt idx="2">
                  <c:v>0.20671200000000001</c:v>
                </c:pt>
                <c:pt idx="3">
                  <c:v>0.18221499999999999</c:v>
                </c:pt>
                <c:pt idx="4">
                  <c:v>0.15271599999999999</c:v>
                </c:pt>
                <c:pt idx="5">
                  <c:v>0.20885100000000001</c:v>
                </c:pt>
                <c:pt idx="6">
                  <c:v>0.142926</c:v>
                </c:pt>
                <c:pt idx="7">
                  <c:v>0.16367599999999999</c:v>
                </c:pt>
                <c:pt idx="8">
                  <c:v>0.13645099999999999</c:v>
                </c:pt>
                <c:pt idx="9">
                  <c:v>0.14264199999999999</c:v>
                </c:pt>
                <c:pt idx="10">
                  <c:v>0.172709</c:v>
                </c:pt>
                <c:pt idx="11">
                  <c:v>0.12761500000000001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'32_g'!$AY$20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'32_g'!$AZ$16:$BK$16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'32_g'!$AZ$20:$BK$20</c:f>
              <c:numCache>
                <c:formatCode>#,##0.000_ ;\-#,##0.000\ </c:formatCode>
                <c:ptCount val="12"/>
                <c:pt idx="0">
                  <c:v>0.16618607999999996</c:v>
                </c:pt>
                <c:pt idx="1">
                  <c:v>0.17986292999999992</c:v>
                </c:pt>
                <c:pt idx="2">
                  <c:v>0.193773</c:v>
                </c:pt>
                <c:pt idx="3">
                  <c:v>0.16486193000000005</c:v>
                </c:pt>
                <c:pt idx="4">
                  <c:v>0.103204</c:v>
                </c:pt>
                <c:pt idx="5">
                  <c:v>0.211697</c:v>
                </c:pt>
                <c:pt idx="6">
                  <c:v>7.2049270000000012E-2</c:v>
                </c:pt>
                <c:pt idx="7">
                  <c:v>0.13653399999999999</c:v>
                </c:pt>
                <c:pt idx="8">
                  <c:v>9.1538999999999995E-2</c:v>
                </c:pt>
                <c:pt idx="9">
                  <c:v>0.15101500000000001</c:v>
                </c:pt>
                <c:pt idx="10">
                  <c:v>0.15978764000000001</c:v>
                </c:pt>
                <c:pt idx="11">
                  <c:v>0.118115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31488"/>
        <c:axId val="277579456"/>
      </c:lineChart>
      <c:catAx>
        <c:axId val="27763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579456"/>
        <c:crosses val="autoZero"/>
        <c:auto val="1"/>
        <c:lblAlgn val="ctr"/>
        <c:lblOffset val="100"/>
        <c:noMultiLvlLbl val="0"/>
      </c:catAx>
      <c:valAx>
        <c:axId val="2775794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97385857971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6314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52039483"/>
          <c:y val="2.2161373086791118E-2"/>
          <c:w val="0.3530097147960517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'32_g'!$AY$39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'32_g'!$AZ$37:$BO$37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'32_g'!$AZ$39:$BO$39</c:f>
              <c:numCache>
                <c:formatCode>_(* #,##0.00_);_(* \(#,##0.00\);_(* "-"??_);_(@_)</c:formatCode>
                <c:ptCount val="16"/>
                <c:pt idx="0">
                  <c:v>19.490123292158646</c:v>
                </c:pt>
                <c:pt idx="1">
                  <c:v>15.580051216947746</c:v>
                </c:pt>
                <c:pt idx="2">
                  <c:v>24.906274920109269</c:v>
                </c:pt>
                <c:pt idx="3">
                  <c:v>20.062776317871755</c:v>
                </c:pt>
                <c:pt idx="4">
                  <c:v>21.909560346498829</c:v>
                </c:pt>
                <c:pt idx="5">
                  <c:v>21.236941735594094</c:v>
                </c:pt>
                <c:pt idx="6">
                  <c:v>26.919491613385372</c:v>
                </c:pt>
                <c:pt idx="7">
                  <c:v>21.79637800436927</c:v>
                </c:pt>
                <c:pt idx="8">
                  <c:v>18.531699935465209</c:v>
                </c:pt>
                <c:pt idx="9">
                  <c:v>16.691226720619905</c:v>
                </c:pt>
                <c:pt idx="10">
                  <c:v>14.363082597054518</c:v>
                </c:pt>
                <c:pt idx="11">
                  <c:v>20.018495535967393</c:v>
                </c:pt>
                <c:pt idx="12">
                  <c:v>14.95911303132686</c:v>
                </c:pt>
                <c:pt idx="13">
                  <c:v>26.884006540722961</c:v>
                </c:pt>
                <c:pt idx="14">
                  <c:v>17.227494007131003</c:v>
                </c:pt>
                <c:pt idx="15">
                  <c:v>19.935358169365326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'32_g'!$AY$40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'32_g'!$AZ$37:$BO$37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'32_g'!$AZ$40:$BO$40</c:f>
              <c:numCache>
                <c:formatCode>_(* #,##0.00_);_(* \(#,##0.00\);_(* "-"??_);_(@_)</c:formatCode>
                <c:ptCount val="1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'32_g'!$AY$41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'32_g'!$AZ$37:$BO$37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'32_g'!$AZ$41:$BO$41</c:f>
              <c:numCache>
                <c:formatCode>_(* #,##0.00_);_(* \(#,##0.00\);_(* "-"??_);_(@_)</c:formatCode>
                <c:ptCount val="16"/>
                <c:pt idx="0">
                  <c:v>22.393031976748098</c:v>
                </c:pt>
                <c:pt idx="1">
                  <c:v>23.014988609455266</c:v>
                </c:pt>
                <c:pt idx="2">
                  <c:v>24.039227362387884</c:v>
                </c:pt>
                <c:pt idx="3">
                  <c:v>23.171245888081746</c:v>
                </c:pt>
                <c:pt idx="4">
                  <c:v>20.992711096677542</c:v>
                </c:pt>
                <c:pt idx="5">
                  <c:v>14.462646617805744</c:v>
                </c:pt>
                <c:pt idx="6">
                  <c:v>26.689957146693459</c:v>
                </c:pt>
                <c:pt idx="7">
                  <c:v>22.060358239372547</c:v>
                </c:pt>
                <c:pt idx="8">
                  <c:v>9.8098557031171296</c:v>
                </c:pt>
                <c:pt idx="9">
                  <c:v>17.9565179079882</c:v>
                </c:pt>
                <c:pt idx="10">
                  <c:v>12.492459952453347</c:v>
                </c:pt>
                <c:pt idx="11">
                  <c:v>19.267576816256959</c:v>
                </c:pt>
                <c:pt idx="12">
                  <c:v>19.593558381706881</c:v>
                </c:pt>
                <c:pt idx="13">
                  <c:v>20.34733732331593</c:v>
                </c:pt>
                <c:pt idx="14">
                  <c:v>15.336284208489847</c:v>
                </c:pt>
                <c:pt idx="15">
                  <c:v>19.057391625480243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32000"/>
        <c:axId val="277581760"/>
      </c:lineChart>
      <c:catAx>
        <c:axId val="2776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581760"/>
        <c:crosses val="autoZero"/>
        <c:auto val="1"/>
        <c:lblAlgn val="ctr"/>
        <c:lblOffset val="100"/>
        <c:noMultiLvlLbl val="0"/>
      </c:catAx>
      <c:valAx>
        <c:axId val="2775817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38852712614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6320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9002957676"/>
          <c:y val="2.2161373086791118E-2"/>
          <c:w val="0.2830308149197613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'32_g'!$A$64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'32_g'!$B$62:$M$62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'32_g'!$B$64:$M$64</c:f>
              <c:numCache>
                <c:formatCode>#,##0.00_ ;\-#,##0.00\ </c:formatCode>
                <c:ptCount val="12"/>
                <c:pt idx="0">
                  <c:v>11.853536809999998</c:v>
                </c:pt>
                <c:pt idx="1">
                  <c:v>12.21297627</c:v>
                </c:pt>
                <c:pt idx="2">
                  <c:v>11.520040490000001</c:v>
                </c:pt>
                <c:pt idx="3">
                  <c:v>12.350906009999997</c:v>
                </c:pt>
                <c:pt idx="4">
                  <c:v>12.29662491</c:v>
                </c:pt>
                <c:pt idx="5">
                  <c:v>11.740008920000001</c:v>
                </c:pt>
                <c:pt idx="6">
                  <c:v>13.55899267</c:v>
                </c:pt>
                <c:pt idx="7">
                  <c:v>13.208351240000002</c:v>
                </c:pt>
                <c:pt idx="8">
                  <c:v>13.48645711</c:v>
                </c:pt>
                <c:pt idx="9">
                  <c:v>13.334589790000001</c:v>
                </c:pt>
                <c:pt idx="10">
                  <c:v>11.47105269</c:v>
                </c:pt>
                <c:pt idx="11">
                  <c:v>13.222121710000001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'32_g'!$A$65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'32_g'!$B$62:$M$62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'32_g'!$B$65:$M$65</c:f>
              <c:numCache>
                <c:formatCode>#,##0.00_ ;\-#,##0.00\ </c:formatCode>
                <c:ptCount val="12"/>
                <c:pt idx="0">
                  <c:v>13.350443</c:v>
                </c:pt>
                <c:pt idx="1">
                  <c:v>13.254683999999999</c:v>
                </c:pt>
                <c:pt idx="2">
                  <c:v>13.021140000000001</c:v>
                </c:pt>
                <c:pt idx="3">
                  <c:v>14.106705</c:v>
                </c:pt>
                <c:pt idx="4">
                  <c:v>13.434366000000001</c:v>
                </c:pt>
                <c:pt idx="5">
                  <c:v>12.975846000000001</c:v>
                </c:pt>
                <c:pt idx="6">
                  <c:v>14.267351</c:v>
                </c:pt>
                <c:pt idx="7">
                  <c:v>14.186472999999999</c:v>
                </c:pt>
                <c:pt idx="8">
                  <c:v>14.504638</c:v>
                </c:pt>
                <c:pt idx="9">
                  <c:v>14.526795</c:v>
                </c:pt>
                <c:pt idx="10">
                  <c:v>13.433007</c:v>
                </c:pt>
                <c:pt idx="11">
                  <c:v>14.170565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'32_g'!$A$66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'32_g'!$B$62:$M$62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'32_g'!$B$66:$M$66</c:f>
              <c:numCache>
                <c:formatCode>#,##0.00_ ;\-#,##0.00\ </c:formatCode>
                <c:ptCount val="12"/>
                <c:pt idx="0">
                  <c:v>11.91824113</c:v>
                </c:pt>
                <c:pt idx="1">
                  <c:v>12.952982430000002</c:v>
                </c:pt>
                <c:pt idx="2">
                  <c:v>12.78155844</c:v>
                </c:pt>
                <c:pt idx="3">
                  <c:v>13.18934812</c:v>
                </c:pt>
                <c:pt idx="4">
                  <c:v>12.777997339999999</c:v>
                </c:pt>
                <c:pt idx="5">
                  <c:v>12.1493269</c:v>
                </c:pt>
                <c:pt idx="6">
                  <c:v>13.75972515</c:v>
                </c:pt>
                <c:pt idx="7">
                  <c:v>12.969646769999999</c:v>
                </c:pt>
                <c:pt idx="8">
                  <c:v>13.51408309</c:v>
                </c:pt>
                <c:pt idx="9">
                  <c:v>12.846805659999999</c:v>
                </c:pt>
                <c:pt idx="10">
                  <c:v>13.05338409</c:v>
                </c:pt>
                <c:pt idx="11">
                  <c:v>13.566393340000001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32512"/>
        <c:axId val="277584064"/>
      </c:lineChart>
      <c:catAx>
        <c:axId val="27763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584064"/>
        <c:crosses val="autoZero"/>
        <c:auto val="1"/>
        <c:lblAlgn val="ctr"/>
        <c:lblOffset val="100"/>
        <c:noMultiLvlLbl val="0"/>
      </c:catAx>
      <c:valAx>
        <c:axId val="2775840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6325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'32_g'!$B$85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'32_g'!$C$85:$N$85</c:f>
              <c:numCache>
                <c:formatCode>#,##0.00_ ;\-#,##0.00\ </c:formatCode>
                <c:ptCount val="12"/>
                <c:pt idx="0">
                  <c:v>11.853536809999998</c:v>
                </c:pt>
                <c:pt idx="1">
                  <c:v>24.06651308</c:v>
                </c:pt>
                <c:pt idx="2">
                  <c:v>35.58655357</c:v>
                </c:pt>
                <c:pt idx="3">
                  <c:v>47.937459579999995</c:v>
                </c:pt>
                <c:pt idx="4">
                  <c:v>60.234084489999994</c:v>
                </c:pt>
                <c:pt idx="5">
                  <c:v>71.974093409999995</c:v>
                </c:pt>
                <c:pt idx="6">
                  <c:v>85.53308607999999</c:v>
                </c:pt>
                <c:pt idx="7">
                  <c:v>98.741437319999989</c:v>
                </c:pt>
                <c:pt idx="8">
                  <c:v>112.22789442999999</c:v>
                </c:pt>
                <c:pt idx="9">
                  <c:v>125.56248421999999</c:v>
                </c:pt>
                <c:pt idx="10">
                  <c:v>137.03353690999998</c:v>
                </c:pt>
                <c:pt idx="11">
                  <c:v>150.25565861999999</c:v>
                </c:pt>
              </c:numCache>
            </c:numRef>
          </c:val>
        </c:ser>
        <c:ser>
          <c:idx val="0"/>
          <c:order val="2"/>
          <c:tx>
            <c:strRef>
              <c:f>'32_g'!$B$87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'32_g'!$C$87:$N$87</c:f>
              <c:numCache>
                <c:formatCode>#,##0.00_ ;\-#,##0.00\ </c:formatCode>
                <c:ptCount val="12"/>
                <c:pt idx="0">
                  <c:v>11.91824113</c:v>
                </c:pt>
                <c:pt idx="1">
                  <c:v>24.871223560000004</c:v>
                </c:pt>
                <c:pt idx="2">
                  <c:v>37.652782000000002</c:v>
                </c:pt>
                <c:pt idx="3">
                  <c:v>50.84213012</c:v>
                </c:pt>
                <c:pt idx="4">
                  <c:v>63.620127459999999</c:v>
                </c:pt>
                <c:pt idx="5">
                  <c:v>75.769454359999997</c:v>
                </c:pt>
                <c:pt idx="6">
                  <c:v>89.529179509999992</c:v>
                </c:pt>
                <c:pt idx="7">
                  <c:v>102.49882627999999</c:v>
                </c:pt>
                <c:pt idx="8">
                  <c:v>116.01290936999999</c:v>
                </c:pt>
                <c:pt idx="9">
                  <c:v>128.85971502999999</c:v>
                </c:pt>
                <c:pt idx="10">
                  <c:v>141.91309912</c:v>
                </c:pt>
                <c:pt idx="11">
                  <c:v>155.47949245999999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7633024"/>
        <c:axId val="277938752"/>
      </c:barChart>
      <c:lineChart>
        <c:grouping val="standard"/>
        <c:varyColors val="0"/>
        <c:ser>
          <c:idx val="3"/>
          <c:order val="1"/>
          <c:tx>
            <c:strRef>
              <c:f>'32_g'!$B$86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'32_g'!$C$83:$N$83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'32_g'!$C$86:$N$86</c:f>
              <c:numCache>
                <c:formatCode>#,##0.00_ ;\-#,##0.00\ </c:formatCode>
                <c:ptCount val="12"/>
                <c:pt idx="0">
                  <c:v>13.350443</c:v>
                </c:pt>
                <c:pt idx="1">
                  <c:v>26.605127</c:v>
                </c:pt>
                <c:pt idx="2">
                  <c:v>39.626266999999999</c:v>
                </c:pt>
                <c:pt idx="3">
                  <c:v>53.732971999999997</c:v>
                </c:pt>
                <c:pt idx="4">
                  <c:v>67.167338000000001</c:v>
                </c:pt>
                <c:pt idx="5">
                  <c:v>80.143184000000005</c:v>
                </c:pt>
                <c:pt idx="6">
                  <c:v>94.41053500000001</c:v>
                </c:pt>
                <c:pt idx="7">
                  <c:v>108.59700800000002</c:v>
                </c:pt>
                <c:pt idx="8">
                  <c:v>123.10164600000002</c:v>
                </c:pt>
                <c:pt idx="9">
                  <c:v>137.62844100000001</c:v>
                </c:pt>
                <c:pt idx="10">
                  <c:v>151.06144800000001</c:v>
                </c:pt>
                <c:pt idx="11">
                  <c:v>165.23201300000002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33024"/>
        <c:axId val="277938752"/>
      </c:lineChart>
      <c:catAx>
        <c:axId val="27763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938752"/>
        <c:crosses val="autoZero"/>
        <c:auto val="1"/>
        <c:lblAlgn val="ctr"/>
        <c:lblOffset val="100"/>
        <c:noMultiLvlLbl val="0"/>
      </c:catAx>
      <c:valAx>
        <c:axId val="2779387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6330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'32_g'!$S$64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'32_g'!$T$62:$AE$62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'32_g'!$T$64:$AE$64</c:f>
              <c:numCache>
                <c:formatCode>#,##0.00_ ;\-#,##0.00\ </c:formatCode>
                <c:ptCount val="12"/>
                <c:pt idx="0">
                  <c:v>4.0827699699999993</c:v>
                </c:pt>
                <c:pt idx="1">
                  <c:v>4.263639959999999</c:v>
                </c:pt>
                <c:pt idx="2">
                  <c:v>4.6912270400000011</c:v>
                </c:pt>
                <c:pt idx="3">
                  <c:v>5.927308319999999</c:v>
                </c:pt>
                <c:pt idx="4">
                  <c:v>2.4060215400000002</c:v>
                </c:pt>
                <c:pt idx="5">
                  <c:v>4.2817505100000011</c:v>
                </c:pt>
                <c:pt idx="6">
                  <c:v>4.1916347900000002</c:v>
                </c:pt>
                <c:pt idx="7">
                  <c:v>4.5707003199999994</c:v>
                </c:pt>
                <c:pt idx="8">
                  <c:v>4.44689304</c:v>
                </c:pt>
                <c:pt idx="9">
                  <c:v>4.082046870000001</c:v>
                </c:pt>
                <c:pt idx="10">
                  <c:v>4.1904450499999992</c:v>
                </c:pt>
                <c:pt idx="11">
                  <c:v>4.9471640499999996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'32_g'!$S$65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'32_g'!$T$62:$AE$62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'32_g'!$T$65:$AE$65</c:f>
              <c:numCache>
                <c:formatCode>#,##0.00_ ;\-#,##0.00\ </c:formatCode>
                <c:ptCount val="12"/>
                <c:pt idx="0">
                  <c:v>3.0067560000000002</c:v>
                </c:pt>
                <c:pt idx="1">
                  <c:v>2.784735</c:v>
                </c:pt>
                <c:pt idx="2">
                  <c:v>2.5326360000000001</c:v>
                </c:pt>
                <c:pt idx="3">
                  <c:v>2.863127</c:v>
                </c:pt>
                <c:pt idx="4">
                  <c:v>2.7778040000000002</c:v>
                </c:pt>
                <c:pt idx="5">
                  <c:v>2.9297680000000001</c:v>
                </c:pt>
                <c:pt idx="6">
                  <c:v>2.7095509999999998</c:v>
                </c:pt>
                <c:pt idx="7">
                  <c:v>2.854095</c:v>
                </c:pt>
                <c:pt idx="8">
                  <c:v>3.0391659999999998</c:v>
                </c:pt>
                <c:pt idx="9">
                  <c:v>2.8766340000000001</c:v>
                </c:pt>
                <c:pt idx="10">
                  <c:v>3.0316100000000001</c:v>
                </c:pt>
                <c:pt idx="11">
                  <c:v>3.2521100000000001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'32_g'!$S$66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'32_g'!$T$62:$AE$62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'32_g'!$T$66:$AE$66</c:f>
              <c:numCache>
                <c:formatCode>#,##0.00_ ;\-#,##0.00\ </c:formatCode>
                <c:ptCount val="12"/>
                <c:pt idx="0">
                  <c:v>2.5183357499999999</c:v>
                </c:pt>
                <c:pt idx="1">
                  <c:v>2.7735007400000002</c:v>
                </c:pt>
                <c:pt idx="2">
                  <c:v>3.0148230599999999</c:v>
                </c:pt>
                <c:pt idx="3">
                  <c:v>3.5801809500000004</c:v>
                </c:pt>
                <c:pt idx="4">
                  <c:v>3.5964437299999998</c:v>
                </c:pt>
                <c:pt idx="5">
                  <c:v>4.0386030199999992</c:v>
                </c:pt>
                <c:pt idx="6">
                  <c:v>3.6452180100000002</c:v>
                </c:pt>
                <c:pt idx="7">
                  <c:v>4.2221953999999995</c:v>
                </c:pt>
                <c:pt idx="8">
                  <c:v>4.4399017800000005</c:v>
                </c:pt>
                <c:pt idx="9">
                  <c:v>4.423341699999999</c:v>
                </c:pt>
                <c:pt idx="10">
                  <c:v>4.5227748399999994</c:v>
                </c:pt>
                <c:pt idx="11">
                  <c:v>4.5252518200000003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41312"/>
        <c:axId val="277941056"/>
      </c:lineChart>
      <c:catAx>
        <c:axId val="27694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941056"/>
        <c:crosses val="autoZero"/>
        <c:auto val="1"/>
        <c:lblAlgn val="ctr"/>
        <c:lblOffset val="100"/>
        <c:noMultiLvlLbl val="0"/>
      </c:catAx>
      <c:valAx>
        <c:axId val="2779410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9413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('12'!$A$9,'12'!$A$13,'12'!$A$17)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('12'!$J$9,'12'!$J$13,'12'!$J$17)</c:f>
              <c:numCache>
                <c:formatCode>_(* #,##0.00_);_(* \(#,##0.00\);_(* "-"??_);_(@_)</c:formatCode>
                <c:ptCount val="3"/>
                <c:pt idx="0">
                  <c:v>5.4244572900000003</c:v>
                </c:pt>
                <c:pt idx="1">
                  <c:v>3.2122278999999998</c:v>
                </c:pt>
                <c:pt idx="2">
                  <c:v>1.4670675500000001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'32_g'!$T$85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'32_g'!$U$85:$AF$85</c:f>
              <c:numCache>
                <c:formatCode>#,##0.00_ ;\-#,##0.00\ </c:formatCode>
                <c:ptCount val="12"/>
                <c:pt idx="0">
                  <c:v>4.0827699699999993</c:v>
                </c:pt>
                <c:pt idx="1">
                  <c:v>8.3464099299999983</c:v>
                </c:pt>
                <c:pt idx="2">
                  <c:v>13.037636969999999</c:v>
                </c:pt>
                <c:pt idx="3">
                  <c:v>18.964945289999999</c:v>
                </c:pt>
                <c:pt idx="4">
                  <c:v>21.37096683</c:v>
                </c:pt>
                <c:pt idx="5">
                  <c:v>25.652717340000002</c:v>
                </c:pt>
                <c:pt idx="6">
                  <c:v>29.844352130000004</c:v>
                </c:pt>
                <c:pt idx="7">
                  <c:v>34.415052450000005</c:v>
                </c:pt>
                <c:pt idx="8">
                  <c:v>38.861945490000004</c:v>
                </c:pt>
                <c:pt idx="9">
                  <c:v>42.943992360000003</c:v>
                </c:pt>
                <c:pt idx="10">
                  <c:v>47.134437410000004</c:v>
                </c:pt>
                <c:pt idx="11">
                  <c:v>52.081601460000002</c:v>
                </c:pt>
              </c:numCache>
            </c:numRef>
          </c:val>
        </c:ser>
        <c:ser>
          <c:idx val="0"/>
          <c:order val="2"/>
          <c:tx>
            <c:strRef>
              <c:f>'32_g'!$T$87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'32_g'!$U$87:$AF$87</c:f>
              <c:numCache>
                <c:formatCode>#,##0.00_ ;\-#,##0.00\ </c:formatCode>
                <c:ptCount val="12"/>
                <c:pt idx="0">
                  <c:v>2.5183357499999999</c:v>
                </c:pt>
                <c:pt idx="1">
                  <c:v>5.2918364899999997</c:v>
                </c:pt>
                <c:pt idx="2">
                  <c:v>8.3066595499999991</c:v>
                </c:pt>
                <c:pt idx="3">
                  <c:v>11.8868405</c:v>
                </c:pt>
                <c:pt idx="4">
                  <c:v>15.483284229999999</c:v>
                </c:pt>
                <c:pt idx="5">
                  <c:v>19.521887249999999</c:v>
                </c:pt>
                <c:pt idx="6">
                  <c:v>23.16710526</c:v>
                </c:pt>
                <c:pt idx="7">
                  <c:v>27.38930066</c:v>
                </c:pt>
                <c:pt idx="8">
                  <c:v>31.82920244</c:v>
                </c:pt>
                <c:pt idx="9">
                  <c:v>36.252544139999998</c:v>
                </c:pt>
                <c:pt idx="10">
                  <c:v>40.775318979999994</c:v>
                </c:pt>
                <c:pt idx="11">
                  <c:v>45.300570799999996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7634048"/>
        <c:axId val="277943360"/>
      </c:barChart>
      <c:lineChart>
        <c:grouping val="standard"/>
        <c:varyColors val="0"/>
        <c:ser>
          <c:idx val="3"/>
          <c:order val="1"/>
          <c:tx>
            <c:strRef>
              <c:f>'32_g'!$T$86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'32_g'!$U$83:$AF$83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'32_g'!$U$86:$AF$86</c:f>
              <c:numCache>
                <c:formatCode>#,##0.00_ ;\-#,##0.00\ </c:formatCode>
                <c:ptCount val="12"/>
                <c:pt idx="0">
                  <c:v>3.0067560000000002</c:v>
                </c:pt>
                <c:pt idx="1">
                  <c:v>5.7914910000000006</c:v>
                </c:pt>
                <c:pt idx="2">
                  <c:v>8.3241270000000007</c:v>
                </c:pt>
                <c:pt idx="3">
                  <c:v>11.187254000000001</c:v>
                </c:pt>
                <c:pt idx="4">
                  <c:v>13.965058000000001</c:v>
                </c:pt>
                <c:pt idx="5">
                  <c:v>16.894826000000002</c:v>
                </c:pt>
                <c:pt idx="6">
                  <c:v>19.604377000000003</c:v>
                </c:pt>
                <c:pt idx="7">
                  <c:v>22.458472000000004</c:v>
                </c:pt>
                <c:pt idx="8">
                  <c:v>25.497638000000002</c:v>
                </c:pt>
                <c:pt idx="9">
                  <c:v>28.374272000000001</c:v>
                </c:pt>
                <c:pt idx="10">
                  <c:v>31.405882000000002</c:v>
                </c:pt>
                <c:pt idx="11">
                  <c:v>34.657992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34048"/>
        <c:axId val="277943360"/>
      </c:lineChart>
      <c:catAx>
        <c:axId val="2776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943360"/>
        <c:crosses val="autoZero"/>
        <c:auto val="1"/>
        <c:lblAlgn val="ctr"/>
        <c:lblOffset val="100"/>
        <c:noMultiLvlLbl val="0"/>
      </c:catAx>
      <c:valAx>
        <c:axId val="2779433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6340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'32_g'!$AI$64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'32_g'!$AJ$62:$AU$62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'32_g'!$AJ$64:$AU$64</c:f>
              <c:numCache>
                <c:formatCode>#,##0.00_ ;\-#,##0.00\ </c:formatCode>
                <c:ptCount val="12"/>
                <c:pt idx="0">
                  <c:v>7.7707668399999985</c:v>
                </c:pt>
                <c:pt idx="1">
                  <c:v>7.9493363100000014</c:v>
                </c:pt>
                <c:pt idx="2">
                  <c:v>6.8288134500000002</c:v>
                </c:pt>
                <c:pt idx="3">
                  <c:v>6.4235976899999985</c:v>
                </c:pt>
                <c:pt idx="4">
                  <c:v>9.8906033700000009</c:v>
                </c:pt>
                <c:pt idx="5">
                  <c:v>7.45825841</c:v>
                </c:pt>
                <c:pt idx="6">
                  <c:v>9.3673578800000001</c:v>
                </c:pt>
                <c:pt idx="7">
                  <c:v>8.6376509200000022</c:v>
                </c:pt>
                <c:pt idx="8">
                  <c:v>9.0395640700000008</c:v>
                </c:pt>
                <c:pt idx="9">
                  <c:v>9.2525429199999998</c:v>
                </c:pt>
                <c:pt idx="10">
                  <c:v>7.2806076400000013</c:v>
                </c:pt>
                <c:pt idx="11">
                  <c:v>8.2749576600000019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'32_g'!$AI$65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'32_g'!$AJ$62:$AU$62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'32_g'!$AJ$65:$AU$65</c:f>
              <c:numCache>
                <c:formatCode>#,##0.00_ ;\-#,##0.00\ </c:formatCode>
                <c:ptCount val="12"/>
                <c:pt idx="0">
                  <c:v>10.343686999999999</c:v>
                </c:pt>
                <c:pt idx="1">
                  <c:v>10.469949</c:v>
                </c:pt>
                <c:pt idx="2">
                  <c:v>10.488504000000001</c:v>
                </c:pt>
                <c:pt idx="3">
                  <c:v>11.243577999999999</c:v>
                </c:pt>
                <c:pt idx="4">
                  <c:v>10.656562000000001</c:v>
                </c:pt>
                <c:pt idx="5">
                  <c:v>10.046078000000001</c:v>
                </c:pt>
                <c:pt idx="6">
                  <c:v>11.5578</c:v>
                </c:pt>
                <c:pt idx="7">
                  <c:v>11.332377999999999</c:v>
                </c:pt>
                <c:pt idx="8">
                  <c:v>11.465472</c:v>
                </c:pt>
                <c:pt idx="9">
                  <c:v>11.650161000000001</c:v>
                </c:pt>
                <c:pt idx="10">
                  <c:v>10.401396999999999</c:v>
                </c:pt>
                <c:pt idx="11">
                  <c:v>10.918455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'32_g'!$AI$66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'32_g'!$AJ$62:$AU$62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'32_g'!$AJ$66:$AU$66</c:f>
              <c:numCache>
                <c:formatCode>#,##0.00_ ;\-#,##0.00\ </c:formatCode>
                <c:ptCount val="12"/>
                <c:pt idx="0">
                  <c:v>9.3999053799999999</c:v>
                </c:pt>
                <c:pt idx="1">
                  <c:v>10.179481690000003</c:v>
                </c:pt>
                <c:pt idx="2">
                  <c:v>9.7667353800000001</c:v>
                </c:pt>
                <c:pt idx="3">
                  <c:v>9.6091671699999992</c:v>
                </c:pt>
                <c:pt idx="4">
                  <c:v>9.1815536099999981</c:v>
                </c:pt>
                <c:pt idx="5">
                  <c:v>8.1107238800000019</c:v>
                </c:pt>
                <c:pt idx="6">
                  <c:v>10.114507139999999</c:v>
                </c:pt>
                <c:pt idx="7">
                  <c:v>8.7474513700000003</c:v>
                </c:pt>
                <c:pt idx="8">
                  <c:v>9.0741813100000002</c:v>
                </c:pt>
                <c:pt idx="9">
                  <c:v>8.4234639599999994</c:v>
                </c:pt>
                <c:pt idx="10">
                  <c:v>8.5306092500000013</c:v>
                </c:pt>
                <c:pt idx="11">
                  <c:v>9.04114152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34560"/>
        <c:axId val="277945664"/>
      </c:lineChart>
      <c:catAx>
        <c:axId val="27763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945664"/>
        <c:crosses val="autoZero"/>
        <c:auto val="1"/>
        <c:lblAlgn val="ctr"/>
        <c:lblOffset val="100"/>
        <c:noMultiLvlLbl val="0"/>
      </c:catAx>
      <c:valAx>
        <c:axId val="2779456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51260839232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6345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75699451068"/>
          <c:y val="2.2161373086791118E-2"/>
          <c:w val="0.4542922430054893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'32_g'!$AJ$85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'32_g'!$AK$85:$AV$85</c:f>
              <c:numCache>
                <c:formatCode>#,##0.00_ ;\-#,##0.00\ </c:formatCode>
                <c:ptCount val="12"/>
                <c:pt idx="0">
                  <c:v>7.7707668399999985</c:v>
                </c:pt>
                <c:pt idx="1">
                  <c:v>15.72010315</c:v>
                </c:pt>
                <c:pt idx="2">
                  <c:v>22.548916599999998</c:v>
                </c:pt>
                <c:pt idx="3">
                  <c:v>28.972514289999996</c:v>
                </c:pt>
                <c:pt idx="4">
                  <c:v>38.86311766</c:v>
                </c:pt>
                <c:pt idx="5">
                  <c:v>46.321376069999999</c:v>
                </c:pt>
                <c:pt idx="6">
                  <c:v>55.68873395</c:v>
                </c:pt>
                <c:pt idx="7">
                  <c:v>64.326384869999998</c:v>
                </c:pt>
                <c:pt idx="8">
                  <c:v>73.365948939999996</c:v>
                </c:pt>
                <c:pt idx="9">
                  <c:v>82.618491859999992</c:v>
                </c:pt>
                <c:pt idx="10">
                  <c:v>89.899099499999991</c:v>
                </c:pt>
                <c:pt idx="11">
                  <c:v>98.17405715999999</c:v>
                </c:pt>
              </c:numCache>
            </c:numRef>
          </c:val>
        </c:ser>
        <c:ser>
          <c:idx val="0"/>
          <c:order val="2"/>
          <c:tx>
            <c:strRef>
              <c:f>'32_g'!$AJ$87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'32_g'!$AK$83:$AV$83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'32_g'!$AK$87:$AV$87</c:f>
              <c:numCache>
                <c:formatCode>#,##0.00_ ;\-#,##0.00\ </c:formatCode>
                <c:ptCount val="12"/>
                <c:pt idx="0">
                  <c:v>9.3999053799999999</c:v>
                </c:pt>
                <c:pt idx="1">
                  <c:v>19.579387070000003</c:v>
                </c:pt>
                <c:pt idx="2">
                  <c:v>29.346122450000003</c:v>
                </c:pt>
                <c:pt idx="3">
                  <c:v>38.955289620000002</c:v>
                </c:pt>
                <c:pt idx="4">
                  <c:v>48.136843229999997</c:v>
                </c:pt>
                <c:pt idx="5">
                  <c:v>56.247567109999999</c:v>
                </c:pt>
                <c:pt idx="6">
                  <c:v>66.362074249999992</c:v>
                </c:pt>
                <c:pt idx="7">
                  <c:v>75.109525619999999</c:v>
                </c:pt>
                <c:pt idx="8">
                  <c:v>84.18370693</c:v>
                </c:pt>
                <c:pt idx="9">
                  <c:v>92.607170889999992</c:v>
                </c:pt>
                <c:pt idx="10">
                  <c:v>101.13778013999999</c:v>
                </c:pt>
                <c:pt idx="11">
                  <c:v>110.17892165999999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8077440"/>
        <c:axId val="262694592"/>
      </c:barChart>
      <c:lineChart>
        <c:grouping val="standard"/>
        <c:varyColors val="0"/>
        <c:ser>
          <c:idx val="3"/>
          <c:order val="1"/>
          <c:tx>
            <c:strRef>
              <c:f>'32_g'!$AJ$86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'32_g'!$AK$83:$AV$83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'32_g'!$AK$86:$AV$86</c:f>
              <c:numCache>
                <c:formatCode>#,##0.00_ ;\-#,##0.00\ </c:formatCode>
                <c:ptCount val="12"/>
                <c:pt idx="0">
                  <c:v>10.343686999999999</c:v>
                </c:pt>
                <c:pt idx="1">
                  <c:v>20.813635999999999</c:v>
                </c:pt>
                <c:pt idx="2">
                  <c:v>31.302140000000001</c:v>
                </c:pt>
                <c:pt idx="3">
                  <c:v>42.545718000000001</c:v>
                </c:pt>
                <c:pt idx="4">
                  <c:v>53.202280000000002</c:v>
                </c:pt>
                <c:pt idx="5">
                  <c:v>63.248358000000003</c:v>
                </c:pt>
                <c:pt idx="6">
                  <c:v>74.806158000000011</c:v>
                </c:pt>
                <c:pt idx="7">
                  <c:v>86.138536000000016</c:v>
                </c:pt>
                <c:pt idx="8">
                  <c:v>97.604008000000022</c:v>
                </c:pt>
                <c:pt idx="9">
                  <c:v>109.25416900000002</c:v>
                </c:pt>
                <c:pt idx="10">
                  <c:v>119.65556600000002</c:v>
                </c:pt>
                <c:pt idx="11">
                  <c:v>130.57402100000002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77440"/>
        <c:axId val="262694592"/>
      </c:lineChart>
      <c:catAx>
        <c:axId val="27807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62694592"/>
        <c:crosses val="autoZero"/>
        <c:auto val="1"/>
        <c:lblAlgn val="ctr"/>
        <c:lblOffset val="100"/>
        <c:noMultiLvlLbl val="0"/>
      </c:catAx>
      <c:valAx>
        <c:axId val="262694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51198697927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80774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32790803387"/>
          <c:y val="2.2161373086791118E-2"/>
          <c:w val="0.39103667209196613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'32_g'!$T$21:$U$21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'32_g'!$V$20:$AC$20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'32_g'!$V$21:$AC$21</c:f>
              <c:numCache>
                <c:formatCode>#,##0</c:formatCode>
                <c:ptCount val="8"/>
                <c:pt idx="0">
                  <c:v>402.20159070051994</c:v>
                </c:pt>
                <c:pt idx="1">
                  <c:v>312</c:v>
                </c:pt>
                <c:pt idx="2">
                  <c:v>803.93331293973677</c:v>
                </c:pt>
                <c:pt idx="3">
                  <c:v>668</c:v>
                </c:pt>
                <c:pt idx="4">
                  <c:v>1288.6739063933924</c:v>
                </c:pt>
                <c:pt idx="5">
                  <c:v>1090</c:v>
                </c:pt>
                <c:pt idx="6">
                  <c:v>1743.9999999999998</c:v>
                </c:pt>
                <c:pt idx="7">
                  <c:v>1398</c:v>
                </c:pt>
              </c:numCache>
            </c:numRef>
          </c:val>
        </c:ser>
        <c:ser>
          <c:idx val="0"/>
          <c:order val="1"/>
          <c:tx>
            <c:strRef>
              <c:f>'32_g'!$T$22:$U$22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'32_g'!$V$20:$AC$20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'32_g'!$V$22:$AC$22</c:f>
              <c:numCache>
                <c:formatCode>#,##0</c:formatCode>
                <c:ptCount val="8"/>
                <c:pt idx="0">
                  <c:v>27</c:v>
                </c:pt>
                <c:pt idx="1">
                  <c:v>96</c:v>
                </c:pt>
                <c:pt idx="2">
                  <c:v>53</c:v>
                </c:pt>
                <c:pt idx="3">
                  <c:v>192</c:v>
                </c:pt>
                <c:pt idx="4">
                  <c:v>98</c:v>
                </c:pt>
                <c:pt idx="5">
                  <c:v>217</c:v>
                </c:pt>
                <c:pt idx="6">
                  <c:v>178</c:v>
                </c:pt>
                <c:pt idx="7">
                  <c:v>224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78078976"/>
        <c:axId val="262696896"/>
      </c:barChart>
      <c:catAx>
        <c:axId val="27807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262696896"/>
        <c:crosses val="autoZero"/>
        <c:auto val="1"/>
        <c:lblAlgn val="ctr"/>
        <c:lblOffset val="100"/>
        <c:noMultiLvlLbl val="0"/>
      </c:catAx>
      <c:valAx>
        <c:axId val="262696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78078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('33'!$A$9,'33'!$A$13,'33'!$A$17)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('33'!$B$9,'33'!$B$13,'33'!$B$17)</c:f>
              <c:numCache>
                <c:formatCode>_-* #,##0_-;\-* #,##0_-;_-* "-"??_-;_-@_-</c:formatCode>
                <c:ptCount val="3"/>
                <c:pt idx="0">
                  <c:v>5854</c:v>
                </c:pt>
                <c:pt idx="1">
                  <c:v>881</c:v>
                </c:pt>
                <c:pt idx="2">
                  <c:v>234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('33'!$A$9,'33'!$A$13,'33'!$A$17)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('33'!$G$9,'33'!$G$13,'33'!$G$17)</c:f>
              <c:numCache>
                <c:formatCode>_-* #,##0_-;\-* #,##0_-;_-* "-"??_-;_-@_-</c:formatCode>
                <c:ptCount val="3"/>
                <c:pt idx="0">
                  <c:v>6369</c:v>
                </c:pt>
                <c:pt idx="1">
                  <c:v>882</c:v>
                </c:pt>
                <c:pt idx="2">
                  <c:v>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('33'!$A$9,'33'!$A$13,'33'!$A$17)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('33'!$C$9,'33'!$C$13,'33'!$C$17)</c:f>
              <c:numCache>
                <c:formatCode>_(* #,##0.00_);_(* \(#,##0.00\);_(* "-"??_);_(@_)</c:formatCode>
                <c:ptCount val="3"/>
                <c:pt idx="0">
                  <c:v>0.81140999999999996</c:v>
                </c:pt>
                <c:pt idx="1">
                  <c:v>0.24304700000000001</c:v>
                </c:pt>
                <c:pt idx="2">
                  <c:v>0.112958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('33'!$A$9,'33'!$A$13,'33'!$A$17)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('33'!$H$9,'33'!$H$13,'33'!$H$17)</c:f>
              <c:numCache>
                <c:formatCode>_(* #,##0.00_);_(* \(#,##0.00\);_(* "-"??_);_(@_)</c:formatCode>
                <c:ptCount val="3"/>
                <c:pt idx="0">
                  <c:v>0.84899599999999997</c:v>
                </c:pt>
                <c:pt idx="1">
                  <c:v>0.24176400000000001</c:v>
                </c:pt>
                <c:pt idx="2">
                  <c:v>9.7054000000000001E-2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('33'!$A$9,'33'!$A$13,'33'!$A$17)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('33'!$E$9,'33'!$E$13,'33'!$E$17)</c:f>
              <c:numCache>
                <c:formatCode>_(* #,##0.00_);_(* \(#,##0.00\);_(* "-"??_);_(@_)</c:formatCode>
                <c:ptCount val="3"/>
                <c:pt idx="0">
                  <c:v>10.740486630000001</c:v>
                </c:pt>
                <c:pt idx="1">
                  <c:v>5.0789437499999996</c:v>
                </c:pt>
                <c:pt idx="2">
                  <c:v>3.0702095500000004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79774507620997"/>
          <c:y val="0.17221860919262225"/>
          <c:w val="0.64583797205297921"/>
          <c:h val="8.2288570583967074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('33'!$A$9,'33'!$A$13,'33'!$A$17)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('33'!$J$9,'33'!$J$13,'33'!$J$17)</c:f>
              <c:numCache>
                <c:formatCode>_(* #,##0.00_);_(* \(#,##0.00\);_(* "-"??_);_(@_)</c:formatCode>
                <c:ptCount val="3"/>
                <c:pt idx="0">
                  <c:v>11.20897392</c:v>
                </c:pt>
                <c:pt idx="1">
                  <c:v>5.0340400000000001</c:v>
                </c:pt>
                <c:pt idx="2">
                  <c:v>2.6017523499999999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('12'!$A$9,'12'!$A$13,'12'!$A$17,'12'!$A$20)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('12'!$D$9,'12'!$D$13,'12'!$D$17,'12'!$D$20)</c:f>
              <c:numCache>
                <c:formatCode>_-* #,##0.000_-;\-* #,##0.000_-;_-* "-"??_-;_-@_-</c:formatCode>
                <c:ptCount val="4"/>
                <c:pt idx="0">
                  <c:v>0.47031267224823475</c:v>
                </c:pt>
                <c:pt idx="1">
                  <c:v>1.0508826079417375</c:v>
                </c:pt>
                <c:pt idx="2">
                  <c:v>1.2816210045662102</c:v>
                </c:pt>
                <c:pt idx="3">
                  <c:v>0.58390172804694496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('12'!$A$9,'12'!$A$13,'12'!$A$17,'12'!$A$20)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('12'!$I$9,'12'!$I$13,'12'!$I$17,'12'!$I$20)</c:f>
              <c:numCache>
                <c:formatCode>_-* #,##0.000_-;\-* #,##0.000_-;_-* "-"??_-;_-@_-</c:formatCode>
                <c:ptCount val="4"/>
                <c:pt idx="0">
                  <c:v>0.43954138887967542</c:v>
                </c:pt>
                <c:pt idx="1">
                  <c:v>1.0240078746616357</c:v>
                </c:pt>
                <c:pt idx="2">
                  <c:v>1.2598624722507987</c:v>
                </c:pt>
                <c:pt idx="3">
                  <c:v>0.5546258941279929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74217216"/>
        <c:axId val="171456704"/>
      </c:barChart>
      <c:catAx>
        <c:axId val="17421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1456704"/>
        <c:crosses val="autoZero"/>
        <c:auto val="1"/>
        <c:lblAlgn val="ctr"/>
        <c:lblOffset val="100"/>
        <c:noMultiLvlLbl val="0"/>
      </c:catAx>
      <c:valAx>
        <c:axId val="1714567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217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('33'!$A$9,'33'!$A$13,'33'!$A$17,'33'!$A$20)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('33'!$D$9,'33'!$D$13,'33'!$D$17,'33'!$D$20)</c:f>
              <c:numCache>
                <c:formatCode>_-* #,##0.000_-;\-* #,##0.000_-;_-* "-"??_-;_-@_-</c:formatCode>
                <c:ptCount val="4"/>
                <c:pt idx="0">
                  <c:v>0.39896645654888929</c:v>
                </c:pt>
                <c:pt idx="1">
                  <c:v>0.74275760377113442</c:v>
                </c:pt>
                <c:pt idx="2">
                  <c:v>1.3141145333449671</c:v>
                </c:pt>
                <c:pt idx="3">
                  <c:v>0.47708789681891001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('33'!$A$9,'33'!$A$13,'33'!$A$17,'33'!$A$20)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('33'!$I$9,'33'!$I$13,'33'!$I$17,'33'!$I$20)</c:f>
              <c:numCache>
                <c:formatCode>_-* #,##0.000_-;\-* #,##0.000_-;_-* "-"??_-;_-@_-</c:formatCode>
                <c:ptCount val="4"/>
                <c:pt idx="0">
                  <c:v>0.38059665194406683</c:v>
                </c:pt>
                <c:pt idx="1">
                  <c:v>0.75140910185782328</c:v>
                </c:pt>
                <c:pt idx="2">
                  <c:v>1.1662340783465512</c:v>
                </c:pt>
                <c:pt idx="3">
                  <c:v>0.45066956536585645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6792832"/>
        <c:axId val="276968512"/>
      </c:barChart>
      <c:catAx>
        <c:axId val="27679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968512"/>
        <c:crosses val="autoZero"/>
        <c:auto val="1"/>
        <c:lblAlgn val="ctr"/>
        <c:lblOffset val="100"/>
        <c:noMultiLvlLbl val="0"/>
      </c:catAx>
      <c:valAx>
        <c:axId val="276968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792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70430124805827"/>
          <c:y val="1.305774278215223E-3"/>
          <c:w val="9.8336922170442986E-2"/>
          <c:h val="0.1739180519101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('33'!$A$9,'33'!$A$13,'33'!$A$17,'33'!$A$20)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('33'!$F$9,'33'!$F$13,'33'!$F$17,'33'!$F$20)</c:f>
              <c:numCache>
                <c:formatCode>_(* #,##0.00_);_(* \(#,##0.00\);_(* "-"??_);_(@_)</c:formatCode>
                <c:ptCount val="4"/>
                <c:pt idx="0">
                  <c:v>13.236818168373574</c:v>
                </c:pt>
                <c:pt idx="1">
                  <c:v>20.896961287323027</c:v>
                </c:pt>
                <c:pt idx="2">
                  <c:v>27.180098355140853</c:v>
                </c:pt>
                <c:pt idx="3">
                  <c:v>16.180741150319299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('33'!$A$9,'33'!$A$13,'33'!$A$17,'33'!$A$20)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('33'!$K$9,'33'!$K$13,'33'!$K$17,'33'!$K$20)</c:f>
              <c:numCache>
                <c:formatCode>_(* #,##0.00_);_(* \(#,##0.00\);_(* "-"??_);_(@_)</c:formatCode>
                <c:ptCount val="4"/>
                <c:pt idx="0">
                  <c:v>13.202622768540724</c:v>
                </c:pt>
                <c:pt idx="1">
                  <c:v>20.822124054863419</c:v>
                </c:pt>
                <c:pt idx="2">
                  <c:v>26.807265542893646</c:v>
                </c:pt>
                <c:pt idx="3">
                  <c:v>15.865081797318437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77217792"/>
        <c:axId val="276970240"/>
      </c:barChart>
      <c:catAx>
        <c:axId val="2772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6970240"/>
        <c:crosses val="autoZero"/>
        <c:auto val="1"/>
        <c:lblAlgn val="ctr"/>
        <c:lblOffset val="100"/>
        <c:noMultiLvlLbl val="0"/>
      </c:catAx>
      <c:valAx>
        <c:axId val="2769702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7217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982076467245718"/>
          <c:y val="1.5194663167104112E-2"/>
          <c:w val="0.1035125145439294"/>
          <c:h val="0.1674343832020997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'33_g'!$A$18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'33_g'!$B$16:$M$16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'33_g'!$B$18:$M$18</c:f>
              <c:numCache>
                <c:formatCode>#,##0_ ;\-#,##0\ </c:formatCode>
                <c:ptCount val="12"/>
                <c:pt idx="0">
                  <c:v>26</c:v>
                </c:pt>
                <c:pt idx="1">
                  <c:v>40</c:v>
                </c:pt>
                <c:pt idx="2">
                  <c:v>17</c:v>
                </c:pt>
                <c:pt idx="3">
                  <c:v>30</c:v>
                </c:pt>
                <c:pt idx="4">
                  <c:v>97</c:v>
                </c:pt>
                <c:pt idx="5">
                  <c:v>110</c:v>
                </c:pt>
                <c:pt idx="6">
                  <c:v>46</c:v>
                </c:pt>
                <c:pt idx="7">
                  <c:v>40</c:v>
                </c:pt>
                <c:pt idx="8">
                  <c:v>66</c:v>
                </c:pt>
                <c:pt idx="9">
                  <c:v>57</c:v>
                </c:pt>
                <c:pt idx="10">
                  <c:v>30</c:v>
                </c:pt>
                <c:pt idx="11">
                  <c:v>50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'33_g'!$A$19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'33_g'!$B$16:$M$16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'33_g'!$B$19:$M$19</c:f>
              <c:numCache>
                <c:formatCode>#,##0_ ;\-#,##0\ </c:formatCode>
                <c:ptCount val="12"/>
                <c:pt idx="0">
                  <c:v>61.762087490406749</c:v>
                </c:pt>
                <c:pt idx="1">
                  <c:v>68.735226400613968</c:v>
                </c:pt>
                <c:pt idx="2">
                  <c:v>73.716039907904829</c:v>
                </c:pt>
                <c:pt idx="3">
                  <c:v>74.712202609363004</c:v>
                </c:pt>
                <c:pt idx="4">
                  <c:v>143.44742900997699</c:v>
                </c:pt>
                <c:pt idx="5">
                  <c:v>161.37835763622408</c:v>
                </c:pt>
                <c:pt idx="6">
                  <c:v>135.47812739831159</c:v>
                </c:pt>
                <c:pt idx="7">
                  <c:v>143.44742900997699</c:v>
                </c:pt>
                <c:pt idx="8">
                  <c:v>113.56254796623178</c:v>
                </c:pt>
                <c:pt idx="9">
                  <c:v>106.58940905602454</c:v>
                </c:pt>
                <c:pt idx="10">
                  <c:v>111.57022256331543</c:v>
                </c:pt>
                <c:pt idx="11">
                  <c:v>103.60092095165002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'33_g'!$A$20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'33_g'!$B$16:$M$16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'33_g'!$B$20:$M$20</c:f>
              <c:numCache>
                <c:formatCode>#,##0_ ;\-#,##0\ </c:formatCode>
                <c:ptCount val="12"/>
                <c:pt idx="0">
                  <c:v>89</c:v>
                </c:pt>
                <c:pt idx="1">
                  <c:v>30</c:v>
                </c:pt>
                <c:pt idx="2">
                  <c:v>63</c:v>
                </c:pt>
                <c:pt idx="3">
                  <c:v>16</c:v>
                </c:pt>
                <c:pt idx="4">
                  <c:v>39</c:v>
                </c:pt>
                <c:pt idx="5">
                  <c:v>24</c:v>
                </c:pt>
                <c:pt idx="6">
                  <c:v>42</c:v>
                </c:pt>
                <c:pt idx="7">
                  <c:v>51</c:v>
                </c:pt>
                <c:pt idx="8">
                  <c:v>80</c:v>
                </c:pt>
                <c:pt idx="9">
                  <c:v>33</c:v>
                </c:pt>
                <c:pt idx="10">
                  <c:v>59</c:v>
                </c:pt>
                <c:pt idx="11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76320"/>
        <c:axId val="251339328"/>
      </c:lineChart>
      <c:catAx>
        <c:axId val="25157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339328"/>
        <c:crosses val="autoZero"/>
        <c:auto val="1"/>
        <c:lblAlgn val="ctr"/>
        <c:lblOffset val="100"/>
        <c:noMultiLvlLbl val="0"/>
      </c:catAx>
      <c:valAx>
        <c:axId val="2513393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5763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'33_g'!$B$39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'33_g'!$C$39:$N$39</c:f>
              <c:numCache>
                <c:formatCode>#,##0_ ;\-#,##0\ </c:formatCode>
                <c:ptCount val="12"/>
                <c:pt idx="0">
                  <c:v>26</c:v>
                </c:pt>
                <c:pt idx="1">
                  <c:v>66</c:v>
                </c:pt>
                <c:pt idx="2">
                  <c:v>83</c:v>
                </c:pt>
                <c:pt idx="3">
                  <c:v>113</c:v>
                </c:pt>
                <c:pt idx="4">
                  <c:v>210</c:v>
                </c:pt>
                <c:pt idx="5">
                  <c:v>320</c:v>
                </c:pt>
                <c:pt idx="6">
                  <c:v>366</c:v>
                </c:pt>
                <c:pt idx="7">
                  <c:v>406</c:v>
                </c:pt>
                <c:pt idx="8">
                  <c:v>472</c:v>
                </c:pt>
                <c:pt idx="9">
                  <c:v>529</c:v>
                </c:pt>
                <c:pt idx="10">
                  <c:v>559</c:v>
                </c:pt>
                <c:pt idx="11">
                  <c:v>609</c:v>
                </c:pt>
              </c:numCache>
            </c:numRef>
          </c:val>
        </c:ser>
        <c:ser>
          <c:idx val="0"/>
          <c:order val="2"/>
          <c:tx>
            <c:strRef>
              <c:f>'33_g'!$B$41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'33_g'!$C$41:$N$41</c:f>
              <c:numCache>
                <c:formatCode>#,##0_ ;\-#,##0\ </c:formatCode>
                <c:ptCount val="12"/>
                <c:pt idx="0">
                  <c:v>89</c:v>
                </c:pt>
                <c:pt idx="1">
                  <c:v>119</c:v>
                </c:pt>
                <c:pt idx="2">
                  <c:v>182</c:v>
                </c:pt>
                <c:pt idx="3">
                  <c:v>198</c:v>
                </c:pt>
                <c:pt idx="4">
                  <c:v>237</c:v>
                </c:pt>
                <c:pt idx="5">
                  <c:v>261</c:v>
                </c:pt>
                <c:pt idx="6">
                  <c:v>303</c:v>
                </c:pt>
                <c:pt idx="7">
                  <c:v>354</c:v>
                </c:pt>
                <c:pt idx="8">
                  <c:v>434</c:v>
                </c:pt>
                <c:pt idx="9">
                  <c:v>467</c:v>
                </c:pt>
                <c:pt idx="10">
                  <c:v>526</c:v>
                </c:pt>
                <c:pt idx="11">
                  <c:v>552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1577856"/>
        <c:axId val="251341632"/>
      </c:barChart>
      <c:lineChart>
        <c:grouping val="standard"/>
        <c:varyColors val="0"/>
        <c:ser>
          <c:idx val="3"/>
          <c:order val="1"/>
          <c:tx>
            <c:strRef>
              <c:f>'33_g'!$B$40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'33_g'!$C$37:$N$37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'33_g'!$C$40:$N$40</c:f>
              <c:numCache>
                <c:formatCode>#,##0_ ;\-#,##0\ </c:formatCode>
                <c:ptCount val="12"/>
                <c:pt idx="0">
                  <c:v>61.762087490406749</c:v>
                </c:pt>
                <c:pt idx="1">
                  <c:v>130.49731389102072</c:v>
                </c:pt>
                <c:pt idx="2">
                  <c:v>204.21335379892554</c:v>
                </c:pt>
                <c:pt idx="3">
                  <c:v>278.92555640828857</c:v>
                </c:pt>
                <c:pt idx="4">
                  <c:v>422.37298541826556</c:v>
                </c:pt>
                <c:pt idx="5">
                  <c:v>583.75134305448967</c:v>
                </c:pt>
                <c:pt idx="6">
                  <c:v>719.22947045280125</c:v>
                </c:pt>
                <c:pt idx="7">
                  <c:v>862.67689946277824</c:v>
                </c:pt>
                <c:pt idx="8">
                  <c:v>976.23944742901006</c:v>
                </c:pt>
                <c:pt idx="9">
                  <c:v>1082.8288564850345</c:v>
                </c:pt>
                <c:pt idx="10">
                  <c:v>1194.3990790483499</c:v>
                </c:pt>
                <c:pt idx="11">
                  <c:v>1298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77856"/>
        <c:axId val="251341632"/>
      </c:lineChart>
      <c:catAx>
        <c:axId val="2515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341632"/>
        <c:crosses val="autoZero"/>
        <c:auto val="1"/>
        <c:lblAlgn val="ctr"/>
        <c:lblOffset val="100"/>
        <c:noMultiLvlLbl val="0"/>
      </c:catAx>
      <c:valAx>
        <c:axId val="2513416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5778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'33_g'!$AI$18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'33_g'!$AJ$16:$AU$16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'33_g'!$AJ$18:$AU$18</c:f>
              <c:numCache>
                <c:formatCode>#,##0.000_ ;\-#,##0.000\ </c:formatCode>
                <c:ptCount val="12"/>
                <c:pt idx="0">
                  <c:v>9.3025999999999998E-2</c:v>
                </c:pt>
                <c:pt idx="1">
                  <c:v>9.6432000000000004E-2</c:v>
                </c:pt>
                <c:pt idx="2">
                  <c:v>8.8274000000000005E-2</c:v>
                </c:pt>
                <c:pt idx="3">
                  <c:v>9.4953999999999997E-2</c:v>
                </c:pt>
                <c:pt idx="4">
                  <c:v>8.5816000000000003E-2</c:v>
                </c:pt>
                <c:pt idx="5">
                  <c:v>8.7987999999999997E-2</c:v>
                </c:pt>
                <c:pt idx="6">
                  <c:v>0.10863299999999999</c:v>
                </c:pt>
                <c:pt idx="7">
                  <c:v>0.114986</c:v>
                </c:pt>
                <c:pt idx="8">
                  <c:v>0.108</c:v>
                </c:pt>
                <c:pt idx="9">
                  <c:v>0.105002</c:v>
                </c:pt>
                <c:pt idx="10">
                  <c:v>9.1127E-2</c:v>
                </c:pt>
                <c:pt idx="11">
                  <c:v>9.3839000000000006E-2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'33_g'!$AI$19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'33_g'!$AJ$16:$AU$16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'33_g'!$AJ$19:$AU$19</c:f>
              <c:numCache>
                <c:formatCode>#,##0.000_ ;\-#,##0.000\ </c:formatCode>
                <c:ptCount val="12"/>
                <c:pt idx="0">
                  <c:v>0.10083499999999999</c:v>
                </c:pt>
                <c:pt idx="1">
                  <c:v>0.101149</c:v>
                </c:pt>
                <c:pt idx="2">
                  <c:v>9.6967999999999999E-2</c:v>
                </c:pt>
                <c:pt idx="3">
                  <c:v>0.10699699999999999</c:v>
                </c:pt>
                <c:pt idx="4">
                  <c:v>9.7180000000000002E-2</c:v>
                </c:pt>
                <c:pt idx="5">
                  <c:v>9.6234E-2</c:v>
                </c:pt>
                <c:pt idx="6">
                  <c:v>0.115202</c:v>
                </c:pt>
                <c:pt idx="7">
                  <c:v>0.12217600000000001</c:v>
                </c:pt>
                <c:pt idx="8">
                  <c:v>0.118102</c:v>
                </c:pt>
                <c:pt idx="9">
                  <c:v>0.112167</c:v>
                </c:pt>
                <c:pt idx="10">
                  <c:v>0.10825899999999999</c:v>
                </c:pt>
                <c:pt idx="11">
                  <c:v>0.10802200000000001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'33_g'!$AI$20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'33_g'!$AJ$16:$AU$16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'33_g'!$AJ$20:$AU$20</c:f>
              <c:numCache>
                <c:formatCode>#,##0.000_ ;\-#,##0.000\ </c:formatCode>
                <c:ptCount val="12"/>
                <c:pt idx="0">
                  <c:v>9.0923000000000004E-2</c:v>
                </c:pt>
                <c:pt idx="1">
                  <c:v>9.5256999999999994E-2</c:v>
                </c:pt>
                <c:pt idx="2">
                  <c:v>9.2602000000000004E-2</c:v>
                </c:pt>
                <c:pt idx="3">
                  <c:v>9.6878000000000006E-2</c:v>
                </c:pt>
                <c:pt idx="4">
                  <c:v>9.7046999999999994E-2</c:v>
                </c:pt>
                <c:pt idx="5">
                  <c:v>9.6651000000000001E-2</c:v>
                </c:pt>
                <c:pt idx="6">
                  <c:v>0.106488</c:v>
                </c:pt>
                <c:pt idx="7">
                  <c:v>0.109316</c:v>
                </c:pt>
                <c:pt idx="8">
                  <c:v>0.104301</c:v>
                </c:pt>
                <c:pt idx="9">
                  <c:v>9.7914000000000001E-2</c:v>
                </c:pt>
                <c:pt idx="10">
                  <c:v>9.9965999999999999E-2</c:v>
                </c:pt>
                <c:pt idx="11">
                  <c:v>0.100657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79904"/>
        <c:axId val="251343936"/>
      </c:lineChart>
      <c:catAx>
        <c:axId val="25157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343936"/>
        <c:crosses val="autoZero"/>
        <c:auto val="1"/>
        <c:lblAlgn val="ctr"/>
        <c:lblOffset val="100"/>
        <c:noMultiLvlLbl val="0"/>
      </c:catAx>
      <c:valAx>
        <c:axId val="2513439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730935457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5799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6355611133"/>
          <c:y val="2.2161373086791118E-2"/>
          <c:w val="0.3512889429593832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'33_g'!$AJ$39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'33_g'!$AK$39:$AV$39</c:f>
              <c:numCache>
                <c:formatCode>#,##0.000_ ;\-#,##0.000\ </c:formatCode>
                <c:ptCount val="12"/>
                <c:pt idx="0">
                  <c:v>9.3025999999999998E-2</c:v>
                </c:pt>
                <c:pt idx="1">
                  <c:v>0.18945800000000002</c:v>
                </c:pt>
                <c:pt idx="2">
                  <c:v>0.27773200000000003</c:v>
                </c:pt>
                <c:pt idx="3">
                  <c:v>0.37268600000000002</c:v>
                </c:pt>
                <c:pt idx="4">
                  <c:v>0.45850200000000002</c:v>
                </c:pt>
                <c:pt idx="5">
                  <c:v>0.54649000000000003</c:v>
                </c:pt>
                <c:pt idx="6">
                  <c:v>0.65512300000000001</c:v>
                </c:pt>
                <c:pt idx="7">
                  <c:v>0.77010900000000004</c:v>
                </c:pt>
                <c:pt idx="8">
                  <c:v>0.87810900000000003</c:v>
                </c:pt>
                <c:pt idx="9">
                  <c:v>0.98311100000000007</c:v>
                </c:pt>
                <c:pt idx="10">
                  <c:v>1.074238</c:v>
                </c:pt>
                <c:pt idx="11">
                  <c:v>1.168077</c:v>
                </c:pt>
              </c:numCache>
            </c:numRef>
          </c:val>
        </c:ser>
        <c:ser>
          <c:idx val="0"/>
          <c:order val="2"/>
          <c:tx>
            <c:strRef>
              <c:f>'33_g'!$AJ$41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'33_g'!$AK$41:$AV$41</c:f>
              <c:numCache>
                <c:formatCode>#,##0.000_ ;\-#,##0.000\ </c:formatCode>
                <c:ptCount val="12"/>
                <c:pt idx="0">
                  <c:v>9.0923000000000004E-2</c:v>
                </c:pt>
                <c:pt idx="1">
                  <c:v>0.18618000000000001</c:v>
                </c:pt>
                <c:pt idx="2">
                  <c:v>0.27878200000000003</c:v>
                </c:pt>
                <c:pt idx="3">
                  <c:v>0.37566000000000005</c:v>
                </c:pt>
                <c:pt idx="4">
                  <c:v>0.47270700000000004</c:v>
                </c:pt>
                <c:pt idx="5">
                  <c:v>0.56935800000000003</c:v>
                </c:pt>
                <c:pt idx="6">
                  <c:v>0.67584600000000006</c:v>
                </c:pt>
                <c:pt idx="7">
                  <c:v>0.78516200000000003</c:v>
                </c:pt>
                <c:pt idx="8">
                  <c:v>0.889463</c:v>
                </c:pt>
                <c:pt idx="9">
                  <c:v>0.98737699999999995</c:v>
                </c:pt>
                <c:pt idx="10">
                  <c:v>1.0873429999999999</c:v>
                </c:pt>
                <c:pt idx="11">
                  <c:v>1.1879999999999999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9248896"/>
        <c:axId val="251346240"/>
      </c:barChart>
      <c:lineChart>
        <c:grouping val="standard"/>
        <c:varyColors val="0"/>
        <c:ser>
          <c:idx val="3"/>
          <c:order val="1"/>
          <c:tx>
            <c:strRef>
              <c:f>'33_g'!$AJ$40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'33_g'!$AK$37:$AV$37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'33_g'!$AK$40:$AV$40</c:f>
              <c:numCache>
                <c:formatCode>#,##0.000_ ;\-#,##0.000\ </c:formatCode>
                <c:ptCount val="12"/>
                <c:pt idx="0">
                  <c:v>0.10083499999999999</c:v>
                </c:pt>
                <c:pt idx="1">
                  <c:v>0.201984</c:v>
                </c:pt>
                <c:pt idx="2">
                  <c:v>0.298952</c:v>
                </c:pt>
                <c:pt idx="3">
                  <c:v>0.405949</c:v>
                </c:pt>
                <c:pt idx="4">
                  <c:v>0.50312900000000005</c:v>
                </c:pt>
                <c:pt idx="5">
                  <c:v>0.59936300000000009</c:v>
                </c:pt>
                <c:pt idx="6">
                  <c:v>0.71456500000000012</c:v>
                </c:pt>
                <c:pt idx="7">
                  <c:v>0.83674100000000018</c:v>
                </c:pt>
                <c:pt idx="8">
                  <c:v>0.95484300000000022</c:v>
                </c:pt>
                <c:pt idx="9">
                  <c:v>1.0670100000000002</c:v>
                </c:pt>
                <c:pt idx="10">
                  <c:v>1.1752690000000001</c:v>
                </c:pt>
                <c:pt idx="11">
                  <c:v>1.2832910000000002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48896"/>
        <c:axId val="251346240"/>
      </c:lineChart>
      <c:catAx>
        <c:axId val="27924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346240"/>
        <c:crosses val="autoZero"/>
        <c:auto val="1"/>
        <c:lblAlgn val="ctr"/>
        <c:lblOffset val="100"/>
        <c:noMultiLvlLbl val="0"/>
      </c:catAx>
      <c:valAx>
        <c:axId val="2513462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81690586548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92488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4001228573"/>
          <c:y val="2.2161373086791118E-2"/>
          <c:w val="0.33180945998771427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'33_g'!$AY$18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'33_g'!$AZ$16:$BK$16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'33_g'!$AZ$18:$BK$18</c:f>
              <c:numCache>
                <c:formatCode>#,##0.000_ ;\-#,##0.000\ </c:formatCode>
                <c:ptCount val="12"/>
                <c:pt idx="0">
                  <c:v>2.7059660000000003E-2</c:v>
                </c:pt>
                <c:pt idx="1">
                  <c:v>2.0395869999999997E-2</c:v>
                </c:pt>
                <c:pt idx="2">
                  <c:v>3.0984999999999999E-2</c:v>
                </c:pt>
                <c:pt idx="3">
                  <c:v>2.713817E-2</c:v>
                </c:pt>
                <c:pt idx="4">
                  <c:v>3.4468039999999991E-2</c:v>
                </c:pt>
                <c:pt idx="5">
                  <c:v>3.8566960000000004E-2</c:v>
                </c:pt>
                <c:pt idx="6">
                  <c:v>2.5175179999999991E-2</c:v>
                </c:pt>
                <c:pt idx="7">
                  <c:v>2.4049279999999999E-2</c:v>
                </c:pt>
                <c:pt idx="8">
                  <c:v>3.0659020000000019E-2</c:v>
                </c:pt>
                <c:pt idx="9">
                  <c:v>3.1638059999999996E-2</c:v>
                </c:pt>
                <c:pt idx="10">
                  <c:v>4.6875899999999991E-2</c:v>
                </c:pt>
                <c:pt idx="11">
                  <c:v>3.7167049999999986E-2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'33_g'!$AY$19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'33_g'!$AZ$16:$BK$16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'33_g'!$AZ$19:$BK$19</c:f>
              <c:numCache>
                <c:formatCode>#,##0.000_ ;\-#,##0.000\ </c:formatCode>
                <c:ptCount val="12"/>
                <c:pt idx="0">
                  <c:v>4.1055000000000001E-2</c:v>
                </c:pt>
                <c:pt idx="1">
                  <c:v>3.2688000000000002E-2</c:v>
                </c:pt>
                <c:pt idx="2">
                  <c:v>3.8899999999999997E-2</c:v>
                </c:pt>
                <c:pt idx="3">
                  <c:v>3.0873000000000001E-2</c:v>
                </c:pt>
                <c:pt idx="4">
                  <c:v>3.0265E-2</c:v>
                </c:pt>
                <c:pt idx="5">
                  <c:v>4.0224999999999997E-2</c:v>
                </c:pt>
                <c:pt idx="6">
                  <c:v>2.8701999999999998E-2</c:v>
                </c:pt>
                <c:pt idx="7">
                  <c:v>2.7299E-2</c:v>
                </c:pt>
                <c:pt idx="8">
                  <c:v>2.4598999999999999E-2</c:v>
                </c:pt>
                <c:pt idx="9">
                  <c:v>2.9131000000000001E-2</c:v>
                </c:pt>
                <c:pt idx="10">
                  <c:v>3.1467000000000002E-2</c:v>
                </c:pt>
                <c:pt idx="11">
                  <c:v>2.8115999999999999E-2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'33_g'!$AY$20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'33_g'!$AZ$16:$BK$16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'33_g'!$AZ$20:$BK$20</c:f>
              <c:numCache>
                <c:formatCode>#,##0.000_ ;\-#,##0.000\ </c:formatCode>
                <c:ptCount val="12"/>
                <c:pt idx="0">
                  <c:v>3.6282509999999997E-2</c:v>
                </c:pt>
                <c:pt idx="1">
                  <c:v>2.7239199999999998E-2</c:v>
                </c:pt>
                <c:pt idx="2">
                  <c:v>2.3699999999999999E-2</c:v>
                </c:pt>
                <c:pt idx="3">
                  <c:v>2.3973499999999998E-2</c:v>
                </c:pt>
                <c:pt idx="4">
                  <c:v>2.578575E-2</c:v>
                </c:pt>
                <c:pt idx="5">
                  <c:v>3.2210000000000003E-2</c:v>
                </c:pt>
                <c:pt idx="6">
                  <c:v>3.5184E-2</c:v>
                </c:pt>
                <c:pt idx="7">
                  <c:v>3.3283E-2</c:v>
                </c:pt>
                <c:pt idx="8">
                  <c:v>2.9434999999999999E-2</c:v>
                </c:pt>
                <c:pt idx="9">
                  <c:v>3.0099999999999998E-2</c:v>
                </c:pt>
                <c:pt idx="10">
                  <c:v>2.8895000000000001E-2</c:v>
                </c:pt>
                <c:pt idx="11">
                  <c:v>2.9964000000000001E-2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49920"/>
        <c:axId val="279316160"/>
      </c:lineChart>
      <c:catAx>
        <c:axId val="2792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9316160"/>
        <c:crosses val="autoZero"/>
        <c:auto val="1"/>
        <c:lblAlgn val="ctr"/>
        <c:lblOffset val="100"/>
        <c:noMultiLvlLbl val="0"/>
      </c:catAx>
      <c:valAx>
        <c:axId val="2793161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77078382954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92499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2443429771"/>
          <c:y val="2.2161373086791118E-2"/>
          <c:w val="0.3530096755657022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'33_g'!$AY$39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'33_g'!$AZ$37:$BO$37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'33_g'!$AZ$39:$BO$39</c:f>
              <c:numCache>
                <c:formatCode>_(* #,##0.00_);_(* \(#,##0.00\);_(* "-"??_);_(@_)</c:formatCode>
                <c:ptCount val="16"/>
                <c:pt idx="0">
                  <c:v>22.417516833645852</c:v>
                </c:pt>
                <c:pt idx="1">
                  <c:v>17.322823611067346</c:v>
                </c:pt>
                <c:pt idx="2">
                  <c:v>25.74488591986972</c:v>
                </c:pt>
                <c:pt idx="3">
                  <c:v>21.861815918120534</c:v>
                </c:pt>
                <c:pt idx="4">
                  <c:v>21.999491399718394</c:v>
                </c:pt>
                <c:pt idx="5">
                  <c:v>28.373184819622878</c:v>
                </c:pt>
                <c:pt idx="6">
                  <c:v>29.934004946912435</c:v>
                </c:pt>
                <c:pt idx="7">
                  <c:v>24.384765359687972</c:v>
                </c:pt>
                <c:pt idx="8">
                  <c:v>18.363821800935696</c:v>
                </c:pt>
                <c:pt idx="9">
                  <c:v>16.926662353581744</c:v>
                </c:pt>
                <c:pt idx="10">
                  <c:v>21.990873137297022</c:v>
                </c:pt>
                <c:pt idx="11">
                  <c:v>22.457156273749131</c:v>
                </c:pt>
                <c:pt idx="12">
                  <c:v>22.991429426444931</c:v>
                </c:pt>
                <c:pt idx="13">
                  <c:v>33.790545172496067</c:v>
                </c:pt>
                <c:pt idx="14">
                  <c:v>28.2482240854035</c:v>
                </c:pt>
                <c:pt idx="15">
                  <c:v>24.001564131090582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'33_g'!$AY$40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'33_g'!$AZ$37:$BO$37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'33_g'!$AZ$40:$BO$40</c:f>
              <c:numCache>
                <c:formatCode>_(* #,##0.00_);_(* \(#,##0.00\);_(* "-"??_);_(@_)</c:formatCode>
                <c:ptCount val="16"/>
                <c:pt idx="0">
                  <c:v>22.999981999387977</c:v>
                </c:pt>
                <c:pt idx="1">
                  <c:v>22.999981999387977</c:v>
                </c:pt>
                <c:pt idx="2">
                  <c:v>22.999981999387977</c:v>
                </c:pt>
                <c:pt idx="3">
                  <c:v>22.999981999387977</c:v>
                </c:pt>
                <c:pt idx="4">
                  <c:v>22.999981999387977</c:v>
                </c:pt>
                <c:pt idx="5">
                  <c:v>22.999981999387977</c:v>
                </c:pt>
                <c:pt idx="6">
                  <c:v>22.999981999387977</c:v>
                </c:pt>
                <c:pt idx="7">
                  <c:v>22.999981999387977</c:v>
                </c:pt>
                <c:pt idx="8">
                  <c:v>22.999981999387977</c:v>
                </c:pt>
                <c:pt idx="9">
                  <c:v>22.999981999387977</c:v>
                </c:pt>
                <c:pt idx="10">
                  <c:v>22.999981999387977</c:v>
                </c:pt>
                <c:pt idx="11">
                  <c:v>22.999981999387977</c:v>
                </c:pt>
                <c:pt idx="12">
                  <c:v>22.999981999387977</c:v>
                </c:pt>
                <c:pt idx="13">
                  <c:v>22.999981999387977</c:v>
                </c:pt>
                <c:pt idx="14">
                  <c:v>22.999981999387977</c:v>
                </c:pt>
                <c:pt idx="15">
                  <c:v>22.999981999387977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'33_g'!$AY$41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'33_g'!$AZ$37:$BO$37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'33_g'!$AZ$41:$BO$41</c:f>
              <c:numCache>
                <c:formatCode>_(* #,##0.00_);_(* \(#,##0.00\);_(* "-"??_);_(@_)</c:formatCode>
                <c:ptCount val="16"/>
                <c:pt idx="0">
                  <c:v>28.458095960367231</c:v>
                </c:pt>
                <c:pt idx="1">
                  <c:v>22.186781698136873</c:v>
                </c:pt>
                <c:pt idx="2">
                  <c:v>20.29005359313734</c:v>
                </c:pt>
                <c:pt idx="3">
                  <c:v>23.761425903876095</c:v>
                </c:pt>
                <c:pt idx="4">
                  <c:v>19.747284835854582</c:v>
                </c:pt>
                <c:pt idx="5">
                  <c:v>20.831288436487018</c:v>
                </c:pt>
                <c:pt idx="6">
                  <c:v>24.747416541815529</c:v>
                </c:pt>
                <c:pt idx="7">
                  <c:v>22.789332772423581</c:v>
                </c:pt>
                <c:pt idx="8">
                  <c:v>24.660241808305589</c:v>
                </c:pt>
                <c:pt idx="9">
                  <c:v>23.270106062406924</c:v>
                </c:pt>
                <c:pt idx="10">
                  <c:v>21.959698898098342</c:v>
                </c:pt>
                <c:pt idx="11">
                  <c:v>22.982500588818404</c:v>
                </c:pt>
                <c:pt idx="12">
                  <c:v>23.467772744637887</c:v>
                </c:pt>
                <c:pt idx="13">
                  <c:v>22.392454994226551</c:v>
                </c:pt>
                <c:pt idx="14">
                  <c:v>22.894779067368599</c:v>
                </c:pt>
                <c:pt idx="15">
                  <c:v>22.966131138525057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50432"/>
        <c:axId val="279318464"/>
      </c:lineChart>
      <c:catAx>
        <c:axId val="27925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9318464"/>
        <c:crosses val="autoZero"/>
        <c:auto val="1"/>
        <c:lblAlgn val="ctr"/>
        <c:lblOffset val="100"/>
        <c:noMultiLvlLbl val="0"/>
      </c:catAx>
      <c:valAx>
        <c:axId val="2793184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43445862373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92504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4514737386"/>
          <c:y val="2.2161373086791118E-2"/>
          <c:w val="0.2830307418469243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'33_g'!$A$64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'33_g'!$B$62:$M$62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'33_g'!$B$64:$M$64</c:f>
              <c:numCache>
                <c:formatCode>#,##0.00_ ;\-#,##0.00\ </c:formatCode>
                <c:ptCount val="12"/>
                <c:pt idx="0">
                  <c:v>1.7289321599999998</c:v>
                </c:pt>
                <c:pt idx="1">
                  <c:v>1.8144108199999998</c:v>
                </c:pt>
                <c:pt idx="2">
                  <c:v>1.6506387799999998</c:v>
                </c:pt>
                <c:pt idx="3">
                  <c:v>1.7741932900000001</c:v>
                </c:pt>
                <c:pt idx="4">
                  <c:v>1.6153326000000001</c:v>
                </c:pt>
                <c:pt idx="5">
                  <c:v>1.7010641899999999</c:v>
                </c:pt>
                <c:pt idx="6">
                  <c:v>2.0491885699999997</c:v>
                </c:pt>
                <c:pt idx="7">
                  <c:v>2.1095685499999997</c:v>
                </c:pt>
                <c:pt idx="8">
                  <c:v>2.0306756400000001</c:v>
                </c:pt>
                <c:pt idx="9">
                  <c:v>1.9415133900000001</c:v>
                </c:pt>
                <c:pt idx="10">
                  <c:v>1.6616304200000001</c:v>
                </c:pt>
                <c:pt idx="11">
                  <c:v>1.7284072099999999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'33_g'!$A$65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'33_g'!$B$62:$M$62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'33_g'!$B$65:$M$65</c:f>
              <c:numCache>
                <c:formatCode>#,##0.00_ ;\-#,##0.00\ </c:formatCode>
                <c:ptCount val="12"/>
                <c:pt idx="0">
                  <c:v>1.9006460000000001</c:v>
                </c:pt>
                <c:pt idx="1">
                  <c:v>1.8990009999999999</c:v>
                </c:pt>
                <c:pt idx="2">
                  <c:v>1.838295</c:v>
                </c:pt>
                <c:pt idx="3">
                  <c:v>1.9979910000000001</c:v>
                </c:pt>
                <c:pt idx="4">
                  <c:v>1.8588519999999999</c:v>
                </c:pt>
                <c:pt idx="5">
                  <c:v>1.8635429999999999</c:v>
                </c:pt>
                <c:pt idx="6">
                  <c:v>2.1747640000000001</c:v>
                </c:pt>
                <c:pt idx="7">
                  <c:v>2.2698809999999998</c:v>
                </c:pt>
                <c:pt idx="8">
                  <c:v>2.214712</c:v>
                </c:pt>
                <c:pt idx="9">
                  <c:v>2.0853869999999999</c:v>
                </c:pt>
                <c:pt idx="10">
                  <c:v>2.0042789999999999</c:v>
                </c:pt>
                <c:pt idx="11">
                  <c:v>2.0247310000000001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'33_g'!$A$66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'33_g'!$B$62:$M$62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'33_g'!$B$66:$M$66</c:f>
              <c:numCache>
                <c:formatCode>#,##0.00_ ;\-#,##0.00\ </c:formatCode>
                <c:ptCount val="12"/>
                <c:pt idx="0">
                  <c:v>1.7400232499999999</c:v>
                </c:pt>
                <c:pt idx="1">
                  <c:v>1.7510754499999996</c:v>
                </c:pt>
                <c:pt idx="2">
                  <c:v>1.7087324700000002</c:v>
                </c:pt>
                <c:pt idx="3">
                  <c:v>1.6996047899999998</c:v>
                </c:pt>
                <c:pt idx="4">
                  <c:v>1.7906440700000001</c:v>
                </c:pt>
                <c:pt idx="5">
                  <c:v>1.78800297</c:v>
                </c:pt>
                <c:pt idx="6">
                  <c:v>2.0537876000000002</c:v>
                </c:pt>
                <c:pt idx="7">
                  <c:v>2.0100690299999999</c:v>
                </c:pt>
                <c:pt idx="8">
                  <c:v>1.8977047499999999</c:v>
                </c:pt>
                <c:pt idx="9">
                  <c:v>1.7703941000000001</c:v>
                </c:pt>
                <c:pt idx="10">
                  <c:v>1.7549579600000005</c:v>
                </c:pt>
                <c:pt idx="11">
                  <c:v>1.8203418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50944"/>
        <c:axId val="279320768"/>
      </c:lineChart>
      <c:catAx>
        <c:axId val="27925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9320768"/>
        <c:crosses val="autoZero"/>
        <c:auto val="1"/>
        <c:lblAlgn val="ctr"/>
        <c:lblOffset val="100"/>
        <c:noMultiLvlLbl val="0"/>
      </c:catAx>
      <c:valAx>
        <c:axId val="2793207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92509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'33_g'!$B$85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'33_g'!$C$85:$N$85</c:f>
              <c:numCache>
                <c:formatCode>#,##0.00_ ;\-#,##0.00\ </c:formatCode>
                <c:ptCount val="12"/>
                <c:pt idx="0">
                  <c:v>1.7289321599999998</c:v>
                </c:pt>
                <c:pt idx="1">
                  <c:v>3.5433429799999994</c:v>
                </c:pt>
                <c:pt idx="2">
                  <c:v>5.1939817599999989</c:v>
                </c:pt>
                <c:pt idx="3">
                  <c:v>6.9681750499999993</c:v>
                </c:pt>
                <c:pt idx="4">
                  <c:v>8.5835076499999996</c:v>
                </c:pt>
                <c:pt idx="5">
                  <c:v>10.28457184</c:v>
                </c:pt>
                <c:pt idx="6">
                  <c:v>12.33376041</c:v>
                </c:pt>
                <c:pt idx="7">
                  <c:v>14.443328959999999</c:v>
                </c:pt>
                <c:pt idx="8">
                  <c:v>16.474004600000001</c:v>
                </c:pt>
                <c:pt idx="9">
                  <c:v>18.415517990000001</c:v>
                </c:pt>
                <c:pt idx="10">
                  <c:v>20.077148410000003</c:v>
                </c:pt>
                <c:pt idx="11">
                  <c:v>21.805555620000003</c:v>
                </c:pt>
              </c:numCache>
            </c:numRef>
          </c:val>
        </c:ser>
        <c:ser>
          <c:idx val="0"/>
          <c:order val="2"/>
          <c:tx>
            <c:strRef>
              <c:f>'33_g'!$B$87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'33_g'!$C$87:$N$87</c:f>
              <c:numCache>
                <c:formatCode>#,##0.00_ ;\-#,##0.00\ </c:formatCode>
                <c:ptCount val="12"/>
                <c:pt idx="0">
                  <c:v>1.7400232499999999</c:v>
                </c:pt>
                <c:pt idx="1">
                  <c:v>3.4910986999999993</c:v>
                </c:pt>
                <c:pt idx="2">
                  <c:v>5.1998311699999995</c:v>
                </c:pt>
                <c:pt idx="3">
                  <c:v>6.899435959999999</c:v>
                </c:pt>
                <c:pt idx="4">
                  <c:v>8.690080029999999</c:v>
                </c:pt>
                <c:pt idx="5">
                  <c:v>10.478082999999998</c:v>
                </c:pt>
                <c:pt idx="6">
                  <c:v>12.531870599999998</c:v>
                </c:pt>
                <c:pt idx="7">
                  <c:v>14.541939629999998</c:v>
                </c:pt>
                <c:pt idx="8">
                  <c:v>16.439644379999997</c:v>
                </c:pt>
                <c:pt idx="9">
                  <c:v>18.210038479999998</c:v>
                </c:pt>
                <c:pt idx="10">
                  <c:v>19.96499644</c:v>
                </c:pt>
                <c:pt idx="11">
                  <c:v>21.785338240000002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9251456"/>
        <c:axId val="281150016"/>
      </c:barChart>
      <c:lineChart>
        <c:grouping val="standard"/>
        <c:varyColors val="0"/>
        <c:ser>
          <c:idx val="3"/>
          <c:order val="1"/>
          <c:tx>
            <c:strRef>
              <c:f>'33_g'!$B$86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'33_g'!$C$83:$N$83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'33_g'!$C$86:$N$86</c:f>
              <c:numCache>
                <c:formatCode>#,##0.00_ ;\-#,##0.00\ </c:formatCode>
                <c:ptCount val="12"/>
                <c:pt idx="0">
                  <c:v>1.9006460000000001</c:v>
                </c:pt>
                <c:pt idx="1">
                  <c:v>3.7996470000000002</c:v>
                </c:pt>
                <c:pt idx="2">
                  <c:v>5.6379420000000007</c:v>
                </c:pt>
                <c:pt idx="3">
                  <c:v>7.6359330000000005</c:v>
                </c:pt>
                <c:pt idx="4">
                  <c:v>9.4947850000000003</c:v>
                </c:pt>
                <c:pt idx="5">
                  <c:v>11.358328</c:v>
                </c:pt>
                <c:pt idx="6">
                  <c:v>13.533092</c:v>
                </c:pt>
                <c:pt idx="7">
                  <c:v>15.802973</c:v>
                </c:pt>
                <c:pt idx="8">
                  <c:v>18.017685</c:v>
                </c:pt>
                <c:pt idx="9">
                  <c:v>20.103072000000001</c:v>
                </c:pt>
                <c:pt idx="10">
                  <c:v>22.107351000000001</c:v>
                </c:pt>
                <c:pt idx="11">
                  <c:v>24.132082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51456"/>
        <c:axId val="281150016"/>
      </c:lineChart>
      <c:catAx>
        <c:axId val="2792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1150016"/>
        <c:crosses val="autoZero"/>
        <c:auto val="1"/>
        <c:lblAlgn val="ctr"/>
        <c:lblOffset val="100"/>
        <c:noMultiLvlLbl val="0"/>
      </c:catAx>
      <c:valAx>
        <c:axId val="2811500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92514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- 2559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(ภาพรวม!$A$9,ภาพรวม!$A$13,ภาพรวม!$A$17)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(ภาพรวม!$E$9,ภาพรวม!$E$13,ภาพรวม!$E$17)</c:f>
              <c:numCache>
                <c:formatCode>_(* #,##0.00_);_(* \(#,##0.00\);_(* "-"??_);_(@_)</c:formatCode>
                <c:ptCount val="3"/>
                <c:pt idx="0">
                  <c:v>677.53067328000009</c:v>
                </c:pt>
                <c:pt idx="1">
                  <c:v>534.08511081999995</c:v>
                </c:pt>
                <c:pt idx="2">
                  <c:v>485.61506193000002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379774507620997"/>
          <c:y val="0.17221860919262225"/>
          <c:w val="0.64583797205297921"/>
          <c:h val="8.2288570583967074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('12'!$A$9,'12'!$A$13,'12'!$A$17,'12'!$A$20)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('12'!$F$9,'12'!$F$13,'12'!$F$17,'12'!$F$20)</c:f>
              <c:numCache>
                <c:formatCode>_(* #,##0.00_);_(* \(#,##0.00\);_(* "-"??_);_(@_)</c:formatCode>
                <c:ptCount val="4"/>
                <c:pt idx="0">
                  <c:v>13.859044014418984</c:v>
                </c:pt>
                <c:pt idx="1">
                  <c:v>20.600858353518888</c:v>
                </c:pt>
                <c:pt idx="2">
                  <c:v>25.546537810635073</c:v>
                </c:pt>
                <c:pt idx="3">
                  <c:v>16.595890707975428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('12'!$A$9,'12'!$A$13,'12'!$A$17,'12'!$A$20)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('12'!$K$9,'12'!$K$13,'12'!$K$17,'12'!$K$20)</c:f>
              <c:numCache>
                <c:formatCode>_(* #,##0.00_);_(* \(#,##0.00\);_(* "-"??_);_(@_)</c:formatCode>
                <c:ptCount val="4"/>
                <c:pt idx="0">
                  <c:v>13.644648473658792</c:v>
                </c:pt>
                <c:pt idx="1">
                  <c:v>20.585134511618367</c:v>
                </c:pt>
                <c:pt idx="2">
                  <c:v>25.219912843169279</c:v>
                </c:pt>
                <c:pt idx="3">
                  <c:v>16.515633744109294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74218240"/>
        <c:axId val="174424064"/>
      </c:barChart>
      <c:catAx>
        <c:axId val="17421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424064"/>
        <c:crosses val="autoZero"/>
        <c:auto val="1"/>
        <c:lblAlgn val="ctr"/>
        <c:lblOffset val="100"/>
        <c:noMultiLvlLbl val="0"/>
      </c:catAx>
      <c:valAx>
        <c:axId val="1744240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218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'33_g'!$S$64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'33_g'!$T$62:$AE$62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'33_g'!$T$64:$AE$64</c:f>
              <c:numCache>
                <c:formatCode>#,##0.00_ ;\-#,##0.00\ </c:formatCode>
                <c:ptCount val="12"/>
                <c:pt idx="0">
                  <c:v>0.95949923999999998</c:v>
                </c:pt>
                <c:pt idx="1">
                  <c:v>1.00279019</c:v>
                </c:pt>
                <c:pt idx="2">
                  <c:v>1.0126688699999999</c:v>
                </c:pt>
                <c:pt idx="3">
                  <c:v>1.0292213299999999</c:v>
                </c:pt>
                <c:pt idx="4">
                  <c:v>0.94176207000000023</c:v>
                </c:pt>
                <c:pt idx="5">
                  <c:v>0.94488033000000005</c:v>
                </c:pt>
                <c:pt idx="6">
                  <c:v>1.0267422700000002</c:v>
                </c:pt>
                <c:pt idx="7">
                  <c:v>0.98839774000000002</c:v>
                </c:pt>
                <c:pt idx="8">
                  <c:v>1.0236567700000001</c:v>
                </c:pt>
                <c:pt idx="9">
                  <c:v>0.99173962000000004</c:v>
                </c:pt>
                <c:pt idx="10">
                  <c:v>0.96841309000000009</c:v>
                </c:pt>
                <c:pt idx="11">
                  <c:v>1.2121395100000001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'33_g'!$S$65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'33_g'!$T$62:$AE$62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'33_g'!$T$65:$AE$65</c:f>
              <c:numCache>
                <c:formatCode>#,##0.00_ ;\-#,##0.00\ </c:formatCode>
                <c:ptCount val="12"/>
                <c:pt idx="0">
                  <c:v>0.98391600000000001</c:v>
                </c:pt>
                <c:pt idx="1">
                  <c:v>0.99450700000000003</c:v>
                </c:pt>
                <c:pt idx="2">
                  <c:v>0.96327099999999999</c:v>
                </c:pt>
                <c:pt idx="3">
                  <c:v>1.0005040000000001</c:v>
                </c:pt>
                <c:pt idx="4">
                  <c:v>1.151797</c:v>
                </c:pt>
                <c:pt idx="5">
                  <c:v>1.001544</c:v>
                </c:pt>
                <c:pt idx="6">
                  <c:v>1.00274</c:v>
                </c:pt>
                <c:pt idx="7">
                  <c:v>0.99986900000000001</c:v>
                </c:pt>
                <c:pt idx="8">
                  <c:v>1.051739</c:v>
                </c:pt>
                <c:pt idx="9">
                  <c:v>0.97192699999999999</c:v>
                </c:pt>
                <c:pt idx="10">
                  <c:v>0.99184700000000003</c:v>
                </c:pt>
                <c:pt idx="11">
                  <c:v>1.1243300000000001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'33_g'!$S$66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'33_g'!$T$62:$AE$62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'33_g'!$T$66:$AE$66</c:f>
              <c:numCache>
                <c:formatCode>#,##0.00_ ;\-#,##0.00\ </c:formatCode>
                <c:ptCount val="12"/>
                <c:pt idx="0">
                  <c:v>0.94793689000000014</c:v>
                </c:pt>
                <c:pt idx="1">
                  <c:v>1.01169468</c:v>
                </c:pt>
                <c:pt idx="2">
                  <c:v>1.0972923499999996</c:v>
                </c:pt>
                <c:pt idx="3">
                  <c:v>0.94764974000000013</c:v>
                </c:pt>
                <c:pt idx="4">
                  <c:v>0.92293220999999992</c:v>
                </c:pt>
                <c:pt idx="5">
                  <c:v>1.1369064800000002</c:v>
                </c:pt>
                <c:pt idx="6">
                  <c:v>1.08947119</c:v>
                </c:pt>
                <c:pt idx="7">
                  <c:v>1.03495636</c:v>
                </c:pt>
                <c:pt idx="8">
                  <c:v>1.0771876500000004</c:v>
                </c:pt>
                <c:pt idx="9">
                  <c:v>1.0096955500000002</c:v>
                </c:pt>
                <c:pt idx="10">
                  <c:v>1.12324979</c:v>
                </c:pt>
                <c:pt idx="11">
                  <c:v>1.0914635399999999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45600"/>
        <c:axId val="281152320"/>
      </c:lineChart>
      <c:catAx>
        <c:axId val="25154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1152320"/>
        <c:crosses val="autoZero"/>
        <c:auto val="1"/>
        <c:lblAlgn val="ctr"/>
        <c:lblOffset val="100"/>
        <c:noMultiLvlLbl val="0"/>
      </c:catAx>
      <c:valAx>
        <c:axId val="2811523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54560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'33_g'!$T$85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'33_g'!$U$85:$AF$85</c:f>
              <c:numCache>
                <c:formatCode>#,##0.00_ ;\-#,##0.00\ </c:formatCode>
                <c:ptCount val="12"/>
                <c:pt idx="0">
                  <c:v>0.95949923999999998</c:v>
                </c:pt>
                <c:pt idx="1">
                  <c:v>1.96228943</c:v>
                </c:pt>
                <c:pt idx="2">
                  <c:v>2.9749582999999999</c:v>
                </c:pt>
                <c:pt idx="3">
                  <c:v>4.0041796299999994</c:v>
                </c:pt>
                <c:pt idx="4">
                  <c:v>4.9459416999999997</c:v>
                </c:pt>
                <c:pt idx="5">
                  <c:v>5.8908220299999998</c:v>
                </c:pt>
                <c:pt idx="6">
                  <c:v>6.9175643000000004</c:v>
                </c:pt>
                <c:pt idx="7">
                  <c:v>7.9059620400000004</c:v>
                </c:pt>
                <c:pt idx="8">
                  <c:v>8.9296188100000009</c:v>
                </c:pt>
                <c:pt idx="9">
                  <c:v>9.9213584300000015</c:v>
                </c:pt>
                <c:pt idx="10">
                  <c:v>10.889771520000002</c:v>
                </c:pt>
                <c:pt idx="11">
                  <c:v>12.101911030000002</c:v>
                </c:pt>
              </c:numCache>
            </c:numRef>
          </c:val>
        </c:ser>
        <c:ser>
          <c:idx val="0"/>
          <c:order val="2"/>
          <c:tx>
            <c:strRef>
              <c:f>'33_g'!$T$87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'33_g'!$U$87:$AF$87</c:f>
              <c:numCache>
                <c:formatCode>#,##0.00_ ;\-#,##0.00\ </c:formatCode>
                <c:ptCount val="12"/>
                <c:pt idx="0">
                  <c:v>0.94793689000000014</c:v>
                </c:pt>
                <c:pt idx="1">
                  <c:v>1.95963157</c:v>
                </c:pt>
                <c:pt idx="2">
                  <c:v>3.0569239199999996</c:v>
                </c:pt>
                <c:pt idx="3">
                  <c:v>4.0045736600000001</c:v>
                </c:pt>
                <c:pt idx="4">
                  <c:v>4.9275058700000001</c:v>
                </c:pt>
                <c:pt idx="5">
                  <c:v>6.0644123500000005</c:v>
                </c:pt>
                <c:pt idx="6">
                  <c:v>7.1538835400000007</c:v>
                </c:pt>
                <c:pt idx="7">
                  <c:v>8.1888399000000014</c:v>
                </c:pt>
                <c:pt idx="8">
                  <c:v>9.2660275500000022</c:v>
                </c:pt>
                <c:pt idx="9">
                  <c:v>10.275723100000002</c:v>
                </c:pt>
                <c:pt idx="10">
                  <c:v>11.398972890000003</c:v>
                </c:pt>
                <c:pt idx="11">
                  <c:v>12.490436430000003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79252480"/>
        <c:axId val="281154624"/>
      </c:barChart>
      <c:lineChart>
        <c:grouping val="standard"/>
        <c:varyColors val="0"/>
        <c:ser>
          <c:idx val="3"/>
          <c:order val="1"/>
          <c:tx>
            <c:strRef>
              <c:f>'33_g'!$T$86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'33_g'!$U$83:$AF$83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'33_g'!$U$86:$AF$86</c:f>
              <c:numCache>
                <c:formatCode>#,##0.00_ ;\-#,##0.00\ </c:formatCode>
                <c:ptCount val="12"/>
                <c:pt idx="0">
                  <c:v>0.98391600000000001</c:v>
                </c:pt>
                <c:pt idx="1">
                  <c:v>1.978423</c:v>
                </c:pt>
                <c:pt idx="2">
                  <c:v>2.941694</c:v>
                </c:pt>
                <c:pt idx="3">
                  <c:v>3.9421980000000003</c:v>
                </c:pt>
                <c:pt idx="4">
                  <c:v>5.0939950000000005</c:v>
                </c:pt>
                <c:pt idx="5">
                  <c:v>6.0955390000000005</c:v>
                </c:pt>
                <c:pt idx="6">
                  <c:v>7.0982790000000007</c:v>
                </c:pt>
                <c:pt idx="7">
                  <c:v>8.0981480000000001</c:v>
                </c:pt>
                <c:pt idx="8">
                  <c:v>9.1498869999999997</c:v>
                </c:pt>
                <c:pt idx="9">
                  <c:v>10.121814000000001</c:v>
                </c:pt>
                <c:pt idx="10">
                  <c:v>11.113661</c:v>
                </c:pt>
                <c:pt idx="11">
                  <c:v>12.237991000000001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52480"/>
        <c:axId val="281154624"/>
      </c:lineChart>
      <c:catAx>
        <c:axId val="27925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1154624"/>
        <c:crosses val="autoZero"/>
        <c:auto val="1"/>
        <c:lblAlgn val="ctr"/>
        <c:lblOffset val="100"/>
        <c:noMultiLvlLbl val="0"/>
      </c:catAx>
      <c:valAx>
        <c:axId val="2811546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925248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'33_g'!$AI$64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'33_g'!$AJ$62:$AU$62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'33_g'!$AJ$64:$AU$64</c:f>
              <c:numCache>
                <c:formatCode>#,##0.00_ ;\-#,##0.00\ </c:formatCode>
                <c:ptCount val="12"/>
                <c:pt idx="0">
                  <c:v>0.76943291999999985</c:v>
                </c:pt>
                <c:pt idx="1">
                  <c:v>0.81162062999999973</c:v>
                </c:pt>
                <c:pt idx="2">
                  <c:v>0.63796990999999981</c:v>
                </c:pt>
                <c:pt idx="3">
                  <c:v>0.74497196000000021</c:v>
                </c:pt>
                <c:pt idx="4">
                  <c:v>0.67357052999999989</c:v>
                </c:pt>
                <c:pt idx="5">
                  <c:v>0.75618385999999982</c:v>
                </c:pt>
                <c:pt idx="6">
                  <c:v>1.0224462999999995</c:v>
                </c:pt>
                <c:pt idx="7">
                  <c:v>1.1211708099999997</c:v>
                </c:pt>
                <c:pt idx="8">
                  <c:v>1.00701887</c:v>
                </c:pt>
                <c:pt idx="9">
                  <c:v>0.94977377000000007</c:v>
                </c:pt>
                <c:pt idx="10">
                  <c:v>0.69321732999999996</c:v>
                </c:pt>
                <c:pt idx="11">
                  <c:v>0.51626769999999977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'33_g'!$AI$65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'33_g'!$AJ$62:$AU$62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'33_g'!$AJ$65:$AU$65</c:f>
              <c:numCache>
                <c:formatCode>#,##0.00_ ;\-#,##0.00\ </c:formatCode>
                <c:ptCount val="12"/>
                <c:pt idx="0">
                  <c:v>0.91673000000000004</c:v>
                </c:pt>
                <c:pt idx="1">
                  <c:v>0.90449399999999991</c:v>
                </c:pt>
                <c:pt idx="2">
                  <c:v>0.87502400000000002</c:v>
                </c:pt>
                <c:pt idx="3">
                  <c:v>0.99748700000000001</c:v>
                </c:pt>
                <c:pt idx="4">
                  <c:v>0.70705499999999999</c:v>
                </c:pt>
                <c:pt idx="5">
                  <c:v>0.86199899999999996</c:v>
                </c:pt>
                <c:pt idx="6">
                  <c:v>1.1720240000000002</c:v>
                </c:pt>
                <c:pt idx="7">
                  <c:v>1.2700119999999999</c:v>
                </c:pt>
                <c:pt idx="8">
                  <c:v>1.162973</c:v>
                </c:pt>
                <c:pt idx="9">
                  <c:v>1.1134599999999999</c:v>
                </c:pt>
                <c:pt idx="10">
                  <c:v>1.012432</c:v>
                </c:pt>
                <c:pt idx="11">
                  <c:v>0.90040100000000001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'33_g'!$AI$66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'33_g'!$AJ$62:$AU$62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'33_g'!$AJ$66:$AU$66</c:f>
              <c:numCache>
                <c:formatCode>#,##0.00_ ;\-#,##0.00\ </c:formatCode>
                <c:ptCount val="12"/>
                <c:pt idx="0">
                  <c:v>0.79208635999999977</c:v>
                </c:pt>
                <c:pt idx="1">
                  <c:v>0.73938076999999969</c:v>
                </c:pt>
                <c:pt idx="2">
                  <c:v>0.61144012000000059</c:v>
                </c:pt>
                <c:pt idx="3">
                  <c:v>0.75195504999999963</c:v>
                </c:pt>
                <c:pt idx="4">
                  <c:v>0.86771186000000022</c:v>
                </c:pt>
                <c:pt idx="5">
                  <c:v>0.65109648999999981</c:v>
                </c:pt>
                <c:pt idx="6">
                  <c:v>0.96431641000000012</c:v>
                </c:pt>
                <c:pt idx="7">
                  <c:v>0.9751126699999999</c:v>
                </c:pt>
                <c:pt idx="8">
                  <c:v>0.82051709999999956</c:v>
                </c:pt>
                <c:pt idx="9">
                  <c:v>0.76069854999999986</c:v>
                </c:pt>
                <c:pt idx="10">
                  <c:v>0.63170817000000046</c:v>
                </c:pt>
                <c:pt idx="11">
                  <c:v>0.72887826000000011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21984"/>
        <c:axId val="281156928"/>
      </c:lineChart>
      <c:catAx>
        <c:axId val="28132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1156928"/>
        <c:crosses val="autoZero"/>
        <c:auto val="1"/>
        <c:lblAlgn val="ctr"/>
        <c:lblOffset val="100"/>
        <c:noMultiLvlLbl val="0"/>
      </c:catAx>
      <c:valAx>
        <c:axId val="281156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4559770937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13219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76664280596"/>
          <c:y val="2.2161373086791118E-2"/>
          <c:w val="0.4542922333571940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'33_g'!$AJ$85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'33_g'!$AK$85:$AV$85</c:f>
              <c:numCache>
                <c:formatCode>#,##0.00_ ;\-#,##0.00\ </c:formatCode>
                <c:ptCount val="12"/>
                <c:pt idx="0">
                  <c:v>0.76943291999999985</c:v>
                </c:pt>
                <c:pt idx="1">
                  <c:v>1.5810535499999996</c:v>
                </c:pt>
                <c:pt idx="2">
                  <c:v>2.2190234599999994</c:v>
                </c:pt>
                <c:pt idx="3">
                  <c:v>2.9639954199999998</c:v>
                </c:pt>
                <c:pt idx="4">
                  <c:v>3.6375659499999999</c:v>
                </c:pt>
                <c:pt idx="5">
                  <c:v>4.3937498100000001</c:v>
                </c:pt>
                <c:pt idx="6">
                  <c:v>5.4161961099999996</c:v>
                </c:pt>
                <c:pt idx="7">
                  <c:v>6.5373669199999993</c:v>
                </c:pt>
                <c:pt idx="8">
                  <c:v>7.5443857899999998</c:v>
                </c:pt>
                <c:pt idx="9">
                  <c:v>8.4941595599999999</c:v>
                </c:pt>
                <c:pt idx="10">
                  <c:v>9.1873768899999995</c:v>
                </c:pt>
                <c:pt idx="11">
                  <c:v>9.7036445899999997</c:v>
                </c:pt>
              </c:numCache>
            </c:numRef>
          </c:val>
        </c:ser>
        <c:ser>
          <c:idx val="0"/>
          <c:order val="2"/>
          <c:tx>
            <c:strRef>
              <c:f>'33_g'!$AJ$87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'33_g'!$AK$83:$AV$83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'33_g'!$AK$87:$AV$87</c:f>
              <c:numCache>
                <c:formatCode>#,##0.00_ ;\-#,##0.00\ </c:formatCode>
                <c:ptCount val="12"/>
                <c:pt idx="0">
                  <c:v>0.79208635999999977</c:v>
                </c:pt>
                <c:pt idx="1">
                  <c:v>1.5314671299999993</c:v>
                </c:pt>
                <c:pt idx="2">
                  <c:v>2.1429072499999999</c:v>
                </c:pt>
                <c:pt idx="3">
                  <c:v>2.8948622999999998</c:v>
                </c:pt>
                <c:pt idx="4">
                  <c:v>3.7625741599999998</c:v>
                </c:pt>
                <c:pt idx="5">
                  <c:v>4.4136706499999994</c:v>
                </c:pt>
                <c:pt idx="6">
                  <c:v>5.3779870599999997</c:v>
                </c:pt>
                <c:pt idx="7">
                  <c:v>6.3530997299999994</c:v>
                </c:pt>
                <c:pt idx="8">
                  <c:v>7.1736168299999985</c:v>
                </c:pt>
                <c:pt idx="9">
                  <c:v>7.9343153799999984</c:v>
                </c:pt>
                <c:pt idx="10">
                  <c:v>8.5660235499999988</c:v>
                </c:pt>
                <c:pt idx="11">
                  <c:v>9.2949018099999989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81322496"/>
        <c:axId val="281388736"/>
      </c:barChart>
      <c:lineChart>
        <c:grouping val="standard"/>
        <c:varyColors val="0"/>
        <c:ser>
          <c:idx val="3"/>
          <c:order val="1"/>
          <c:tx>
            <c:strRef>
              <c:f>'33_g'!$AJ$86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'33_g'!$AK$83:$AV$83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'33_g'!$AK$86:$AV$86</c:f>
              <c:numCache>
                <c:formatCode>#,##0.00_ ;\-#,##0.00\ </c:formatCode>
                <c:ptCount val="12"/>
                <c:pt idx="0">
                  <c:v>0.91673000000000004</c:v>
                </c:pt>
                <c:pt idx="1">
                  <c:v>1.821224</c:v>
                </c:pt>
                <c:pt idx="2">
                  <c:v>2.6962479999999998</c:v>
                </c:pt>
                <c:pt idx="3">
                  <c:v>3.6937349999999998</c:v>
                </c:pt>
                <c:pt idx="4">
                  <c:v>4.4007899999999998</c:v>
                </c:pt>
                <c:pt idx="5">
                  <c:v>5.2627889999999997</c:v>
                </c:pt>
                <c:pt idx="6">
                  <c:v>6.4348130000000001</c:v>
                </c:pt>
                <c:pt idx="7">
                  <c:v>7.7048249999999996</c:v>
                </c:pt>
                <c:pt idx="8">
                  <c:v>8.8677980000000005</c:v>
                </c:pt>
                <c:pt idx="9">
                  <c:v>9.9812580000000004</c:v>
                </c:pt>
                <c:pt idx="10">
                  <c:v>10.993690000000001</c:v>
                </c:pt>
                <c:pt idx="11">
                  <c:v>11.894091000000001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22496"/>
        <c:axId val="281388736"/>
      </c:lineChart>
      <c:catAx>
        <c:axId val="28132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1388736"/>
        <c:crosses val="autoZero"/>
        <c:auto val="1"/>
        <c:lblAlgn val="ctr"/>
        <c:lblOffset val="100"/>
        <c:noMultiLvlLbl val="0"/>
      </c:catAx>
      <c:valAx>
        <c:axId val="2813887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2296045019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13224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7331408828"/>
          <c:y val="2.2161373086791118E-2"/>
          <c:w val="0.3910367266859117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'33_g'!$T$21:$U$21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'33_g'!$V$20:$AC$20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'33_g'!$V$21:$AC$21</c:f>
              <c:numCache>
                <c:formatCode>#,##0</c:formatCode>
                <c:ptCount val="8"/>
                <c:pt idx="0">
                  <c:v>159.21335379892554</c:v>
                </c:pt>
                <c:pt idx="1">
                  <c:v>47</c:v>
                </c:pt>
                <c:pt idx="2">
                  <c:v>493.75134305448967</c:v>
                </c:pt>
                <c:pt idx="3">
                  <c:v>100</c:v>
                </c:pt>
                <c:pt idx="4">
                  <c:v>812.23944742901006</c:v>
                </c:pt>
                <c:pt idx="5">
                  <c:v>244</c:v>
                </c:pt>
                <c:pt idx="6">
                  <c:v>999</c:v>
                </c:pt>
                <c:pt idx="7">
                  <c:v>350</c:v>
                </c:pt>
              </c:numCache>
            </c:numRef>
          </c:val>
        </c:ser>
        <c:ser>
          <c:idx val="0"/>
          <c:order val="1"/>
          <c:tx>
            <c:strRef>
              <c:f>'33_g'!$T$22:$U$22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'33_g'!$V$20:$AC$20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'33_g'!$V$22:$AC$22</c:f>
              <c:numCache>
                <c:formatCode>#,##0</c:formatCode>
                <c:ptCount val="8"/>
                <c:pt idx="0">
                  <c:v>45</c:v>
                </c:pt>
                <c:pt idx="1">
                  <c:v>135</c:v>
                </c:pt>
                <c:pt idx="2">
                  <c:v>90</c:v>
                </c:pt>
                <c:pt idx="3">
                  <c:v>161</c:v>
                </c:pt>
                <c:pt idx="4">
                  <c:v>164</c:v>
                </c:pt>
                <c:pt idx="5">
                  <c:v>190</c:v>
                </c:pt>
                <c:pt idx="6">
                  <c:v>299</c:v>
                </c:pt>
                <c:pt idx="7">
                  <c:v>202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81323008"/>
        <c:axId val="281391040"/>
      </c:barChart>
      <c:catAx>
        <c:axId val="28132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281391040"/>
        <c:crosses val="autoZero"/>
        <c:auto val="1"/>
        <c:lblAlgn val="ctr"/>
        <c:lblOffset val="100"/>
        <c:noMultiLvlLbl val="0"/>
      </c:catAx>
      <c:valAx>
        <c:axId val="28139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81323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('34'!$A$9,'34'!$A$13,'34'!$A$17)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('34'!$B$9,'34'!$B$13,'34'!$B$17)</c:f>
              <c:numCache>
                <c:formatCode>_-* #,##0_-;\-* #,##0_-;_-* "-"??_-;_-@_-</c:formatCode>
                <c:ptCount val="3"/>
                <c:pt idx="0">
                  <c:v>1528</c:v>
                </c:pt>
                <c:pt idx="1">
                  <c:v>549</c:v>
                </c:pt>
                <c:pt idx="2">
                  <c:v>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('34'!$A$9,'34'!$A$13,'34'!$A$17)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('34'!$G$9,'34'!$G$13,'34'!$G$17)</c:f>
              <c:numCache>
                <c:formatCode>_-* #,##0_-;\-* #,##0_-;_-* "-"??_-;_-@_-</c:formatCode>
                <c:ptCount val="3"/>
                <c:pt idx="0">
                  <c:v>1579</c:v>
                </c:pt>
                <c:pt idx="1">
                  <c:v>585</c:v>
                </c:pt>
                <c:pt idx="2">
                  <c:v>166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('34'!$A$9,'34'!$A$13,'34'!$A$17)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('34'!$C$9,'34'!$C$13,'34'!$C$17)</c:f>
              <c:numCache>
                <c:formatCode>_(* #,##0.00_);_(* \(#,##0.00\);_(* "-"??_);_(@_)</c:formatCode>
                <c:ptCount val="3"/>
                <c:pt idx="0">
                  <c:v>0.23633799999999999</c:v>
                </c:pt>
                <c:pt idx="1">
                  <c:v>0.20403099999999999</c:v>
                </c:pt>
                <c:pt idx="2">
                  <c:v>4.4803999999999997E-2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('34'!$A$9,'34'!$A$13,'34'!$A$17)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('34'!$H$9,'34'!$H$13,'34'!$H$17)</c:f>
              <c:numCache>
                <c:formatCode>_(* #,##0.00_);_(* \(#,##0.00\);_(* "-"??_);_(@_)</c:formatCode>
                <c:ptCount val="3"/>
                <c:pt idx="0">
                  <c:v>0.23528499999999999</c:v>
                </c:pt>
                <c:pt idx="1">
                  <c:v>0.218995</c:v>
                </c:pt>
                <c:pt idx="2">
                  <c:v>5.3296000000000003E-2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('34'!$A$9,'34'!$A$13,'34'!$A$17)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('34'!$E$9,'34'!$E$13,'34'!$E$17)</c:f>
              <c:numCache>
                <c:formatCode>_(* #,##0.00_);_(* \(#,##0.00\);_(* "-"??_);_(@_)</c:formatCode>
                <c:ptCount val="3"/>
                <c:pt idx="0">
                  <c:v>3.2990944699999991</c:v>
                </c:pt>
                <c:pt idx="1">
                  <c:v>4.2417301000000007</c:v>
                </c:pt>
                <c:pt idx="2">
                  <c:v>1.1752787499999999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'12_g'!$A$18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'12_g'!$B$16:$M$16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'12_g'!$B$18:$M$18</c:f>
              <c:numCache>
                <c:formatCode>#,##0_ ;\-#,##0\ 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5</c:v>
                </c:pt>
                <c:pt idx="4">
                  <c:v>28</c:v>
                </c:pt>
                <c:pt idx="5">
                  <c:v>32</c:v>
                </c:pt>
                <c:pt idx="6">
                  <c:v>25</c:v>
                </c:pt>
                <c:pt idx="7">
                  <c:v>25</c:v>
                </c:pt>
                <c:pt idx="8">
                  <c:v>15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'12_g'!$A$19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'12_g'!$B$16:$M$16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'12_g'!$B$19:$M$19</c:f>
              <c:numCache>
                <c:formatCode>#,##0_ ;\-#,##0\ </c:formatCode>
                <c:ptCount val="12"/>
                <c:pt idx="0">
                  <c:v>6.9387755102040822</c:v>
                </c:pt>
                <c:pt idx="1">
                  <c:v>4.8571428571428577</c:v>
                </c:pt>
                <c:pt idx="2">
                  <c:v>7.2857142857142865</c:v>
                </c:pt>
                <c:pt idx="3">
                  <c:v>10.061224489795917</c:v>
                </c:pt>
                <c:pt idx="4">
                  <c:v>15.26530612244898</c:v>
                </c:pt>
                <c:pt idx="5">
                  <c:v>18.387755102040821</c:v>
                </c:pt>
                <c:pt idx="6">
                  <c:v>12.489795918367347</c:v>
                </c:pt>
                <c:pt idx="7">
                  <c:v>13.530612244897959</c:v>
                </c:pt>
                <c:pt idx="8">
                  <c:v>8.3265306122448983</c:v>
                </c:pt>
                <c:pt idx="9">
                  <c:v>4.8571428571428577</c:v>
                </c:pt>
                <c:pt idx="10">
                  <c:v>7.2857142857142865</c:v>
                </c:pt>
                <c:pt idx="11">
                  <c:v>9.7142857142857153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'12_g'!$A$20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'12_g'!$B$16:$M$16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'12_g'!$B$20:$M$20</c:f>
              <c:numCache>
                <c:formatCode>#,##0_ ;\-#,##0\ </c:formatCode>
                <c:ptCount val="12"/>
                <c:pt idx="0">
                  <c:v>7</c:v>
                </c:pt>
                <c:pt idx="1">
                  <c:v>11</c:v>
                </c:pt>
                <c:pt idx="2">
                  <c:v>16</c:v>
                </c:pt>
                <c:pt idx="3">
                  <c:v>9</c:v>
                </c:pt>
                <c:pt idx="4">
                  <c:v>24</c:v>
                </c:pt>
                <c:pt idx="5">
                  <c:v>22</c:v>
                </c:pt>
                <c:pt idx="6">
                  <c:v>8</c:v>
                </c:pt>
                <c:pt idx="7">
                  <c:v>11</c:v>
                </c:pt>
                <c:pt idx="8">
                  <c:v>2</c:v>
                </c:pt>
                <c:pt idx="9">
                  <c:v>16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53280"/>
        <c:axId val="174425792"/>
      </c:lineChart>
      <c:catAx>
        <c:axId val="1747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425792"/>
        <c:crosses val="autoZero"/>
        <c:auto val="1"/>
        <c:lblAlgn val="ctr"/>
        <c:lblOffset val="100"/>
        <c:noMultiLvlLbl val="0"/>
      </c:catAx>
      <c:valAx>
        <c:axId val="174425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75328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321323821306484"/>
          <c:y val="2.2161373086791118E-2"/>
          <c:w val="0.3867867617869351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('34'!$A$9,'34'!$A$13,'34'!$A$17)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('34'!$J$9,'34'!$J$13,'34'!$J$17)</c:f>
              <c:numCache>
                <c:formatCode>_(* #,##0.00_);_(* \(#,##0.00\);_(* "-"??_);_(@_)</c:formatCode>
                <c:ptCount val="3"/>
                <c:pt idx="0">
                  <c:v>3.2566925800000006</c:v>
                </c:pt>
                <c:pt idx="1">
                  <c:v>4.54851195</c:v>
                </c:pt>
                <c:pt idx="2">
                  <c:v>1.4118356999999999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('34'!$A$9,'34'!$A$13,'34'!$A$17,'34'!$A$20)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('34'!$D$9,'34'!$D$13,'34'!$D$17,'34'!$D$20)</c:f>
              <c:numCache>
                <c:formatCode>_-* #,##0.000_-;\-* #,##0.000_-;_-* "-"??_-;_-@_-</c:formatCode>
                <c:ptCount val="4"/>
                <c:pt idx="0">
                  <c:v>0.43412763651559749</c:v>
                </c:pt>
                <c:pt idx="1">
                  <c:v>1.0507312802554329</c:v>
                </c:pt>
                <c:pt idx="2">
                  <c:v>0.81023554410235554</c:v>
                </c:pt>
                <c:pt idx="3">
                  <c:v>0.61114533144386718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('34'!$A$9,'34'!$A$13,'34'!$A$17,'34'!$A$20)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('34'!$I$9,'34'!$I$13,'34'!$I$17,'34'!$I$20)</c:f>
              <c:numCache>
                <c:formatCode>_-* #,##0.000_-;\-* #,##0.000_-;_-* "-"??_-;_-@_-</c:formatCode>
                <c:ptCount val="4"/>
                <c:pt idx="0">
                  <c:v>0.41494460145231049</c:v>
                </c:pt>
                <c:pt idx="1">
                  <c:v>1.0581768983595468</c:v>
                </c:pt>
                <c:pt idx="2">
                  <c:v>0.89034413631807552</c:v>
                </c:pt>
                <c:pt idx="3">
                  <c:v>0.60871927252448754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82271744"/>
        <c:axId val="278762560"/>
      </c:barChart>
      <c:catAx>
        <c:axId val="28227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8762560"/>
        <c:crosses val="autoZero"/>
        <c:auto val="1"/>
        <c:lblAlgn val="ctr"/>
        <c:lblOffset val="100"/>
        <c:noMultiLvlLbl val="0"/>
      </c:catAx>
      <c:valAx>
        <c:axId val="2787625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271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('34'!$A$9,'34'!$A$13,'34'!$A$17,'34'!$A$20)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('34'!$F$9,'34'!$F$13,'34'!$F$17,'34'!$F$20)</c:f>
              <c:numCache>
                <c:formatCode>_(* #,##0.00_);_(* \(#,##0.00\);_(* "-"??_);_(@_)</c:formatCode>
                <c:ptCount val="4"/>
                <c:pt idx="0">
                  <c:v>13.95922141170696</c:v>
                </c:pt>
                <c:pt idx="1">
                  <c:v>20.789635398542384</c:v>
                </c:pt>
                <c:pt idx="2">
                  <c:v>26.231558566199446</c:v>
                </c:pt>
                <c:pt idx="3">
                  <c:v>17.964938939306187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('34'!$A$9,'34'!$A$13,'34'!$A$17,'34'!$A$20)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('34'!$K$9,'34'!$K$13,'34'!$K$17,'34'!$K$20)</c:f>
              <c:numCache>
                <c:formatCode>_(* #,##0.00_);_(* \(#,##0.00\);_(* "-"??_);_(@_)</c:formatCode>
                <c:ptCount val="4"/>
                <c:pt idx="0">
                  <c:v>13.841479822343119</c:v>
                </c:pt>
                <c:pt idx="1">
                  <c:v>20.769935158336949</c:v>
                </c:pt>
                <c:pt idx="2">
                  <c:v>26.490462698889218</c:v>
                </c:pt>
                <c:pt idx="3">
                  <c:v>18.158936257821487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82272768"/>
        <c:axId val="278764288"/>
      </c:barChart>
      <c:catAx>
        <c:axId val="2822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8764288"/>
        <c:crosses val="autoZero"/>
        <c:auto val="1"/>
        <c:lblAlgn val="ctr"/>
        <c:lblOffset val="100"/>
        <c:noMultiLvlLbl val="0"/>
      </c:catAx>
      <c:valAx>
        <c:axId val="2787642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27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'34_g'!$A$18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'34_g'!$B$16:$M$16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'34_g'!$B$18:$M$18</c:f>
              <c:numCache>
                <c:formatCode>#,##0_ ;\-#,##0\ </c:formatCode>
                <c:ptCount val="12"/>
                <c:pt idx="0">
                  <c:v>8</c:v>
                </c:pt>
                <c:pt idx="1">
                  <c:v>14</c:v>
                </c:pt>
                <c:pt idx="2">
                  <c:v>5</c:v>
                </c:pt>
                <c:pt idx="3">
                  <c:v>4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13</c:v>
                </c:pt>
                <c:pt idx="8">
                  <c:v>25</c:v>
                </c:pt>
                <c:pt idx="9">
                  <c:v>5</c:v>
                </c:pt>
                <c:pt idx="10">
                  <c:v>6</c:v>
                </c:pt>
                <c:pt idx="11">
                  <c:v>40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'34_g'!$A$19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'34_g'!$B$16:$M$16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'34_g'!$B$19:$M$19</c:f>
              <c:numCache>
                <c:formatCode>#,##0_ ;\-#,##0\ </c:formatCode>
                <c:ptCount val="12"/>
                <c:pt idx="0">
                  <c:v>6.1363636363636367</c:v>
                </c:pt>
                <c:pt idx="1">
                  <c:v>9.8181818181818183</c:v>
                </c:pt>
                <c:pt idx="2">
                  <c:v>3.6818181818181821</c:v>
                </c:pt>
                <c:pt idx="3">
                  <c:v>5.2159090909090917</c:v>
                </c:pt>
                <c:pt idx="4">
                  <c:v>7.9772727272727275</c:v>
                </c:pt>
                <c:pt idx="5">
                  <c:v>10.431818181818183</c:v>
                </c:pt>
                <c:pt idx="6">
                  <c:v>10.738636363636363</c:v>
                </c:pt>
                <c:pt idx="7">
                  <c:v>9.8181818181818183</c:v>
                </c:pt>
                <c:pt idx="8">
                  <c:v>21.170454545454547</c:v>
                </c:pt>
                <c:pt idx="9">
                  <c:v>4.9090909090909092</c:v>
                </c:pt>
                <c:pt idx="10">
                  <c:v>3.375</c:v>
                </c:pt>
                <c:pt idx="11">
                  <c:v>14.727272727272728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'34_g'!$A$20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'34_g'!$B$16:$M$16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'34_g'!$B$20:$M$20</c:f>
              <c:numCache>
                <c:formatCode>#,##0_ ;\-#,##0\ </c:formatCode>
                <c:ptCount val="12"/>
                <c:pt idx="0">
                  <c:v>5</c:v>
                </c:pt>
                <c:pt idx="1">
                  <c:v>10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3</c:v>
                </c:pt>
                <c:pt idx="7">
                  <c:v>2</c:v>
                </c:pt>
                <c:pt idx="8">
                  <c:v>9</c:v>
                </c:pt>
                <c:pt idx="9">
                  <c:v>7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2256"/>
        <c:axId val="282567232"/>
      </c:lineChart>
      <c:catAx>
        <c:axId val="25187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567232"/>
        <c:crosses val="autoZero"/>
        <c:auto val="1"/>
        <c:lblAlgn val="ctr"/>
        <c:lblOffset val="100"/>
        <c:noMultiLvlLbl val="0"/>
      </c:catAx>
      <c:valAx>
        <c:axId val="2825672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8722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'34_g'!$B$39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'34_g'!$C$39:$N$39</c:f>
              <c:numCache>
                <c:formatCode>#,##0_ ;\-#,##0\ </c:formatCode>
                <c:ptCount val="12"/>
                <c:pt idx="0">
                  <c:v>8</c:v>
                </c:pt>
                <c:pt idx="1">
                  <c:v>22</c:v>
                </c:pt>
                <c:pt idx="2">
                  <c:v>27</c:v>
                </c:pt>
                <c:pt idx="3">
                  <c:v>31</c:v>
                </c:pt>
                <c:pt idx="4">
                  <c:v>45</c:v>
                </c:pt>
                <c:pt idx="5">
                  <c:v>60</c:v>
                </c:pt>
                <c:pt idx="6">
                  <c:v>76</c:v>
                </c:pt>
                <c:pt idx="7">
                  <c:v>89</c:v>
                </c:pt>
                <c:pt idx="8">
                  <c:v>114</c:v>
                </c:pt>
                <c:pt idx="9">
                  <c:v>119</c:v>
                </c:pt>
                <c:pt idx="10">
                  <c:v>125</c:v>
                </c:pt>
                <c:pt idx="11">
                  <c:v>165</c:v>
                </c:pt>
              </c:numCache>
            </c:numRef>
          </c:val>
        </c:ser>
        <c:ser>
          <c:idx val="0"/>
          <c:order val="2"/>
          <c:tx>
            <c:strRef>
              <c:f>'34_g'!$B$41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'34_g'!$C$41:$N$41</c:f>
              <c:numCache>
                <c:formatCode>#,##0_ ;\-#,##0\ </c:formatCode>
                <c:ptCount val="12"/>
                <c:pt idx="0">
                  <c:v>5</c:v>
                </c:pt>
                <c:pt idx="1">
                  <c:v>15</c:v>
                </c:pt>
                <c:pt idx="2">
                  <c:v>22</c:v>
                </c:pt>
                <c:pt idx="3">
                  <c:v>29</c:v>
                </c:pt>
                <c:pt idx="4">
                  <c:v>34</c:v>
                </c:pt>
                <c:pt idx="5">
                  <c:v>44</c:v>
                </c:pt>
                <c:pt idx="6">
                  <c:v>47</c:v>
                </c:pt>
                <c:pt idx="7">
                  <c:v>49</c:v>
                </c:pt>
                <c:pt idx="8">
                  <c:v>58</c:v>
                </c:pt>
                <c:pt idx="9">
                  <c:v>65</c:v>
                </c:pt>
                <c:pt idx="10">
                  <c:v>67</c:v>
                </c:pt>
                <c:pt idx="11">
                  <c:v>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1872768"/>
        <c:axId val="282569536"/>
      </c:barChart>
      <c:lineChart>
        <c:grouping val="standard"/>
        <c:varyColors val="0"/>
        <c:ser>
          <c:idx val="3"/>
          <c:order val="1"/>
          <c:tx>
            <c:strRef>
              <c:f>'34_g'!$B$40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'34_g'!$C$37:$N$37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'34_g'!$C$40:$N$40</c:f>
              <c:numCache>
                <c:formatCode>#,##0_ ;\-#,##0\ </c:formatCode>
                <c:ptCount val="12"/>
                <c:pt idx="0">
                  <c:v>6.1363636363636367</c:v>
                </c:pt>
                <c:pt idx="1">
                  <c:v>15.954545454545455</c:v>
                </c:pt>
                <c:pt idx="2">
                  <c:v>19.636363636363637</c:v>
                </c:pt>
                <c:pt idx="3">
                  <c:v>24.852272727272727</c:v>
                </c:pt>
                <c:pt idx="4">
                  <c:v>32.829545454545453</c:v>
                </c:pt>
                <c:pt idx="5">
                  <c:v>43.26136363636364</c:v>
                </c:pt>
                <c:pt idx="6">
                  <c:v>54</c:v>
                </c:pt>
                <c:pt idx="7">
                  <c:v>63.81818181818182</c:v>
                </c:pt>
                <c:pt idx="8">
                  <c:v>84.988636363636374</c:v>
                </c:pt>
                <c:pt idx="9">
                  <c:v>89.89772727272728</c:v>
                </c:pt>
                <c:pt idx="10">
                  <c:v>93.27272727272728</c:v>
                </c:pt>
                <c:pt idx="11">
                  <c:v>108.00000000000001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2768"/>
        <c:axId val="282569536"/>
      </c:lineChart>
      <c:catAx>
        <c:axId val="25187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569536"/>
        <c:crosses val="autoZero"/>
        <c:auto val="1"/>
        <c:lblAlgn val="ctr"/>
        <c:lblOffset val="100"/>
        <c:noMultiLvlLbl val="0"/>
      </c:catAx>
      <c:valAx>
        <c:axId val="2825695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8727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'34_g'!$AI$18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'34_g'!$AJ$16:$AU$16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'34_g'!$AJ$18:$AU$18</c:f>
              <c:numCache>
                <c:formatCode>#,##0.000_ ;\-#,##0.000\ </c:formatCode>
                <c:ptCount val="12"/>
                <c:pt idx="0">
                  <c:v>3.9801999999999997E-2</c:v>
                </c:pt>
                <c:pt idx="1">
                  <c:v>3.7627000000000001E-2</c:v>
                </c:pt>
                <c:pt idx="2">
                  <c:v>4.1244999999999997E-2</c:v>
                </c:pt>
                <c:pt idx="3">
                  <c:v>3.9914999999999999E-2</c:v>
                </c:pt>
                <c:pt idx="4">
                  <c:v>3.8653E-2</c:v>
                </c:pt>
                <c:pt idx="5">
                  <c:v>3.5992999999999997E-2</c:v>
                </c:pt>
                <c:pt idx="6">
                  <c:v>4.3833110000000002E-2</c:v>
                </c:pt>
                <c:pt idx="7">
                  <c:v>4.4984000000000003E-2</c:v>
                </c:pt>
                <c:pt idx="8">
                  <c:v>4.1010999999999999E-2</c:v>
                </c:pt>
                <c:pt idx="9">
                  <c:v>4.2931999999999998E-2</c:v>
                </c:pt>
                <c:pt idx="10">
                  <c:v>3.8087000000000003E-2</c:v>
                </c:pt>
                <c:pt idx="11">
                  <c:v>4.2757000000000003E-2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'34_g'!$AI$19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'34_g'!$AJ$16:$AU$16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'34_g'!$AJ$19:$AU$19</c:f>
              <c:numCache>
                <c:formatCode>#,##0.000_ ;\-#,##0.000\ </c:formatCode>
                <c:ptCount val="12"/>
                <c:pt idx="0">
                  <c:v>4.1882999999999997E-2</c:v>
                </c:pt>
                <c:pt idx="1">
                  <c:v>4.1324E-2</c:v>
                </c:pt>
                <c:pt idx="2">
                  <c:v>4.2770000000000002E-2</c:v>
                </c:pt>
                <c:pt idx="3">
                  <c:v>4.2803000000000001E-2</c:v>
                </c:pt>
                <c:pt idx="4">
                  <c:v>4.1088E-2</c:v>
                </c:pt>
                <c:pt idx="5">
                  <c:v>3.9405999999999997E-2</c:v>
                </c:pt>
                <c:pt idx="6">
                  <c:v>4.6315000000000002E-2</c:v>
                </c:pt>
                <c:pt idx="7">
                  <c:v>4.6248999999999998E-2</c:v>
                </c:pt>
                <c:pt idx="8">
                  <c:v>4.5356E-2</c:v>
                </c:pt>
                <c:pt idx="9">
                  <c:v>4.5817999999999998E-2</c:v>
                </c:pt>
                <c:pt idx="10">
                  <c:v>4.2617000000000002E-2</c:v>
                </c:pt>
                <c:pt idx="11">
                  <c:v>4.3671000000000001E-2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'34_g'!$AI$20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'34_g'!$AJ$16:$AU$16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'34_g'!$AJ$20:$AU$20</c:f>
              <c:numCache>
                <c:formatCode>#,##0.000_ ;\-#,##0.000\ </c:formatCode>
                <c:ptCount val="12"/>
                <c:pt idx="0">
                  <c:v>3.9317999999999999E-2</c:v>
                </c:pt>
                <c:pt idx="1">
                  <c:v>4.0953000000000003E-2</c:v>
                </c:pt>
                <c:pt idx="2">
                  <c:v>4.1812000000000002E-2</c:v>
                </c:pt>
                <c:pt idx="3">
                  <c:v>4.1627999999999998E-2</c:v>
                </c:pt>
                <c:pt idx="4">
                  <c:v>4.0267999999999998E-2</c:v>
                </c:pt>
                <c:pt idx="5">
                  <c:v>3.9917000000000001E-2</c:v>
                </c:pt>
                <c:pt idx="6">
                  <c:v>4.5881999999999999E-2</c:v>
                </c:pt>
                <c:pt idx="7">
                  <c:v>4.4142000000000001E-2</c:v>
                </c:pt>
                <c:pt idx="8">
                  <c:v>4.4581000000000003E-2</c:v>
                </c:pt>
                <c:pt idx="9">
                  <c:v>4.3104000000000003E-2</c:v>
                </c:pt>
                <c:pt idx="10">
                  <c:v>4.2178E-2</c:v>
                </c:pt>
                <c:pt idx="11">
                  <c:v>4.4068000000000003E-2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3792"/>
        <c:axId val="282571840"/>
      </c:lineChart>
      <c:catAx>
        <c:axId val="2518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571840"/>
        <c:crosses val="autoZero"/>
        <c:auto val="1"/>
        <c:lblAlgn val="ctr"/>
        <c:lblOffset val="100"/>
        <c:noMultiLvlLbl val="0"/>
      </c:catAx>
      <c:valAx>
        <c:axId val="2825718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730935457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8737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6355611133"/>
          <c:y val="2.2161373086791118E-2"/>
          <c:w val="0.3512889429593832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'34_g'!$AJ$39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'34_g'!$AK$39:$AV$39</c:f>
              <c:numCache>
                <c:formatCode>#,##0.000_ ;\-#,##0.000\ </c:formatCode>
                <c:ptCount val="12"/>
                <c:pt idx="0">
                  <c:v>3.9801999999999997E-2</c:v>
                </c:pt>
                <c:pt idx="1">
                  <c:v>7.7428999999999998E-2</c:v>
                </c:pt>
                <c:pt idx="2">
                  <c:v>0.118674</c:v>
                </c:pt>
                <c:pt idx="3">
                  <c:v>0.15858900000000001</c:v>
                </c:pt>
                <c:pt idx="4">
                  <c:v>0.197242</c:v>
                </c:pt>
                <c:pt idx="5">
                  <c:v>0.233235</c:v>
                </c:pt>
                <c:pt idx="6">
                  <c:v>0.27706810999999998</c:v>
                </c:pt>
                <c:pt idx="7">
                  <c:v>0.32205211</c:v>
                </c:pt>
                <c:pt idx="8">
                  <c:v>0.36306311000000002</c:v>
                </c:pt>
                <c:pt idx="9">
                  <c:v>0.40599510999999999</c:v>
                </c:pt>
                <c:pt idx="10">
                  <c:v>0.44408210999999997</c:v>
                </c:pt>
                <c:pt idx="11">
                  <c:v>0.48683910999999996</c:v>
                </c:pt>
              </c:numCache>
            </c:numRef>
          </c:val>
        </c:ser>
        <c:ser>
          <c:idx val="0"/>
          <c:order val="2"/>
          <c:tx>
            <c:strRef>
              <c:f>'34_g'!$AJ$41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'34_g'!$AK$41:$AV$41</c:f>
              <c:numCache>
                <c:formatCode>#,##0.000_ ;\-#,##0.000\ </c:formatCode>
                <c:ptCount val="12"/>
                <c:pt idx="0">
                  <c:v>3.9317999999999999E-2</c:v>
                </c:pt>
                <c:pt idx="1">
                  <c:v>8.0271000000000009E-2</c:v>
                </c:pt>
                <c:pt idx="2">
                  <c:v>0.12208300000000001</c:v>
                </c:pt>
                <c:pt idx="3">
                  <c:v>0.163711</c:v>
                </c:pt>
                <c:pt idx="4">
                  <c:v>0.20397899999999999</c:v>
                </c:pt>
                <c:pt idx="5">
                  <c:v>0.243896</c:v>
                </c:pt>
                <c:pt idx="6">
                  <c:v>0.28977799999999998</c:v>
                </c:pt>
                <c:pt idx="7">
                  <c:v>0.33391999999999999</c:v>
                </c:pt>
                <c:pt idx="8">
                  <c:v>0.37850099999999998</c:v>
                </c:pt>
                <c:pt idx="9">
                  <c:v>0.42160500000000001</c:v>
                </c:pt>
                <c:pt idx="10">
                  <c:v>0.463783</c:v>
                </c:pt>
                <c:pt idx="11">
                  <c:v>0.50785100000000005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51874304"/>
        <c:axId val="282574144"/>
      </c:barChart>
      <c:lineChart>
        <c:grouping val="standard"/>
        <c:varyColors val="0"/>
        <c:ser>
          <c:idx val="3"/>
          <c:order val="1"/>
          <c:tx>
            <c:strRef>
              <c:f>'34_g'!$AJ$40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'34_g'!$AK$37:$AV$37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'34_g'!$AK$40:$AV$40</c:f>
              <c:numCache>
                <c:formatCode>#,##0.000_ ;\-#,##0.000\ </c:formatCode>
                <c:ptCount val="12"/>
                <c:pt idx="0">
                  <c:v>4.1882999999999997E-2</c:v>
                </c:pt>
                <c:pt idx="1">
                  <c:v>8.3207000000000003E-2</c:v>
                </c:pt>
                <c:pt idx="2">
                  <c:v>0.12597700000000001</c:v>
                </c:pt>
                <c:pt idx="3">
                  <c:v>0.16878000000000001</c:v>
                </c:pt>
                <c:pt idx="4">
                  <c:v>0.209868</c:v>
                </c:pt>
                <c:pt idx="5">
                  <c:v>0.249274</c:v>
                </c:pt>
                <c:pt idx="6">
                  <c:v>0.29558899999999999</c:v>
                </c:pt>
                <c:pt idx="7">
                  <c:v>0.34183799999999998</c:v>
                </c:pt>
                <c:pt idx="8">
                  <c:v>0.38719399999999998</c:v>
                </c:pt>
                <c:pt idx="9">
                  <c:v>0.43301199999999995</c:v>
                </c:pt>
                <c:pt idx="10">
                  <c:v>0.47562899999999997</c:v>
                </c:pt>
                <c:pt idx="11">
                  <c:v>0.51929999999999998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4304"/>
        <c:axId val="282574144"/>
      </c:lineChart>
      <c:catAx>
        <c:axId val="25187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574144"/>
        <c:crosses val="autoZero"/>
        <c:auto val="1"/>
        <c:lblAlgn val="ctr"/>
        <c:lblOffset val="100"/>
        <c:noMultiLvlLbl val="0"/>
      </c:catAx>
      <c:valAx>
        <c:axId val="2825741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81690586548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8743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4001228573"/>
          <c:y val="2.2161373086791118E-2"/>
          <c:w val="0.33180945998771427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'34_g'!$AY$18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'34_g'!$AZ$16:$BK$16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'34_g'!$AZ$18:$BK$18</c:f>
              <c:numCache>
                <c:formatCode>#,##0.000_ ;\-#,##0.000\ </c:formatCode>
                <c:ptCount val="12"/>
                <c:pt idx="0">
                  <c:v>7.6010000000000001E-3</c:v>
                </c:pt>
                <c:pt idx="1">
                  <c:v>7.6361100000000006E-3</c:v>
                </c:pt>
                <c:pt idx="2">
                  <c:v>4.638709999999999E-3</c:v>
                </c:pt>
                <c:pt idx="3">
                  <c:v>6.8020400000000005E-3</c:v>
                </c:pt>
                <c:pt idx="4">
                  <c:v>2.697779999999999E-3</c:v>
                </c:pt>
                <c:pt idx="5">
                  <c:v>1.3169300000000004E-2</c:v>
                </c:pt>
                <c:pt idx="6">
                  <c:v>4.1021599999999962E-3</c:v>
                </c:pt>
                <c:pt idx="7">
                  <c:v>5.0354700000000011E-3</c:v>
                </c:pt>
                <c:pt idx="8">
                  <c:v>7.4465699999999996E-3</c:v>
                </c:pt>
                <c:pt idx="9">
                  <c:v>6.3200199999999965E-3</c:v>
                </c:pt>
                <c:pt idx="10">
                  <c:v>8.106270000000004E-3</c:v>
                </c:pt>
                <c:pt idx="11">
                  <c:v>2.5021800000000001E-3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'34_g'!$AY$19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'34_g'!$AZ$16:$BK$16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'34_g'!$AZ$19:$BK$19</c:f>
              <c:numCache>
                <c:formatCode>#,##0.000_ ;\-#,##0.000\ </c:formatCode>
                <c:ptCount val="12"/>
                <c:pt idx="0">
                  <c:v>7.1809999999999999E-3</c:v>
                </c:pt>
                <c:pt idx="1">
                  <c:v>7.5700000000000003E-3</c:v>
                </c:pt>
                <c:pt idx="2">
                  <c:v>7.2709999999999997E-3</c:v>
                </c:pt>
                <c:pt idx="3">
                  <c:v>8.09E-3</c:v>
                </c:pt>
                <c:pt idx="4">
                  <c:v>4.7580000000000001E-3</c:v>
                </c:pt>
                <c:pt idx="5">
                  <c:v>1.3412E-2</c:v>
                </c:pt>
                <c:pt idx="6">
                  <c:v>5.6839999999999998E-3</c:v>
                </c:pt>
                <c:pt idx="7">
                  <c:v>8.0389999999999993E-3</c:v>
                </c:pt>
                <c:pt idx="8">
                  <c:v>8.09E-3</c:v>
                </c:pt>
                <c:pt idx="9">
                  <c:v>6.9769999999999997E-3</c:v>
                </c:pt>
                <c:pt idx="10">
                  <c:v>8.3890000000000006E-3</c:v>
                </c:pt>
                <c:pt idx="11">
                  <c:v>6.1799999999999997E-3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'34_g'!$AY$20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'34_g'!$AZ$16:$BK$16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'34_g'!$AZ$20:$BK$20</c:f>
              <c:numCache>
                <c:formatCode>#,##0.000_ ;\-#,##0.000\ </c:formatCode>
                <c:ptCount val="12"/>
                <c:pt idx="0">
                  <c:v>6.6520400000000006E-3</c:v>
                </c:pt>
                <c:pt idx="1">
                  <c:v>5.0115500000000026E-3</c:v>
                </c:pt>
                <c:pt idx="2">
                  <c:v>8.2219000000000007E-3</c:v>
                </c:pt>
                <c:pt idx="3">
                  <c:v>7.1543899999999992E-3</c:v>
                </c:pt>
                <c:pt idx="4">
                  <c:v>5.7971799999999999E-3</c:v>
                </c:pt>
                <c:pt idx="5">
                  <c:v>1.1802580000000002E-2</c:v>
                </c:pt>
                <c:pt idx="6">
                  <c:v>4.1561100000000002E-3</c:v>
                </c:pt>
                <c:pt idx="7">
                  <c:v>7.6303700000000026E-3</c:v>
                </c:pt>
                <c:pt idx="8">
                  <c:v>6.9272100000000066E-3</c:v>
                </c:pt>
                <c:pt idx="9">
                  <c:v>8.078550000000002E-3</c:v>
                </c:pt>
                <c:pt idx="10">
                  <c:v>8.6627500000000003E-3</c:v>
                </c:pt>
                <c:pt idx="11">
                  <c:v>3.6818600000000008E-3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4816"/>
        <c:axId val="270321344"/>
      </c:lineChart>
      <c:catAx>
        <c:axId val="25187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321344"/>
        <c:crosses val="autoZero"/>
        <c:auto val="1"/>
        <c:lblAlgn val="ctr"/>
        <c:lblOffset val="100"/>
        <c:noMultiLvlLbl val="0"/>
      </c:catAx>
      <c:valAx>
        <c:axId val="2703213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92241608565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518748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376615368"/>
          <c:y val="2.2161373086791118E-2"/>
          <c:w val="0.353009662338463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'34_g'!$AY$39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'34_g'!$AZ$37:$BO$37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'34_g'!$AZ$39:$BO$39</c:f>
              <c:numCache>
                <c:formatCode>_(* #,##0.00_);_(* \(#,##0.00\);_(* "-"??_);_(@_)</c:formatCode>
                <c:ptCount val="16"/>
                <c:pt idx="0">
                  <c:v>16.034850114971626</c:v>
                </c:pt>
                <c:pt idx="1">
                  <c:v>16.870493432731422</c:v>
                </c:pt>
                <c:pt idx="2">
                  <c:v>10.109709960245148</c:v>
                </c:pt>
                <c:pt idx="3">
                  <c:v>14.345612285891102</c:v>
                </c:pt>
                <c:pt idx="4">
                  <c:v>14.560083429943338</c:v>
                </c:pt>
                <c:pt idx="5">
                  <c:v>6.524133281161804</c:v>
                </c:pt>
                <c:pt idx="6">
                  <c:v>26.7531127286172</c:v>
                </c:pt>
                <c:pt idx="7">
                  <c:v>15.423610261694574</c:v>
                </c:pt>
                <c:pt idx="8">
                  <c:v>8.5269331031857849</c:v>
                </c:pt>
                <c:pt idx="9">
                  <c:v>10.045130042867857</c:v>
                </c:pt>
                <c:pt idx="10">
                  <c:v>15.367196497884644</c:v>
                </c:pt>
                <c:pt idx="11">
                  <c:v>13.993828946442017</c:v>
                </c:pt>
                <c:pt idx="12">
                  <c:v>12.832001611304463</c:v>
                </c:pt>
                <c:pt idx="13">
                  <c:v>17.54859528238638</c:v>
                </c:pt>
                <c:pt idx="14">
                  <c:v>5.5285579632684465</c:v>
                </c:pt>
                <c:pt idx="15">
                  <c:v>13.503546931857265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'34_g'!$AY$40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'34_g'!$AZ$37:$BO$37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'34_g'!$AZ$40:$BO$40</c:f>
              <c:numCache>
                <c:formatCode>_(* #,##0.00_);_(* \(#,##0.00\);_(* "-"??_);_(@_)</c:formatCode>
                <c:ptCount val="1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'34_g'!$AY$41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'34_g'!$AZ$37:$BO$37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'34_g'!$AZ$41:$BO$41</c:f>
              <c:numCache>
                <c:formatCode>_(* #,##0.00_);_(* \(#,##0.00\);_(* "-"??_);_(@_)</c:formatCode>
                <c:ptCount val="16"/>
                <c:pt idx="0">
                  <c:v>14.470381143892849</c:v>
                </c:pt>
                <c:pt idx="1">
                  <c:v>10.903076392567757</c:v>
                </c:pt>
                <c:pt idx="2">
                  <c:v>16.432658657430267</c:v>
                </c:pt>
                <c:pt idx="3">
                  <c:v>14.006974364522714</c:v>
                </c:pt>
                <c:pt idx="4">
                  <c:v>14.665927602153154</c:v>
                </c:pt>
                <c:pt idx="5">
                  <c:v>12.577088410910248</c:v>
                </c:pt>
                <c:pt idx="6">
                  <c:v>22.820332261012176</c:v>
                </c:pt>
                <c:pt idx="7">
                  <c:v>15.469599704245487</c:v>
                </c:pt>
                <c:pt idx="8">
                  <c:v>8.3058892512127258</c:v>
                </c:pt>
                <c:pt idx="9">
                  <c:v>14.738305393398065</c:v>
                </c:pt>
                <c:pt idx="10">
                  <c:v>13.448749238228247</c:v>
                </c:pt>
                <c:pt idx="11">
                  <c:v>14.33714943976149</c:v>
                </c:pt>
                <c:pt idx="12">
                  <c:v>15.783797407514871</c:v>
                </c:pt>
                <c:pt idx="13">
                  <c:v>17.038989393350807</c:v>
                </c:pt>
                <c:pt idx="14">
                  <c:v>7.7107241780394755</c:v>
                </c:pt>
                <c:pt idx="15">
                  <c:v>14.159674238804071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686976"/>
        <c:axId val="270323648"/>
      </c:lineChart>
      <c:catAx>
        <c:axId val="28268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323648"/>
        <c:crosses val="autoZero"/>
        <c:auto val="1"/>
        <c:lblAlgn val="ctr"/>
        <c:lblOffset val="100"/>
        <c:noMultiLvlLbl val="0"/>
      </c:catAx>
      <c:valAx>
        <c:axId val="2703236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5103112111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6869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7619047622"/>
          <c:y val="2.2161373086791118E-2"/>
          <c:w val="0.2830308211473565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'34_g'!$A$64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'34_g'!$B$62:$M$62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'34_g'!$B$64:$M$64</c:f>
              <c:numCache>
                <c:formatCode>#,##0.00_ ;\-#,##0.00\ </c:formatCode>
                <c:ptCount val="12"/>
                <c:pt idx="0">
                  <c:v>0.80377647000000008</c:v>
                </c:pt>
                <c:pt idx="1">
                  <c:v>0.76283986999999998</c:v>
                </c:pt>
                <c:pt idx="2">
                  <c:v>0.81992573999999996</c:v>
                </c:pt>
                <c:pt idx="3">
                  <c:v>0.78744349000000002</c:v>
                </c:pt>
                <c:pt idx="4">
                  <c:v>0.76789496000000002</c:v>
                </c:pt>
                <c:pt idx="5">
                  <c:v>0.72086961000000005</c:v>
                </c:pt>
                <c:pt idx="6">
                  <c:v>0.94467551999999988</c:v>
                </c:pt>
                <c:pt idx="7">
                  <c:v>0.89262179000000008</c:v>
                </c:pt>
                <c:pt idx="8">
                  <c:v>0.83761999999999992</c:v>
                </c:pt>
                <c:pt idx="9">
                  <c:v>0.84418013999999997</c:v>
                </c:pt>
                <c:pt idx="10">
                  <c:v>0.76887536999999995</c:v>
                </c:pt>
                <c:pt idx="11">
                  <c:v>0.88997210999999987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'34_g'!$A$65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'34_g'!$B$62:$M$62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'34_g'!$B$65:$M$65</c:f>
              <c:numCache>
                <c:formatCode>#,##0.00_ ;\-#,##0.00\ </c:formatCode>
                <c:ptCount val="12"/>
                <c:pt idx="0">
                  <c:v>0.83139200000000002</c:v>
                </c:pt>
                <c:pt idx="1">
                  <c:v>0.82060299999999997</c:v>
                </c:pt>
                <c:pt idx="2">
                  <c:v>0.84350499999999995</c:v>
                </c:pt>
                <c:pt idx="3">
                  <c:v>0.84294599999999997</c:v>
                </c:pt>
                <c:pt idx="4">
                  <c:v>0.814855</c:v>
                </c:pt>
                <c:pt idx="5">
                  <c:v>0.79030599999999995</c:v>
                </c:pt>
                <c:pt idx="6">
                  <c:v>0.92537700000000001</c:v>
                </c:pt>
                <c:pt idx="7">
                  <c:v>0.92009300000000005</c:v>
                </c:pt>
                <c:pt idx="8">
                  <c:v>0.91295899999999996</c:v>
                </c:pt>
                <c:pt idx="9">
                  <c:v>0.89177899999999999</c:v>
                </c:pt>
                <c:pt idx="10">
                  <c:v>0.84072400000000003</c:v>
                </c:pt>
                <c:pt idx="11">
                  <c:v>0.86636899999999994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'34_g'!$A$66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'34_g'!$B$62:$M$62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'34_g'!$B$66:$M$66</c:f>
              <c:numCache>
                <c:formatCode>#,##0.00_ ;\-#,##0.00\ </c:formatCode>
                <c:ptCount val="12"/>
                <c:pt idx="0">
                  <c:v>0.78665992000000007</c:v>
                </c:pt>
                <c:pt idx="1">
                  <c:v>0.87760472999999994</c:v>
                </c:pt>
                <c:pt idx="2">
                  <c:v>0.84214292000000002</c:v>
                </c:pt>
                <c:pt idx="3">
                  <c:v>0.83639374000000011</c:v>
                </c:pt>
                <c:pt idx="4">
                  <c:v>0.80546753999999998</c:v>
                </c:pt>
                <c:pt idx="5">
                  <c:v>0.80404901999999989</c:v>
                </c:pt>
                <c:pt idx="6">
                  <c:v>0.90934134999999983</c:v>
                </c:pt>
                <c:pt idx="7">
                  <c:v>0.87150003000000009</c:v>
                </c:pt>
                <c:pt idx="8">
                  <c:v>0.89707545999999994</c:v>
                </c:pt>
                <c:pt idx="9">
                  <c:v>0.86263353999999992</c:v>
                </c:pt>
                <c:pt idx="10">
                  <c:v>0.84272538000000008</c:v>
                </c:pt>
                <c:pt idx="11">
                  <c:v>0.89024938000000009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688512"/>
        <c:axId val="270325952"/>
      </c:lineChart>
      <c:catAx>
        <c:axId val="28268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70325952"/>
        <c:crosses val="autoZero"/>
        <c:auto val="1"/>
        <c:lblAlgn val="ctr"/>
        <c:lblOffset val="100"/>
        <c:noMultiLvlLbl val="0"/>
      </c:catAx>
      <c:valAx>
        <c:axId val="2703259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6885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'12_g'!$B$39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'12_g'!$C$39:$N$39</c:f>
              <c:numCache>
                <c:formatCode>#,##0_ ;\-#,##0\ </c:formatCode>
                <c:ptCount val="12"/>
                <c:pt idx="0">
                  <c:v>7</c:v>
                </c:pt>
                <c:pt idx="1">
                  <c:v>10</c:v>
                </c:pt>
                <c:pt idx="2">
                  <c:v>16</c:v>
                </c:pt>
                <c:pt idx="3">
                  <c:v>21</c:v>
                </c:pt>
                <c:pt idx="4">
                  <c:v>49</c:v>
                </c:pt>
                <c:pt idx="5">
                  <c:v>81</c:v>
                </c:pt>
                <c:pt idx="6">
                  <c:v>106</c:v>
                </c:pt>
                <c:pt idx="7">
                  <c:v>131</c:v>
                </c:pt>
                <c:pt idx="8">
                  <c:v>146</c:v>
                </c:pt>
                <c:pt idx="9">
                  <c:v>150</c:v>
                </c:pt>
                <c:pt idx="10">
                  <c:v>160</c:v>
                </c:pt>
                <c:pt idx="11">
                  <c:v>170</c:v>
                </c:pt>
              </c:numCache>
            </c:numRef>
          </c:val>
        </c:ser>
        <c:ser>
          <c:idx val="0"/>
          <c:order val="2"/>
          <c:tx>
            <c:strRef>
              <c:f>'12_g'!$B$41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'12_g'!$C$41:$N$41</c:f>
              <c:numCache>
                <c:formatCode>#,##0_ ;\-#,##0\ </c:formatCode>
                <c:ptCount val="12"/>
                <c:pt idx="0">
                  <c:v>7</c:v>
                </c:pt>
                <c:pt idx="1">
                  <c:v>18</c:v>
                </c:pt>
                <c:pt idx="2">
                  <c:v>34</c:v>
                </c:pt>
                <c:pt idx="3">
                  <c:v>43</c:v>
                </c:pt>
                <c:pt idx="4">
                  <c:v>67</c:v>
                </c:pt>
                <c:pt idx="5">
                  <c:v>89</c:v>
                </c:pt>
                <c:pt idx="6">
                  <c:v>97</c:v>
                </c:pt>
                <c:pt idx="7">
                  <c:v>108</c:v>
                </c:pt>
                <c:pt idx="8">
                  <c:v>110</c:v>
                </c:pt>
                <c:pt idx="9">
                  <c:v>126</c:v>
                </c:pt>
                <c:pt idx="10">
                  <c:v>129</c:v>
                </c:pt>
                <c:pt idx="11">
                  <c:v>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2380160"/>
        <c:axId val="174428096"/>
      </c:barChart>
      <c:lineChart>
        <c:grouping val="standard"/>
        <c:varyColors val="0"/>
        <c:ser>
          <c:idx val="3"/>
          <c:order val="1"/>
          <c:tx>
            <c:strRef>
              <c:f>'12_g'!$B$40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'12_g'!$C$37:$N$37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'12_g'!$C$40:$N$40</c:f>
              <c:numCache>
                <c:formatCode>#,##0_ ;\-#,##0\ </c:formatCode>
                <c:ptCount val="12"/>
                <c:pt idx="0">
                  <c:v>6.9387755102040822</c:v>
                </c:pt>
                <c:pt idx="1">
                  <c:v>11.795918367346939</c:v>
                </c:pt>
                <c:pt idx="2">
                  <c:v>19.081632653061227</c:v>
                </c:pt>
                <c:pt idx="3">
                  <c:v>29.142857142857146</c:v>
                </c:pt>
                <c:pt idx="4">
                  <c:v>44.408163265306129</c:v>
                </c:pt>
                <c:pt idx="5">
                  <c:v>62.79591836734695</c:v>
                </c:pt>
                <c:pt idx="6">
                  <c:v>75.285714285714292</c:v>
                </c:pt>
                <c:pt idx="7">
                  <c:v>88.816326530612258</c:v>
                </c:pt>
                <c:pt idx="8">
                  <c:v>97.142857142857153</c:v>
                </c:pt>
                <c:pt idx="9">
                  <c:v>102.00000000000001</c:v>
                </c:pt>
                <c:pt idx="10">
                  <c:v>109.28571428571431</c:v>
                </c:pt>
                <c:pt idx="11">
                  <c:v>119.00000000000003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80160"/>
        <c:axId val="174428096"/>
      </c:lineChart>
      <c:catAx>
        <c:axId val="1723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428096"/>
        <c:crosses val="autoZero"/>
        <c:auto val="1"/>
        <c:lblAlgn val="ctr"/>
        <c:lblOffset val="100"/>
        <c:noMultiLvlLbl val="0"/>
      </c:catAx>
      <c:valAx>
        <c:axId val="1744280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3801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'34_g'!$B$85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'34_g'!$C$85:$N$85</c:f>
              <c:numCache>
                <c:formatCode>#,##0.00_ ;\-#,##0.00\ </c:formatCode>
                <c:ptCount val="12"/>
                <c:pt idx="0">
                  <c:v>0.80377647000000008</c:v>
                </c:pt>
                <c:pt idx="1">
                  <c:v>1.5666163399999999</c:v>
                </c:pt>
                <c:pt idx="2">
                  <c:v>2.3865420799999999</c:v>
                </c:pt>
                <c:pt idx="3">
                  <c:v>3.1739855700000001</c:v>
                </c:pt>
                <c:pt idx="4">
                  <c:v>3.9418805300000002</c:v>
                </c:pt>
                <c:pt idx="5">
                  <c:v>4.66275014</c:v>
                </c:pt>
                <c:pt idx="6">
                  <c:v>5.6074256599999996</c:v>
                </c:pt>
                <c:pt idx="7">
                  <c:v>6.5000474499999994</c:v>
                </c:pt>
                <c:pt idx="8">
                  <c:v>7.3376674499999996</c:v>
                </c:pt>
                <c:pt idx="9">
                  <c:v>8.1818475900000003</c:v>
                </c:pt>
                <c:pt idx="10">
                  <c:v>8.9507229600000002</c:v>
                </c:pt>
                <c:pt idx="11">
                  <c:v>9.8406950700000007</c:v>
                </c:pt>
              </c:numCache>
            </c:numRef>
          </c:val>
        </c:ser>
        <c:ser>
          <c:idx val="0"/>
          <c:order val="2"/>
          <c:tx>
            <c:strRef>
              <c:f>'34_g'!$B$87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'34_g'!$C$87:$N$87</c:f>
              <c:numCache>
                <c:formatCode>#,##0.00_ ;\-#,##0.00\ </c:formatCode>
                <c:ptCount val="12"/>
                <c:pt idx="0">
                  <c:v>0.78665992000000007</c:v>
                </c:pt>
                <c:pt idx="1">
                  <c:v>1.66426465</c:v>
                </c:pt>
                <c:pt idx="2">
                  <c:v>2.5064075699999999</c:v>
                </c:pt>
                <c:pt idx="3">
                  <c:v>3.34280131</c:v>
                </c:pt>
                <c:pt idx="4">
                  <c:v>4.14826885</c:v>
                </c:pt>
                <c:pt idx="5">
                  <c:v>4.9523178699999999</c:v>
                </c:pt>
                <c:pt idx="6">
                  <c:v>5.8616592199999999</c:v>
                </c:pt>
                <c:pt idx="7">
                  <c:v>6.7331592499999999</c:v>
                </c:pt>
                <c:pt idx="8">
                  <c:v>7.6302347099999999</c:v>
                </c:pt>
                <c:pt idx="9">
                  <c:v>8.492868249999999</c:v>
                </c:pt>
                <c:pt idx="10">
                  <c:v>9.3355936299999982</c:v>
                </c:pt>
                <c:pt idx="11">
                  <c:v>10.225843009999998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82689024"/>
        <c:axId val="287851072"/>
      </c:barChart>
      <c:lineChart>
        <c:grouping val="standard"/>
        <c:varyColors val="0"/>
        <c:ser>
          <c:idx val="3"/>
          <c:order val="1"/>
          <c:tx>
            <c:strRef>
              <c:f>'34_g'!$B$86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'34_g'!$C$83:$N$83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'34_g'!$C$86:$N$86</c:f>
              <c:numCache>
                <c:formatCode>#,##0.00_ ;\-#,##0.00\ </c:formatCode>
                <c:ptCount val="12"/>
                <c:pt idx="0">
                  <c:v>0.83139200000000002</c:v>
                </c:pt>
                <c:pt idx="1">
                  <c:v>1.6519949999999999</c:v>
                </c:pt>
                <c:pt idx="2">
                  <c:v>2.4954999999999998</c:v>
                </c:pt>
                <c:pt idx="3">
                  <c:v>3.3384459999999998</c:v>
                </c:pt>
                <c:pt idx="4">
                  <c:v>4.1533009999999999</c:v>
                </c:pt>
                <c:pt idx="5">
                  <c:v>4.9436070000000001</c:v>
                </c:pt>
                <c:pt idx="6">
                  <c:v>5.8689840000000002</c:v>
                </c:pt>
                <c:pt idx="7">
                  <c:v>6.7890770000000007</c:v>
                </c:pt>
                <c:pt idx="8">
                  <c:v>7.7020360000000005</c:v>
                </c:pt>
                <c:pt idx="9">
                  <c:v>8.5938150000000011</c:v>
                </c:pt>
                <c:pt idx="10">
                  <c:v>9.4345390000000009</c:v>
                </c:pt>
                <c:pt idx="11">
                  <c:v>10.300908000000002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689024"/>
        <c:axId val="287851072"/>
      </c:lineChart>
      <c:catAx>
        <c:axId val="28268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7851072"/>
        <c:crosses val="autoZero"/>
        <c:auto val="1"/>
        <c:lblAlgn val="ctr"/>
        <c:lblOffset val="100"/>
        <c:noMultiLvlLbl val="0"/>
      </c:catAx>
      <c:valAx>
        <c:axId val="2878510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6890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'34_g'!$S$64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'34_g'!$T$62:$AE$62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'34_g'!$T$64:$AE$64</c:f>
              <c:numCache>
                <c:formatCode>#,##0.00_ ;\-#,##0.00\ </c:formatCode>
                <c:ptCount val="12"/>
                <c:pt idx="0">
                  <c:v>0.4216706400000001</c:v>
                </c:pt>
                <c:pt idx="1">
                  <c:v>0.42679246999999998</c:v>
                </c:pt>
                <c:pt idx="2">
                  <c:v>0.46483955999999998</c:v>
                </c:pt>
                <c:pt idx="3">
                  <c:v>0.45287918999999993</c:v>
                </c:pt>
                <c:pt idx="4">
                  <c:v>0.47682784999999994</c:v>
                </c:pt>
                <c:pt idx="5">
                  <c:v>0.49628707999999999</c:v>
                </c:pt>
                <c:pt idx="6">
                  <c:v>0.45374007</c:v>
                </c:pt>
                <c:pt idx="7">
                  <c:v>0.46500947999999998</c:v>
                </c:pt>
                <c:pt idx="8">
                  <c:v>0.54007654000000005</c:v>
                </c:pt>
                <c:pt idx="9">
                  <c:v>0.45744043000000001</c:v>
                </c:pt>
                <c:pt idx="10">
                  <c:v>0.48827329000000003</c:v>
                </c:pt>
                <c:pt idx="11">
                  <c:v>0.47088507000000007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'34_g'!$S$65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'34_g'!$T$62:$AE$62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'34_g'!$T$65:$AE$65</c:f>
              <c:numCache>
                <c:formatCode>#,##0.00_ ;\-#,##0.00\ </c:formatCode>
                <c:ptCount val="12"/>
                <c:pt idx="0">
                  <c:v>0.480159</c:v>
                </c:pt>
                <c:pt idx="1">
                  <c:v>0.46749499999999999</c:v>
                </c:pt>
                <c:pt idx="2">
                  <c:v>0.49976100000000001</c:v>
                </c:pt>
                <c:pt idx="3">
                  <c:v>0.51065499999999997</c:v>
                </c:pt>
                <c:pt idx="4">
                  <c:v>0.52941800000000006</c:v>
                </c:pt>
                <c:pt idx="5">
                  <c:v>0.52622999999999998</c:v>
                </c:pt>
                <c:pt idx="6">
                  <c:v>0.46944000000000002</c:v>
                </c:pt>
                <c:pt idx="7">
                  <c:v>0.48051899999999997</c:v>
                </c:pt>
                <c:pt idx="8">
                  <c:v>0.56904100000000002</c:v>
                </c:pt>
                <c:pt idx="9">
                  <c:v>0.506073</c:v>
                </c:pt>
                <c:pt idx="10">
                  <c:v>0.52720500000000003</c:v>
                </c:pt>
                <c:pt idx="11">
                  <c:v>0.57524900000000001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'34_g'!$S$66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'34_g'!$T$62:$AE$62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'34_g'!$T$66:$AE$66</c:f>
              <c:numCache>
                <c:formatCode>#,##0.00_ ;\-#,##0.00\ </c:formatCode>
                <c:ptCount val="12"/>
                <c:pt idx="0">
                  <c:v>0.46733128000000002</c:v>
                </c:pt>
                <c:pt idx="1">
                  <c:v>0.46811513000000005</c:v>
                </c:pt>
                <c:pt idx="2">
                  <c:v>0.61796080999999992</c:v>
                </c:pt>
                <c:pt idx="3">
                  <c:v>0.49630564999999999</c:v>
                </c:pt>
                <c:pt idx="4">
                  <c:v>0.46593001000000006</c:v>
                </c:pt>
                <c:pt idx="5">
                  <c:v>0.51471520999999998</c:v>
                </c:pt>
                <c:pt idx="6">
                  <c:v>0.49861604000000004</c:v>
                </c:pt>
                <c:pt idx="7">
                  <c:v>0.53483347000000003</c:v>
                </c:pt>
                <c:pt idx="8">
                  <c:v>0.50728112999999997</c:v>
                </c:pt>
                <c:pt idx="9">
                  <c:v>0.51387203000000004</c:v>
                </c:pt>
                <c:pt idx="10">
                  <c:v>0.55205082999999988</c:v>
                </c:pt>
                <c:pt idx="11">
                  <c:v>0.58301333999999994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647552"/>
        <c:axId val="287853376"/>
      </c:lineChart>
      <c:catAx>
        <c:axId val="2826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7853376"/>
        <c:crosses val="autoZero"/>
        <c:auto val="1"/>
        <c:lblAlgn val="ctr"/>
        <c:lblOffset val="100"/>
        <c:noMultiLvlLbl val="0"/>
      </c:catAx>
      <c:valAx>
        <c:axId val="2878533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6475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'34_g'!$T$85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'34_g'!$U$85:$AF$85</c:f>
              <c:numCache>
                <c:formatCode>#,##0.00_ ;\-#,##0.00\ </c:formatCode>
                <c:ptCount val="12"/>
                <c:pt idx="0">
                  <c:v>0.4216706400000001</c:v>
                </c:pt>
                <c:pt idx="1">
                  <c:v>0.84846311000000008</c:v>
                </c:pt>
                <c:pt idx="2">
                  <c:v>1.3133026700000001</c:v>
                </c:pt>
                <c:pt idx="3">
                  <c:v>1.7661818600000001</c:v>
                </c:pt>
                <c:pt idx="4">
                  <c:v>2.2430097099999999</c:v>
                </c:pt>
                <c:pt idx="5">
                  <c:v>2.73929679</c:v>
                </c:pt>
                <c:pt idx="6">
                  <c:v>3.1930368599999999</c:v>
                </c:pt>
                <c:pt idx="7">
                  <c:v>3.6580463399999998</c:v>
                </c:pt>
                <c:pt idx="8">
                  <c:v>4.1981228799999997</c:v>
                </c:pt>
                <c:pt idx="9">
                  <c:v>4.6555633099999998</c:v>
                </c:pt>
                <c:pt idx="10">
                  <c:v>5.1438366000000002</c:v>
                </c:pt>
                <c:pt idx="11">
                  <c:v>5.6147216700000007</c:v>
                </c:pt>
              </c:numCache>
            </c:numRef>
          </c:val>
        </c:ser>
        <c:ser>
          <c:idx val="0"/>
          <c:order val="2"/>
          <c:tx>
            <c:strRef>
              <c:f>'34_g'!$T$87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'34_g'!$U$87:$AF$87</c:f>
              <c:numCache>
                <c:formatCode>#,##0.00_ ;\-#,##0.00\ </c:formatCode>
                <c:ptCount val="12"/>
                <c:pt idx="0">
                  <c:v>0.46733128000000002</c:v>
                </c:pt>
                <c:pt idx="1">
                  <c:v>0.93544641000000006</c:v>
                </c:pt>
                <c:pt idx="2">
                  <c:v>1.55340722</c:v>
                </c:pt>
                <c:pt idx="3">
                  <c:v>2.04971287</c:v>
                </c:pt>
                <c:pt idx="4">
                  <c:v>2.5156428800000001</c:v>
                </c:pt>
                <c:pt idx="5">
                  <c:v>3.03035809</c:v>
                </c:pt>
                <c:pt idx="6">
                  <c:v>3.5289741299999999</c:v>
                </c:pt>
                <c:pt idx="7">
                  <c:v>4.0638075999999996</c:v>
                </c:pt>
                <c:pt idx="8">
                  <c:v>4.5710887299999996</c:v>
                </c:pt>
                <c:pt idx="9">
                  <c:v>5.0849607599999995</c:v>
                </c:pt>
                <c:pt idx="10">
                  <c:v>5.6370115899999993</c:v>
                </c:pt>
                <c:pt idx="11">
                  <c:v>6.2200249299999992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87535616"/>
        <c:axId val="287855680"/>
      </c:barChart>
      <c:lineChart>
        <c:grouping val="standard"/>
        <c:varyColors val="0"/>
        <c:ser>
          <c:idx val="3"/>
          <c:order val="1"/>
          <c:tx>
            <c:strRef>
              <c:f>'34_g'!$T$86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'34_g'!$U$83:$AF$83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'34_g'!$U$86:$AF$86</c:f>
              <c:numCache>
                <c:formatCode>#,##0.00_ ;\-#,##0.00\ </c:formatCode>
                <c:ptCount val="12"/>
                <c:pt idx="0">
                  <c:v>0.480159</c:v>
                </c:pt>
                <c:pt idx="1">
                  <c:v>0.947654</c:v>
                </c:pt>
                <c:pt idx="2">
                  <c:v>1.4474149999999999</c:v>
                </c:pt>
                <c:pt idx="3">
                  <c:v>1.9580699999999998</c:v>
                </c:pt>
                <c:pt idx="4">
                  <c:v>2.4874879999999999</c:v>
                </c:pt>
                <c:pt idx="5">
                  <c:v>3.0137179999999999</c:v>
                </c:pt>
                <c:pt idx="6">
                  <c:v>3.483158</c:v>
                </c:pt>
                <c:pt idx="7">
                  <c:v>3.9636770000000001</c:v>
                </c:pt>
                <c:pt idx="8">
                  <c:v>4.532718</c:v>
                </c:pt>
                <c:pt idx="9">
                  <c:v>5.0387909999999998</c:v>
                </c:pt>
                <c:pt idx="10">
                  <c:v>5.5659960000000002</c:v>
                </c:pt>
                <c:pt idx="11">
                  <c:v>6.1412450000000005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35616"/>
        <c:axId val="287855680"/>
      </c:lineChart>
      <c:catAx>
        <c:axId val="28753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7855680"/>
        <c:crosses val="autoZero"/>
        <c:auto val="1"/>
        <c:lblAlgn val="ctr"/>
        <c:lblOffset val="100"/>
        <c:noMultiLvlLbl val="0"/>
      </c:catAx>
      <c:valAx>
        <c:axId val="2878556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75356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'34_g'!$AI$64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'34_g'!$AJ$62:$AU$62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'34_g'!$AJ$64:$AU$64</c:f>
              <c:numCache>
                <c:formatCode>#,##0.00_ ;\-#,##0.00\ </c:formatCode>
                <c:ptCount val="12"/>
                <c:pt idx="0">
                  <c:v>0.38210582999999998</c:v>
                </c:pt>
                <c:pt idx="1">
                  <c:v>0.3360474</c:v>
                </c:pt>
                <c:pt idx="2">
                  <c:v>0.35508617999999997</c:v>
                </c:pt>
                <c:pt idx="3">
                  <c:v>0.33456430000000009</c:v>
                </c:pt>
                <c:pt idx="4">
                  <c:v>0.29106711000000007</c:v>
                </c:pt>
                <c:pt idx="5">
                  <c:v>0.22458253000000006</c:v>
                </c:pt>
                <c:pt idx="6">
                  <c:v>0.49093544999999988</c:v>
                </c:pt>
                <c:pt idx="7">
                  <c:v>0.42761231000000011</c:v>
                </c:pt>
                <c:pt idx="8">
                  <c:v>0.29754345999999987</c:v>
                </c:pt>
                <c:pt idx="9">
                  <c:v>0.38673970999999996</c:v>
                </c:pt>
                <c:pt idx="10">
                  <c:v>0.28060207999999992</c:v>
                </c:pt>
                <c:pt idx="11">
                  <c:v>0.4190870399999998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'34_g'!$AI$65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'34_g'!$AJ$62:$AU$62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'34_g'!$AJ$65:$AU$65</c:f>
              <c:numCache>
                <c:formatCode>#,##0.00_ ;\-#,##0.00\ </c:formatCode>
                <c:ptCount val="12"/>
                <c:pt idx="0">
                  <c:v>0.35123300000000002</c:v>
                </c:pt>
                <c:pt idx="1">
                  <c:v>0.35310799999999998</c:v>
                </c:pt>
                <c:pt idx="2">
                  <c:v>0.34374399999999994</c:v>
                </c:pt>
                <c:pt idx="3">
                  <c:v>0.332291</c:v>
                </c:pt>
                <c:pt idx="4">
                  <c:v>0.28543699999999994</c:v>
                </c:pt>
                <c:pt idx="5">
                  <c:v>0.26407599999999998</c:v>
                </c:pt>
                <c:pt idx="6">
                  <c:v>0.45593699999999998</c:v>
                </c:pt>
                <c:pt idx="7">
                  <c:v>0.43957400000000008</c:v>
                </c:pt>
                <c:pt idx="8">
                  <c:v>0.34391799999999995</c:v>
                </c:pt>
                <c:pt idx="9">
                  <c:v>0.38570599999999999</c:v>
                </c:pt>
                <c:pt idx="10">
                  <c:v>0.31351899999999999</c:v>
                </c:pt>
                <c:pt idx="11">
                  <c:v>0.29111999999999993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'34_g'!$AI$66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'34_g'!$AJ$62:$AU$62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'34_g'!$AJ$66:$AU$66</c:f>
              <c:numCache>
                <c:formatCode>#,##0.00_ ;\-#,##0.00\ </c:formatCode>
                <c:ptCount val="12"/>
                <c:pt idx="0">
                  <c:v>0.31932864000000005</c:v>
                </c:pt>
                <c:pt idx="1">
                  <c:v>0.4094895999999999</c:v>
                </c:pt>
                <c:pt idx="2">
                  <c:v>0.2241821100000001</c:v>
                </c:pt>
                <c:pt idx="3">
                  <c:v>0.34008809000000012</c:v>
                </c:pt>
                <c:pt idx="4">
                  <c:v>0.33953752999999992</c:v>
                </c:pt>
                <c:pt idx="5">
                  <c:v>0.28933380999999991</c:v>
                </c:pt>
                <c:pt idx="6">
                  <c:v>0.41072530999999979</c:v>
                </c:pt>
                <c:pt idx="7">
                  <c:v>0.33666656000000006</c:v>
                </c:pt>
                <c:pt idx="8">
                  <c:v>0.38979432999999997</c:v>
                </c:pt>
                <c:pt idx="9">
                  <c:v>0.34876150999999989</c:v>
                </c:pt>
                <c:pt idx="10">
                  <c:v>0.2906745500000002</c:v>
                </c:pt>
                <c:pt idx="11">
                  <c:v>0.30723604000000015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36640"/>
        <c:axId val="287857984"/>
      </c:lineChart>
      <c:catAx>
        <c:axId val="28753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7857984"/>
        <c:crosses val="autoZero"/>
        <c:auto val="1"/>
        <c:lblAlgn val="ctr"/>
        <c:lblOffset val="100"/>
        <c:noMultiLvlLbl val="0"/>
      </c:catAx>
      <c:valAx>
        <c:axId val="2878579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4559770937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75366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6664280596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'34_g'!$AJ$85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'34_g'!$AK$85:$AV$85</c:f>
              <c:numCache>
                <c:formatCode>#,##0.00_ ;\-#,##0.00\ </c:formatCode>
                <c:ptCount val="12"/>
                <c:pt idx="0">
                  <c:v>0.38210582999999998</c:v>
                </c:pt>
                <c:pt idx="1">
                  <c:v>0.71815322999999998</c:v>
                </c:pt>
                <c:pt idx="2">
                  <c:v>1.07323941</c:v>
                </c:pt>
                <c:pt idx="3">
                  <c:v>1.40780371</c:v>
                </c:pt>
                <c:pt idx="4">
                  <c:v>1.6988708200000002</c:v>
                </c:pt>
                <c:pt idx="5">
                  <c:v>1.9234533500000004</c:v>
                </c:pt>
                <c:pt idx="6">
                  <c:v>2.4143888000000002</c:v>
                </c:pt>
                <c:pt idx="7">
                  <c:v>2.8420011100000004</c:v>
                </c:pt>
                <c:pt idx="8">
                  <c:v>3.1395445700000004</c:v>
                </c:pt>
                <c:pt idx="9">
                  <c:v>3.5262842800000005</c:v>
                </c:pt>
                <c:pt idx="10">
                  <c:v>3.8068863600000005</c:v>
                </c:pt>
                <c:pt idx="11">
                  <c:v>4.2259734</c:v>
                </c:pt>
              </c:numCache>
            </c:numRef>
          </c:val>
        </c:ser>
        <c:ser>
          <c:idx val="0"/>
          <c:order val="2"/>
          <c:tx>
            <c:strRef>
              <c:f>'34_g'!$AJ$87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'34_g'!$AK$83:$AV$83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'34_g'!$AK$87:$AV$87</c:f>
              <c:numCache>
                <c:formatCode>#,##0.00_ ;\-#,##0.00\ </c:formatCode>
                <c:ptCount val="12"/>
                <c:pt idx="0">
                  <c:v>0.31932864000000005</c:v>
                </c:pt>
                <c:pt idx="1">
                  <c:v>0.72881823999999995</c:v>
                </c:pt>
                <c:pt idx="2">
                  <c:v>0.95300035000000005</c:v>
                </c:pt>
                <c:pt idx="3">
                  <c:v>1.2930884400000002</c:v>
                </c:pt>
                <c:pt idx="4">
                  <c:v>1.6326259700000001</c:v>
                </c:pt>
                <c:pt idx="5">
                  <c:v>1.9219597799999999</c:v>
                </c:pt>
                <c:pt idx="6">
                  <c:v>2.3326850899999996</c:v>
                </c:pt>
                <c:pt idx="7">
                  <c:v>2.6693516499999994</c:v>
                </c:pt>
                <c:pt idx="8">
                  <c:v>3.0591459799999994</c:v>
                </c:pt>
                <c:pt idx="9">
                  <c:v>3.4079074899999995</c:v>
                </c:pt>
                <c:pt idx="10">
                  <c:v>3.6985820399999998</c:v>
                </c:pt>
                <c:pt idx="11">
                  <c:v>4.0058180800000001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87537152"/>
        <c:axId val="287680192"/>
      </c:barChart>
      <c:lineChart>
        <c:grouping val="standard"/>
        <c:varyColors val="0"/>
        <c:ser>
          <c:idx val="3"/>
          <c:order val="1"/>
          <c:tx>
            <c:strRef>
              <c:f>'34_g'!$AJ$86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'34_g'!$AK$83:$AV$83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'34_g'!$AK$86:$AV$86</c:f>
              <c:numCache>
                <c:formatCode>#,##0.00_ ;\-#,##0.00\ </c:formatCode>
                <c:ptCount val="12"/>
                <c:pt idx="0">
                  <c:v>0.35123300000000002</c:v>
                </c:pt>
                <c:pt idx="1">
                  <c:v>0.70434099999999999</c:v>
                </c:pt>
                <c:pt idx="2">
                  <c:v>1.0480849999999999</c:v>
                </c:pt>
                <c:pt idx="3">
                  <c:v>1.380376</c:v>
                </c:pt>
                <c:pt idx="4">
                  <c:v>1.665813</c:v>
                </c:pt>
                <c:pt idx="5">
                  <c:v>1.929889</c:v>
                </c:pt>
                <c:pt idx="6">
                  <c:v>2.3858259999999998</c:v>
                </c:pt>
                <c:pt idx="7">
                  <c:v>2.8253999999999997</c:v>
                </c:pt>
                <c:pt idx="8">
                  <c:v>3.1693179999999996</c:v>
                </c:pt>
                <c:pt idx="9">
                  <c:v>3.5550239999999995</c:v>
                </c:pt>
                <c:pt idx="10">
                  <c:v>3.8685429999999994</c:v>
                </c:pt>
                <c:pt idx="11">
                  <c:v>4.1596629999999992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37152"/>
        <c:axId val="287680192"/>
      </c:lineChart>
      <c:catAx>
        <c:axId val="28753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7680192"/>
        <c:crosses val="autoZero"/>
        <c:auto val="1"/>
        <c:lblAlgn val="ctr"/>
        <c:lblOffset val="100"/>
        <c:noMultiLvlLbl val="0"/>
      </c:catAx>
      <c:valAx>
        <c:axId val="2876801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2296045019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75371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733140882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'34_g'!$T$21:$U$21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'34_g'!$V$20:$AC$20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'34_g'!$V$21:$AC$21</c:f>
              <c:numCache>
                <c:formatCode>#,##0</c:formatCode>
                <c:ptCount val="8"/>
                <c:pt idx="0">
                  <c:v>17.636363636363637</c:v>
                </c:pt>
                <c:pt idx="1">
                  <c:v>20</c:v>
                </c:pt>
                <c:pt idx="2">
                  <c:v>38.26136363636364</c:v>
                </c:pt>
                <c:pt idx="3">
                  <c:v>42</c:v>
                </c:pt>
                <c:pt idx="4">
                  <c:v>75.988636363636374</c:v>
                </c:pt>
                <c:pt idx="5">
                  <c:v>55</c:v>
                </c:pt>
                <c:pt idx="6">
                  <c:v>92.000000000000014</c:v>
                </c:pt>
                <c:pt idx="7">
                  <c:v>66</c:v>
                </c:pt>
              </c:numCache>
            </c:numRef>
          </c:val>
        </c:ser>
        <c:ser>
          <c:idx val="0"/>
          <c:order val="1"/>
          <c:tx>
            <c:strRef>
              <c:f>'34_g'!$T$22:$U$22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'34_g'!$V$20:$AC$20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'34_g'!$V$22:$AC$22</c:f>
              <c:numCache>
                <c:formatCode>#,##0</c:formatCode>
                <c:ptCount val="8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9</c:v>
                </c:pt>
                <c:pt idx="5">
                  <c:v>3</c:v>
                </c:pt>
                <c:pt idx="6">
                  <c:v>16</c:v>
                </c:pt>
                <c:pt idx="7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87538176"/>
        <c:axId val="287682496"/>
      </c:barChart>
      <c:catAx>
        <c:axId val="28753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287682496"/>
        <c:crosses val="autoZero"/>
        <c:auto val="1"/>
        <c:lblAlgn val="ctr"/>
        <c:lblOffset val="100"/>
        <c:noMultiLvlLbl val="0"/>
      </c:catAx>
      <c:valAx>
        <c:axId val="287682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87538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('35'!$A$9,'35'!$A$13,'35'!$A$17)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('35'!$B$9,'35'!$B$13,'35'!$B$17)</c:f>
              <c:numCache>
                <c:formatCode>_-* #,##0_-;\-* #,##0_-;_-* "-"??_-;_-@_-</c:formatCode>
                <c:ptCount val="3"/>
                <c:pt idx="0">
                  <c:v>2813</c:v>
                </c:pt>
                <c:pt idx="1">
                  <c:v>475</c:v>
                </c:pt>
                <c:pt idx="2">
                  <c:v>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('35'!$A$9,'35'!$A$13,'35'!$A$17)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('35'!$G$9,'35'!$G$13,'35'!$G$17)</c:f>
              <c:numCache>
                <c:formatCode>_-* #,##0_-;\-* #,##0_-;_-* "-"??_-;_-@_-</c:formatCode>
                <c:ptCount val="3"/>
                <c:pt idx="0">
                  <c:v>3000</c:v>
                </c:pt>
                <c:pt idx="1">
                  <c:v>496</c:v>
                </c:pt>
                <c:pt idx="2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('35'!$A$9,'35'!$A$13,'35'!$A$17)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('35'!$C$9,'35'!$C$13,'35'!$C$17)</c:f>
              <c:numCache>
                <c:formatCode>_(* #,##0.00_);_(* \(#,##0.00\);_(* "-"??_);_(@_)</c:formatCode>
                <c:ptCount val="3"/>
                <c:pt idx="0">
                  <c:v>0.43217299999999997</c:v>
                </c:pt>
                <c:pt idx="1">
                  <c:v>0.15760199999999999</c:v>
                </c:pt>
                <c:pt idx="2">
                  <c:v>0.12820400000000001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('35'!$A$9,'35'!$A$13,'35'!$A$17)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('35'!$H$9,'35'!$H$13,'35'!$H$17)</c:f>
              <c:numCache>
                <c:formatCode>_(* #,##0.00_);_(* \(#,##0.00\);_(* "-"??_);_(@_)</c:formatCode>
                <c:ptCount val="3"/>
                <c:pt idx="0">
                  <c:v>0.455013</c:v>
                </c:pt>
                <c:pt idx="1">
                  <c:v>0.16719400000000001</c:v>
                </c:pt>
                <c:pt idx="2">
                  <c:v>0.13131999999999999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'12_g'!$AI$18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'12_g'!$AJ$16:$AU$16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'12_g'!$AJ$18:$AU$18</c:f>
              <c:numCache>
                <c:formatCode>#,##0.000_ ;\-#,##0.000\ </c:formatCode>
                <c:ptCount val="12"/>
                <c:pt idx="0">
                  <c:v>4.7135000000000003E-2</c:v>
                </c:pt>
                <c:pt idx="1">
                  <c:v>4.5524000000000002E-2</c:v>
                </c:pt>
                <c:pt idx="2">
                  <c:v>4.6587000000000003E-2</c:v>
                </c:pt>
                <c:pt idx="3">
                  <c:v>5.1525000000000001E-2</c:v>
                </c:pt>
                <c:pt idx="4">
                  <c:v>4.6344000000000003E-2</c:v>
                </c:pt>
                <c:pt idx="5">
                  <c:v>4.4357000000000001E-2</c:v>
                </c:pt>
                <c:pt idx="6">
                  <c:v>6.0720000000000003E-2</c:v>
                </c:pt>
                <c:pt idx="7">
                  <c:v>6.4146999999999996E-2</c:v>
                </c:pt>
                <c:pt idx="8">
                  <c:v>5.8352000000000001E-2</c:v>
                </c:pt>
                <c:pt idx="9">
                  <c:v>5.0027000000000002E-2</c:v>
                </c:pt>
                <c:pt idx="10">
                  <c:v>4.9033E-2</c:v>
                </c:pt>
                <c:pt idx="11">
                  <c:v>5.1714999999999997E-2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'12_g'!$AJ$16:$AU$16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'12_g'!$AJ$19:$AU$19</c:f>
              <c:numCache>
                <c:formatCode>#,##0.000_ ;\-#,##0.000\ </c:formatCode>
                <c:ptCount val="12"/>
                <c:pt idx="0">
                  <c:v>4.5719000000000003E-2</c:v>
                </c:pt>
                <c:pt idx="1">
                  <c:v>4.53E-2</c:v>
                </c:pt>
                <c:pt idx="2">
                  <c:v>4.4488E-2</c:v>
                </c:pt>
                <c:pt idx="3">
                  <c:v>4.8732999999999999E-2</c:v>
                </c:pt>
                <c:pt idx="4">
                  <c:v>4.6297999999999999E-2</c:v>
                </c:pt>
                <c:pt idx="5">
                  <c:v>4.4847999999999999E-2</c:v>
                </c:pt>
                <c:pt idx="6">
                  <c:v>5.5821999999999997E-2</c:v>
                </c:pt>
                <c:pt idx="7">
                  <c:v>5.7673000000000002E-2</c:v>
                </c:pt>
                <c:pt idx="8">
                  <c:v>5.3949999999999998E-2</c:v>
                </c:pt>
                <c:pt idx="9">
                  <c:v>4.8895000000000001E-2</c:v>
                </c:pt>
                <c:pt idx="10">
                  <c:v>4.9123E-2</c:v>
                </c:pt>
                <c:pt idx="11">
                  <c:v>4.9771999999999997E-2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'12_g'!$AI$20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'12_g'!$AJ$16:$AU$16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'12_g'!$AJ$20:$AU$20</c:f>
              <c:numCache>
                <c:formatCode>#,##0.000_ ;\-#,##0.000\ </c:formatCode>
                <c:ptCount val="12"/>
                <c:pt idx="0">
                  <c:v>4.4784999999999998E-2</c:v>
                </c:pt>
                <c:pt idx="1">
                  <c:v>4.9244000000000003E-2</c:v>
                </c:pt>
                <c:pt idx="2">
                  <c:v>4.7400999999999999E-2</c:v>
                </c:pt>
                <c:pt idx="3">
                  <c:v>5.1159000000000003E-2</c:v>
                </c:pt>
                <c:pt idx="4">
                  <c:v>5.0021999999999997E-2</c:v>
                </c:pt>
                <c:pt idx="5">
                  <c:v>4.9096000000000001E-2</c:v>
                </c:pt>
                <c:pt idx="6">
                  <c:v>6.0921000000000003E-2</c:v>
                </c:pt>
                <c:pt idx="7">
                  <c:v>5.6508000000000003E-2</c:v>
                </c:pt>
                <c:pt idx="8">
                  <c:v>5.2275000000000002E-2</c:v>
                </c:pt>
                <c:pt idx="9">
                  <c:v>5.0915000000000002E-2</c:v>
                </c:pt>
                <c:pt idx="10">
                  <c:v>5.0818000000000002E-2</c:v>
                </c:pt>
                <c:pt idx="11">
                  <c:v>5.1297000000000002E-2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81184"/>
        <c:axId val="174430400"/>
      </c:lineChart>
      <c:catAx>
        <c:axId val="17238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430400"/>
        <c:crosses val="autoZero"/>
        <c:auto val="1"/>
        <c:lblAlgn val="ctr"/>
        <c:lblOffset val="100"/>
        <c:noMultiLvlLbl val="0"/>
      </c:catAx>
      <c:valAx>
        <c:axId val="1744304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62259027966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3811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8827043176"/>
          <c:y val="2.2161373086791118E-2"/>
          <c:w val="0.3512889854285455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('35'!$A$9,'35'!$A$13,'35'!$A$17)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('35'!$E$9,'35'!$E$13,'35'!$E$17)</c:f>
              <c:numCache>
                <c:formatCode>_(* #,##0.00_);_(* \(#,##0.00\);_(* "-"??_);_(@_)</c:formatCode>
                <c:ptCount val="3"/>
                <c:pt idx="0">
                  <c:v>5.9404900100000013</c:v>
                </c:pt>
                <c:pt idx="1">
                  <c:v>3.20698075</c:v>
                </c:pt>
                <c:pt idx="2">
                  <c:v>3.3500689299999995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('35'!$A$9,'35'!$A$13,'35'!$A$17)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('35'!$J$9,'35'!$J$13,'35'!$J$17)</c:f>
              <c:numCache>
                <c:formatCode>_(* #,##0.00_);_(* \(#,##0.00\);_(* "-"??_);_(@_)</c:formatCode>
                <c:ptCount val="3"/>
                <c:pt idx="0">
                  <c:v>6.2191929100000003</c:v>
                </c:pt>
                <c:pt idx="1">
                  <c:v>3.3846087999999996</c:v>
                </c:pt>
                <c:pt idx="2">
                  <c:v>3.4607560499999996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('35'!$A$9,'35'!$A$13,'35'!$A$17,'35'!$A$20)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('35'!$D$9,'35'!$D$13,'35'!$D$17,'35'!$D$20)</c:f>
              <c:numCache>
                <c:formatCode>_-* #,##0.000_-;\-* #,##0.000_-;_-* "-"??_-;_-@_-</c:formatCode>
                <c:ptCount val="4"/>
                <c:pt idx="0">
                  <c:v>0.43691351160086939</c:v>
                </c:pt>
                <c:pt idx="1">
                  <c:v>0.92459593441084154</c:v>
                </c:pt>
                <c:pt idx="2">
                  <c:v>1.4249242824196282</c:v>
                </c:pt>
                <c:pt idx="3">
                  <c:v>0.57457740716362138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('35'!$A$9,'35'!$A$13,'35'!$A$17,'35'!$A$20)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('35'!$I$9,'35'!$I$13,'35'!$I$17,'35'!$I$20)</c:f>
              <c:numCache>
                <c:formatCode>_-* #,##0.000_-;\-* #,##0.000_-;_-* "-"??_-;_-@_-</c:formatCode>
                <c:ptCount val="4"/>
                <c:pt idx="0">
                  <c:v>0.42890451020268694</c:v>
                </c:pt>
                <c:pt idx="1">
                  <c:v>0.94349279799105568</c:v>
                </c:pt>
                <c:pt idx="2">
                  <c:v>1.4277016742770168</c:v>
                </c:pt>
                <c:pt idx="3">
                  <c:v>0.56653609611596467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82874880"/>
        <c:axId val="281736256"/>
      </c:barChart>
      <c:catAx>
        <c:axId val="28287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1736256"/>
        <c:crosses val="autoZero"/>
        <c:auto val="1"/>
        <c:lblAlgn val="ctr"/>
        <c:lblOffset val="100"/>
        <c:noMultiLvlLbl val="0"/>
      </c:catAx>
      <c:valAx>
        <c:axId val="2817362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874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('35'!$A$9,'35'!$A$13,'35'!$A$17,'35'!$A$20)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('35'!$F$9,'35'!$F$13,'35'!$F$17,'35'!$F$20)</c:f>
              <c:numCache>
                <c:formatCode>_(* #,##0.00_);_(* \(#,##0.00\);_(* "-"??_);_(@_)</c:formatCode>
                <c:ptCount val="4"/>
                <c:pt idx="0">
                  <c:v>13.745629666823243</c:v>
                </c:pt>
                <c:pt idx="1">
                  <c:v>20.348604395883303</c:v>
                </c:pt>
                <c:pt idx="2">
                  <c:v>26.130767604754915</c:v>
                </c:pt>
                <c:pt idx="3">
                  <c:v>17.406553241807906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('35'!$A$9,'35'!$A$13,'35'!$A$17,'35'!$A$20)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('35'!$K$9,'35'!$K$13,'35'!$K$17,'35'!$K$20)</c:f>
              <c:numCache>
                <c:formatCode>_(* #,##0.00_);_(* \(#,##0.00\);_(* "-"??_);_(@_)</c:formatCode>
                <c:ptCount val="4"/>
                <c:pt idx="0">
                  <c:v>13.6681653271445</c:v>
                </c:pt>
                <c:pt idx="1">
                  <c:v>20.243602043135517</c:v>
                </c:pt>
                <c:pt idx="2">
                  <c:v>26.353609884252208</c:v>
                </c:pt>
                <c:pt idx="3">
                  <c:v>17.337876094685392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82875392"/>
        <c:axId val="281737984"/>
      </c:barChart>
      <c:catAx>
        <c:axId val="28287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1737984"/>
        <c:crosses val="autoZero"/>
        <c:auto val="1"/>
        <c:lblAlgn val="ctr"/>
        <c:lblOffset val="100"/>
        <c:noMultiLvlLbl val="0"/>
      </c:catAx>
      <c:valAx>
        <c:axId val="2817379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2875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'35_g'!$A$18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'35_g'!$B$16:$M$16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'35_g'!$B$18:$M$18</c:f>
              <c:numCache>
                <c:formatCode>#,##0_ ;\-#,##0\ 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22</c:v>
                </c:pt>
                <c:pt idx="3">
                  <c:v>11</c:v>
                </c:pt>
                <c:pt idx="4">
                  <c:v>9</c:v>
                </c:pt>
                <c:pt idx="5">
                  <c:v>13</c:v>
                </c:pt>
                <c:pt idx="6">
                  <c:v>75</c:v>
                </c:pt>
                <c:pt idx="7">
                  <c:v>45</c:v>
                </c:pt>
                <c:pt idx="8">
                  <c:v>9</c:v>
                </c:pt>
                <c:pt idx="9">
                  <c:v>21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'35_g'!$A$19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'35_g'!$B$16:$M$16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'35_g'!$B$19:$M$19</c:f>
              <c:numCache>
                <c:formatCode>#,##0_ ;\-#,##0\ </c:formatCode>
                <c:ptCount val="12"/>
                <c:pt idx="0">
                  <c:v>17.055492638731597</c:v>
                </c:pt>
                <c:pt idx="1">
                  <c:v>14.497168742921856</c:v>
                </c:pt>
                <c:pt idx="2">
                  <c:v>16.202718006795013</c:v>
                </c:pt>
                <c:pt idx="3">
                  <c:v>14.21291053227633</c:v>
                </c:pt>
                <c:pt idx="4">
                  <c:v>15.06568516421291</c:v>
                </c:pt>
                <c:pt idx="5">
                  <c:v>18.761041902604752</c:v>
                </c:pt>
                <c:pt idx="6">
                  <c:v>33.542468856172142</c:v>
                </c:pt>
                <c:pt idx="7">
                  <c:v>33.826727066817661</c:v>
                </c:pt>
                <c:pt idx="8">
                  <c:v>20.750849377123437</c:v>
                </c:pt>
                <c:pt idx="9">
                  <c:v>27.004530011325027</c:v>
                </c:pt>
                <c:pt idx="10">
                  <c:v>19.045300113250278</c:v>
                </c:pt>
                <c:pt idx="11">
                  <c:v>21.035107587768969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'35_g'!$A$20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'35_g'!$B$16:$M$16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'35_g'!$B$20:$M$20</c:f>
              <c:numCache>
                <c:formatCode>#,##0_ ;\-#,##0\ </c:formatCode>
                <c:ptCount val="12"/>
                <c:pt idx="0">
                  <c:v>32</c:v>
                </c:pt>
                <c:pt idx="1">
                  <c:v>9</c:v>
                </c:pt>
                <c:pt idx="2">
                  <c:v>15</c:v>
                </c:pt>
                <c:pt idx="3">
                  <c:v>10</c:v>
                </c:pt>
                <c:pt idx="4">
                  <c:v>7</c:v>
                </c:pt>
                <c:pt idx="5">
                  <c:v>10</c:v>
                </c:pt>
                <c:pt idx="6">
                  <c:v>13</c:v>
                </c:pt>
                <c:pt idx="7">
                  <c:v>17</c:v>
                </c:pt>
                <c:pt idx="8">
                  <c:v>21</c:v>
                </c:pt>
                <c:pt idx="9">
                  <c:v>20</c:v>
                </c:pt>
                <c:pt idx="10">
                  <c:v>14</c:v>
                </c:pt>
                <c:pt idx="11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05088"/>
        <c:axId val="288514624"/>
      </c:lineChart>
      <c:catAx>
        <c:axId val="28930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514624"/>
        <c:crosses val="autoZero"/>
        <c:auto val="1"/>
        <c:lblAlgn val="ctr"/>
        <c:lblOffset val="100"/>
        <c:noMultiLvlLbl val="0"/>
      </c:catAx>
      <c:valAx>
        <c:axId val="2885146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3050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'35_g'!$B$39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'35_g'!$C$39:$N$39</c:f>
              <c:numCache>
                <c:formatCode>#,##0_ ;\-#,##0\ 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37</c:v>
                </c:pt>
                <c:pt idx="3">
                  <c:v>48</c:v>
                </c:pt>
                <c:pt idx="4">
                  <c:v>57</c:v>
                </c:pt>
                <c:pt idx="5">
                  <c:v>70</c:v>
                </c:pt>
                <c:pt idx="6">
                  <c:v>145</c:v>
                </c:pt>
                <c:pt idx="7">
                  <c:v>190</c:v>
                </c:pt>
                <c:pt idx="8">
                  <c:v>199</c:v>
                </c:pt>
                <c:pt idx="9">
                  <c:v>220</c:v>
                </c:pt>
                <c:pt idx="10">
                  <c:v>258</c:v>
                </c:pt>
                <c:pt idx="11">
                  <c:v>316</c:v>
                </c:pt>
              </c:numCache>
            </c:numRef>
          </c:val>
        </c:ser>
        <c:ser>
          <c:idx val="0"/>
          <c:order val="2"/>
          <c:tx>
            <c:strRef>
              <c:f>'35_g'!$B$41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'35_g'!$C$41:$N$41</c:f>
              <c:numCache>
                <c:formatCode>#,##0_ ;\-#,##0\ </c:formatCode>
                <c:ptCount val="12"/>
                <c:pt idx="0">
                  <c:v>32</c:v>
                </c:pt>
                <c:pt idx="1">
                  <c:v>41</c:v>
                </c:pt>
                <c:pt idx="2">
                  <c:v>56</c:v>
                </c:pt>
                <c:pt idx="3">
                  <c:v>66</c:v>
                </c:pt>
                <c:pt idx="4">
                  <c:v>73</c:v>
                </c:pt>
                <c:pt idx="5">
                  <c:v>83</c:v>
                </c:pt>
                <c:pt idx="6">
                  <c:v>96</c:v>
                </c:pt>
                <c:pt idx="7">
                  <c:v>113</c:v>
                </c:pt>
                <c:pt idx="8">
                  <c:v>134</c:v>
                </c:pt>
                <c:pt idx="9">
                  <c:v>154</c:v>
                </c:pt>
                <c:pt idx="10">
                  <c:v>168</c:v>
                </c:pt>
                <c:pt idx="11">
                  <c:v>176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89306624"/>
        <c:axId val="288516928"/>
      </c:barChart>
      <c:lineChart>
        <c:grouping val="standard"/>
        <c:varyColors val="0"/>
        <c:ser>
          <c:idx val="3"/>
          <c:order val="1"/>
          <c:tx>
            <c:strRef>
              <c:f>'35_g'!$B$40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'35_g'!$C$37:$N$37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'35_g'!$C$40:$N$40</c:f>
              <c:numCache>
                <c:formatCode>#,##0_ ;\-#,##0\ </c:formatCode>
                <c:ptCount val="12"/>
                <c:pt idx="0">
                  <c:v>17.055492638731597</c:v>
                </c:pt>
                <c:pt idx="1">
                  <c:v>31.552661381653451</c:v>
                </c:pt>
                <c:pt idx="2">
                  <c:v>47.755379388448461</c:v>
                </c:pt>
                <c:pt idx="3">
                  <c:v>61.968289920724793</c:v>
                </c:pt>
                <c:pt idx="4">
                  <c:v>77.033975084937708</c:v>
                </c:pt>
                <c:pt idx="5">
                  <c:v>95.795016987542454</c:v>
                </c:pt>
                <c:pt idx="6">
                  <c:v>129.3374858437146</c:v>
                </c:pt>
                <c:pt idx="7">
                  <c:v>163.16421291053226</c:v>
                </c:pt>
                <c:pt idx="8">
                  <c:v>183.9150622876557</c:v>
                </c:pt>
                <c:pt idx="9">
                  <c:v>210.91959229898072</c:v>
                </c:pt>
                <c:pt idx="10">
                  <c:v>229.96489241223099</c:v>
                </c:pt>
                <c:pt idx="11">
                  <c:v>250.99999999999997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06624"/>
        <c:axId val="288516928"/>
      </c:lineChart>
      <c:catAx>
        <c:axId val="28930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516928"/>
        <c:crosses val="autoZero"/>
        <c:auto val="1"/>
        <c:lblAlgn val="ctr"/>
        <c:lblOffset val="100"/>
        <c:noMultiLvlLbl val="0"/>
      </c:catAx>
      <c:valAx>
        <c:axId val="2885169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30662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'35_g'!$AI$18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'35_g'!$AJ$16:$AU$16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'35_g'!$AJ$18:$AU$18</c:f>
              <c:numCache>
                <c:formatCode>#,##0.000_ ;\-#,##0.000\ </c:formatCode>
                <c:ptCount val="12"/>
                <c:pt idx="0">
                  <c:v>5.6460999999999997E-2</c:v>
                </c:pt>
                <c:pt idx="1">
                  <c:v>5.7593999999999999E-2</c:v>
                </c:pt>
                <c:pt idx="2">
                  <c:v>5.1637000000000002E-2</c:v>
                </c:pt>
                <c:pt idx="3">
                  <c:v>5.6474000000000003E-2</c:v>
                </c:pt>
                <c:pt idx="4">
                  <c:v>5.2615000000000002E-2</c:v>
                </c:pt>
                <c:pt idx="5">
                  <c:v>5.7283000000000001E-2</c:v>
                </c:pt>
                <c:pt idx="6">
                  <c:v>6.7225999999999994E-2</c:v>
                </c:pt>
                <c:pt idx="7">
                  <c:v>7.2709999999999997E-2</c:v>
                </c:pt>
                <c:pt idx="8">
                  <c:v>6.5141000000000004E-2</c:v>
                </c:pt>
                <c:pt idx="9">
                  <c:v>6.3416E-2</c:v>
                </c:pt>
                <c:pt idx="10">
                  <c:v>6.1351000000000003E-2</c:v>
                </c:pt>
                <c:pt idx="11">
                  <c:v>5.9088000000000002E-2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'35_g'!$AI$19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'35_g'!$AJ$16:$AU$16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'35_g'!$AJ$19:$AU$19</c:f>
              <c:numCache>
                <c:formatCode>#,##0.000_ ;\-#,##0.000\ </c:formatCode>
                <c:ptCount val="12"/>
                <c:pt idx="0">
                  <c:v>6.1445E-2</c:v>
                </c:pt>
                <c:pt idx="1">
                  <c:v>6.4077999999999996E-2</c:v>
                </c:pt>
                <c:pt idx="2">
                  <c:v>5.9367000000000003E-2</c:v>
                </c:pt>
                <c:pt idx="3">
                  <c:v>6.2908000000000006E-2</c:v>
                </c:pt>
                <c:pt idx="4">
                  <c:v>5.7096000000000001E-2</c:v>
                </c:pt>
                <c:pt idx="5">
                  <c:v>6.2042E-2</c:v>
                </c:pt>
                <c:pt idx="6">
                  <c:v>7.0954000000000003E-2</c:v>
                </c:pt>
                <c:pt idx="7">
                  <c:v>7.2554999999999994E-2</c:v>
                </c:pt>
                <c:pt idx="8">
                  <c:v>6.9575999999999999E-2</c:v>
                </c:pt>
                <c:pt idx="9">
                  <c:v>6.6452999999999998E-2</c:v>
                </c:pt>
                <c:pt idx="10">
                  <c:v>6.6341999999999998E-2</c:v>
                </c:pt>
                <c:pt idx="11">
                  <c:v>6.1286E-2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'35_g'!$AI$20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'35_g'!$AJ$16:$AU$16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'35_g'!$AJ$20:$AU$20</c:f>
              <c:numCache>
                <c:formatCode>#,##0.000_ ;\-#,##0.000\ </c:formatCode>
                <c:ptCount val="12"/>
                <c:pt idx="0">
                  <c:v>5.8687999999999997E-2</c:v>
                </c:pt>
                <c:pt idx="1">
                  <c:v>6.1983999999999997E-2</c:v>
                </c:pt>
                <c:pt idx="2">
                  <c:v>6.0965999999999999E-2</c:v>
                </c:pt>
                <c:pt idx="3">
                  <c:v>6.2170999999999997E-2</c:v>
                </c:pt>
                <c:pt idx="4">
                  <c:v>6.4051999999999998E-2</c:v>
                </c:pt>
                <c:pt idx="5">
                  <c:v>5.9735000000000003E-2</c:v>
                </c:pt>
                <c:pt idx="6">
                  <c:v>6.9110000000000005E-2</c:v>
                </c:pt>
                <c:pt idx="7">
                  <c:v>6.7773E-2</c:v>
                </c:pt>
                <c:pt idx="8">
                  <c:v>6.4508999999999997E-2</c:v>
                </c:pt>
                <c:pt idx="9">
                  <c:v>6.3156000000000004E-2</c:v>
                </c:pt>
                <c:pt idx="10">
                  <c:v>6.0547999999999998E-2</c:v>
                </c:pt>
                <c:pt idx="11">
                  <c:v>6.1127000000000001E-2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08160"/>
        <c:axId val="288519232"/>
      </c:lineChart>
      <c:catAx>
        <c:axId val="2893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519232"/>
        <c:crosses val="autoZero"/>
        <c:auto val="1"/>
        <c:lblAlgn val="ctr"/>
        <c:lblOffset val="100"/>
        <c:noMultiLvlLbl val="0"/>
      </c:catAx>
      <c:valAx>
        <c:axId val="2885192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730935457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3081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6355611133"/>
          <c:y val="2.2161373086791118E-2"/>
          <c:w val="0.3512889429593832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'35_g'!$AJ$39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'35_g'!$AK$39:$AV$39</c:f>
              <c:numCache>
                <c:formatCode>#,##0.000_ ;\-#,##0.000\ </c:formatCode>
                <c:ptCount val="12"/>
                <c:pt idx="0">
                  <c:v>5.6460999999999997E-2</c:v>
                </c:pt>
                <c:pt idx="1">
                  <c:v>0.11405499999999999</c:v>
                </c:pt>
                <c:pt idx="2">
                  <c:v>0.16569200000000001</c:v>
                </c:pt>
                <c:pt idx="3">
                  <c:v>0.222166</c:v>
                </c:pt>
                <c:pt idx="4">
                  <c:v>0.274781</c:v>
                </c:pt>
                <c:pt idx="5">
                  <c:v>0.33206400000000003</c:v>
                </c:pt>
                <c:pt idx="6">
                  <c:v>0.39929000000000003</c:v>
                </c:pt>
                <c:pt idx="7">
                  <c:v>0.47200000000000003</c:v>
                </c:pt>
                <c:pt idx="8">
                  <c:v>0.53714100000000009</c:v>
                </c:pt>
                <c:pt idx="9">
                  <c:v>0.60055700000000012</c:v>
                </c:pt>
                <c:pt idx="10">
                  <c:v>0.66190800000000016</c:v>
                </c:pt>
                <c:pt idx="11">
                  <c:v>0.72099600000000019</c:v>
                </c:pt>
              </c:numCache>
            </c:numRef>
          </c:val>
        </c:ser>
        <c:ser>
          <c:idx val="0"/>
          <c:order val="2"/>
          <c:tx>
            <c:strRef>
              <c:f>'35_g'!$AJ$41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'35_g'!$AK$41:$AV$41</c:f>
              <c:numCache>
                <c:formatCode>#,##0.000_ ;\-#,##0.000\ </c:formatCode>
                <c:ptCount val="12"/>
                <c:pt idx="0">
                  <c:v>5.8687999999999997E-2</c:v>
                </c:pt>
                <c:pt idx="1">
                  <c:v>0.120672</c:v>
                </c:pt>
                <c:pt idx="2">
                  <c:v>0.18163799999999999</c:v>
                </c:pt>
                <c:pt idx="3">
                  <c:v>0.243809</c:v>
                </c:pt>
                <c:pt idx="4">
                  <c:v>0.307861</c:v>
                </c:pt>
                <c:pt idx="5">
                  <c:v>0.36759599999999998</c:v>
                </c:pt>
                <c:pt idx="6">
                  <c:v>0.43670599999999998</c:v>
                </c:pt>
                <c:pt idx="7">
                  <c:v>0.50447900000000001</c:v>
                </c:pt>
                <c:pt idx="8">
                  <c:v>0.56898800000000005</c:v>
                </c:pt>
                <c:pt idx="9">
                  <c:v>0.63214400000000004</c:v>
                </c:pt>
                <c:pt idx="10">
                  <c:v>0.69269200000000009</c:v>
                </c:pt>
                <c:pt idx="11">
                  <c:v>0.75381900000000013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89607680"/>
        <c:axId val="288521536"/>
      </c:barChart>
      <c:lineChart>
        <c:grouping val="standard"/>
        <c:varyColors val="0"/>
        <c:ser>
          <c:idx val="3"/>
          <c:order val="1"/>
          <c:tx>
            <c:strRef>
              <c:f>'35_g'!$AJ$40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'35_g'!$AK$37:$AV$37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'35_g'!$AK$40:$AV$40</c:f>
              <c:numCache>
                <c:formatCode>#,##0.000_ ;\-#,##0.000\ </c:formatCode>
                <c:ptCount val="12"/>
                <c:pt idx="0">
                  <c:v>6.1445E-2</c:v>
                </c:pt>
                <c:pt idx="1">
                  <c:v>0.125523</c:v>
                </c:pt>
                <c:pt idx="2">
                  <c:v>0.18489</c:v>
                </c:pt>
                <c:pt idx="3">
                  <c:v>0.24779800000000002</c:v>
                </c:pt>
                <c:pt idx="4">
                  <c:v>0.304894</c:v>
                </c:pt>
                <c:pt idx="5">
                  <c:v>0.36693599999999998</c:v>
                </c:pt>
                <c:pt idx="6">
                  <c:v>0.43789</c:v>
                </c:pt>
                <c:pt idx="7">
                  <c:v>0.51044500000000004</c:v>
                </c:pt>
                <c:pt idx="8">
                  <c:v>0.58002100000000001</c:v>
                </c:pt>
                <c:pt idx="9">
                  <c:v>0.64647399999999999</c:v>
                </c:pt>
                <c:pt idx="10">
                  <c:v>0.71281600000000001</c:v>
                </c:pt>
                <c:pt idx="11">
                  <c:v>0.77410199999999996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607680"/>
        <c:axId val="288521536"/>
      </c:lineChart>
      <c:catAx>
        <c:axId val="2896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521536"/>
        <c:crosses val="autoZero"/>
        <c:auto val="1"/>
        <c:lblAlgn val="ctr"/>
        <c:lblOffset val="100"/>
        <c:noMultiLvlLbl val="0"/>
      </c:catAx>
      <c:valAx>
        <c:axId val="2885215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81690586548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60768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4001228573"/>
          <c:y val="2.2161373086791118E-2"/>
          <c:w val="0.33180945998771427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'35_g'!$AY$18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'35_g'!$AZ$16:$BK$16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'35_g'!$AZ$18:$BK$18</c:f>
              <c:numCache>
                <c:formatCode>#,##0.000_ ;\-#,##0.000\ </c:formatCode>
                <c:ptCount val="12"/>
                <c:pt idx="0">
                  <c:v>1.2447E-2</c:v>
                </c:pt>
                <c:pt idx="1">
                  <c:v>1.0511E-2</c:v>
                </c:pt>
                <c:pt idx="2">
                  <c:v>1.0836E-2</c:v>
                </c:pt>
                <c:pt idx="3">
                  <c:v>1.0703000000000001E-2</c:v>
                </c:pt>
                <c:pt idx="4">
                  <c:v>1.0808E-2</c:v>
                </c:pt>
                <c:pt idx="5">
                  <c:v>1.426E-2</c:v>
                </c:pt>
                <c:pt idx="6">
                  <c:v>1.6431000000000001E-2</c:v>
                </c:pt>
                <c:pt idx="7">
                  <c:v>9.5149999999999992E-3</c:v>
                </c:pt>
                <c:pt idx="8">
                  <c:v>7.4679999999999998E-3</c:v>
                </c:pt>
                <c:pt idx="9">
                  <c:v>7.2240000000000004E-3</c:v>
                </c:pt>
                <c:pt idx="10">
                  <c:v>1.1645000000000001E-2</c:v>
                </c:pt>
                <c:pt idx="11">
                  <c:v>1.2272E-2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'35_g'!$AY$19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'35_g'!$AZ$16:$BK$16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'35_g'!$AZ$19:$BK$19</c:f>
              <c:numCache>
                <c:formatCode>#,##0.000_ ;\-#,##0.000\ </c:formatCode>
                <c:ptCount val="12"/>
                <c:pt idx="0">
                  <c:v>1.5887999999999999E-2</c:v>
                </c:pt>
                <c:pt idx="1">
                  <c:v>1.5084E-2</c:v>
                </c:pt>
                <c:pt idx="2">
                  <c:v>1.4735E-2</c:v>
                </c:pt>
                <c:pt idx="3">
                  <c:v>1.4657E-2</c:v>
                </c:pt>
                <c:pt idx="4">
                  <c:v>1.2743000000000001E-2</c:v>
                </c:pt>
                <c:pt idx="5">
                  <c:v>1.5036000000000001E-2</c:v>
                </c:pt>
                <c:pt idx="6">
                  <c:v>1.6981E-2</c:v>
                </c:pt>
                <c:pt idx="7">
                  <c:v>1.4008E-2</c:v>
                </c:pt>
                <c:pt idx="8">
                  <c:v>1.3209E-2</c:v>
                </c:pt>
                <c:pt idx="9">
                  <c:v>1.1872000000000001E-2</c:v>
                </c:pt>
                <c:pt idx="10">
                  <c:v>1.2685999999999999E-2</c:v>
                </c:pt>
                <c:pt idx="11">
                  <c:v>1.3018999999999999E-2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'35_g'!$AY$20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'35_g'!$AZ$16:$BK$16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'35_g'!$AZ$20:$BK$20</c:f>
              <c:numCache>
                <c:formatCode>#,##0.000_ ;\-#,##0.000\ </c:formatCode>
                <c:ptCount val="12"/>
                <c:pt idx="0">
                  <c:v>1.6907999999999999E-2</c:v>
                </c:pt>
                <c:pt idx="1">
                  <c:v>9.7109999999999991E-3</c:v>
                </c:pt>
                <c:pt idx="2">
                  <c:v>1.5429E-2</c:v>
                </c:pt>
                <c:pt idx="3">
                  <c:v>1.1571E-2</c:v>
                </c:pt>
                <c:pt idx="4">
                  <c:v>8.286E-3</c:v>
                </c:pt>
                <c:pt idx="5">
                  <c:v>1.4629E-2</c:v>
                </c:pt>
                <c:pt idx="6">
                  <c:v>8.6750000000000004E-3</c:v>
                </c:pt>
                <c:pt idx="7">
                  <c:v>8.0809999999999996E-3</c:v>
                </c:pt>
                <c:pt idx="8">
                  <c:v>7.659E-3</c:v>
                </c:pt>
                <c:pt idx="9">
                  <c:v>9.9179999999999997E-3</c:v>
                </c:pt>
                <c:pt idx="10">
                  <c:v>1.2991000000000001E-2</c:v>
                </c:pt>
                <c:pt idx="11">
                  <c:v>1.4399E-2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608704"/>
        <c:axId val="289359552"/>
      </c:lineChart>
      <c:catAx>
        <c:axId val="28960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359552"/>
        <c:crosses val="autoZero"/>
        <c:auto val="1"/>
        <c:lblAlgn val="ctr"/>
        <c:lblOffset val="100"/>
        <c:noMultiLvlLbl val="0"/>
      </c:catAx>
      <c:valAx>
        <c:axId val="2893595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12023939486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6087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9877902425"/>
          <c:y val="2.2161373086791118E-2"/>
          <c:w val="0.35300970122097575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'35_g'!$AY$39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'35_g'!$AZ$37:$BO$37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'35_g'!$AZ$39:$BO$39</c:f>
              <c:numCache>
                <c:formatCode>_(* #,##0.00_);_(* \(#,##0.00\);_(* "-"??_);_(@_)</c:formatCode>
                <c:ptCount val="16"/>
                <c:pt idx="0">
                  <c:v>18.063214721077379</c:v>
                </c:pt>
                <c:pt idx="1">
                  <c:v>15.433521767858455</c:v>
                </c:pt>
                <c:pt idx="2">
                  <c:v>17.345093080210653</c:v>
                </c:pt>
                <c:pt idx="3">
                  <c:v>16.940537180554024</c:v>
                </c:pt>
                <c:pt idx="4">
                  <c:v>15.932536433600786</c:v>
                </c:pt>
                <c:pt idx="5">
                  <c:v>17.041136496223768</c:v>
                </c:pt>
                <c:pt idx="6">
                  <c:v>19.890365865565677</c:v>
                </c:pt>
                <c:pt idx="7">
                  <c:v>17.314244895825816</c:v>
                </c:pt>
                <c:pt idx="8">
                  <c:v>19.501050357833773</c:v>
                </c:pt>
                <c:pt idx="9">
                  <c:v>11.488077271355266</c:v>
                </c:pt>
                <c:pt idx="10">
                  <c:v>10.285226349350632</c:v>
                </c:pt>
                <c:pt idx="11">
                  <c:v>16.053595647497154</c:v>
                </c:pt>
                <c:pt idx="12">
                  <c:v>10.226500566251415</c:v>
                </c:pt>
                <c:pt idx="13">
                  <c:v>15.952928927612472</c:v>
                </c:pt>
                <c:pt idx="14">
                  <c:v>17.197309417040358</c:v>
                </c:pt>
                <c:pt idx="15">
                  <c:v>15.659699275861506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'35_g'!$AY$40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'35_g'!$AZ$37:$BO$37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'35_g'!$AZ$40:$BO$40</c:f>
              <c:numCache>
                <c:formatCode>_(* #,##0.00_);_(* \(#,##0.00\);_(* "-"??_);_(@_)</c:formatCode>
                <c:ptCount val="16"/>
                <c:pt idx="0">
                  <c:v>17.999406792228978</c:v>
                </c:pt>
                <c:pt idx="1">
                  <c:v>17.999406792228978</c:v>
                </c:pt>
                <c:pt idx="2">
                  <c:v>17.999406792228978</c:v>
                </c:pt>
                <c:pt idx="3">
                  <c:v>17.999406792228978</c:v>
                </c:pt>
                <c:pt idx="4">
                  <c:v>17.999406792228978</c:v>
                </c:pt>
                <c:pt idx="5">
                  <c:v>17.999406792228978</c:v>
                </c:pt>
                <c:pt idx="6">
                  <c:v>17.999406792228978</c:v>
                </c:pt>
                <c:pt idx="7">
                  <c:v>17.999406792228978</c:v>
                </c:pt>
                <c:pt idx="8">
                  <c:v>17.999406792228978</c:v>
                </c:pt>
                <c:pt idx="9">
                  <c:v>17.999406792228978</c:v>
                </c:pt>
                <c:pt idx="10">
                  <c:v>17.999406792228978</c:v>
                </c:pt>
                <c:pt idx="11">
                  <c:v>17.999406792228978</c:v>
                </c:pt>
                <c:pt idx="12">
                  <c:v>17.999406792228978</c:v>
                </c:pt>
                <c:pt idx="13">
                  <c:v>17.999406792228978</c:v>
                </c:pt>
                <c:pt idx="14">
                  <c:v>17.999406792228978</c:v>
                </c:pt>
                <c:pt idx="15">
                  <c:v>17.999406792228978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'35_g'!$AY$41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'35_g'!$AZ$37:$BO$37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'35_g'!$AZ$41:$BO$41</c:f>
              <c:numCache>
                <c:formatCode>_(* #,##0.00_);_(* \(#,##0.00\);_(* "-"??_);_(@_)</c:formatCode>
                <c:ptCount val="16"/>
                <c:pt idx="0">
                  <c:v>22.366262765225674</c:v>
                </c:pt>
                <c:pt idx="1">
                  <c:v>13.544877606527653</c:v>
                </c:pt>
                <c:pt idx="2">
                  <c:v>20.196347928529352</c:v>
                </c:pt>
                <c:pt idx="3">
                  <c:v>18.797779029532467</c:v>
                </c:pt>
                <c:pt idx="4">
                  <c:v>15.691193621002956</c:v>
                </c:pt>
                <c:pt idx="5">
                  <c:v>11.454560535265006</c:v>
                </c:pt>
                <c:pt idx="6">
                  <c:v>19.672153192404927</c:v>
                </c:pt>
                <c:pt idx="7">
                  <c:v>17.232341881881432</c:v>
                </c:pt>
                <c:pt idx="8">
                  <c:v>11.152535835958091</c:v>
                </c:pt>
                <c:pt idx="9">
                  <c:v>10.653360402879215</c:v>
                </c:pt>
                <c:pt idx="10">
                  <c:v>10.612736947123379</c:v>
                </c:pt>
                <c:pt idx="11">
                  <c:v>15.068431807766999</c:v>
                </c:pt>
                <c:pt idx="12">
                  <c:v>13.572542901716069</c:v>
                </c:pt>
                <c:pt idx="13">
                  <c:v>17.665456424482247</c:v>
                </c:pt>
                <c:pt idx="14">
                  <c:v>19.064957762889602</c:v>
                </c:pt>
                <c:pt idx="15">
                  <c:v>15.498343190490496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609216"/>
        <c:axId val="289361856"/>
      </c:lineChart>
      <c:catAx>
        <c:axId val="28960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361856"/>
        <c:crosses val="autoZero"/>
        <c:auto val="1"/>
        <c:lblAlgn val="ctr"/>
        <c:lblOffset val="100"/>
        <c:noMultiLvlLbl val="0"/>
      </c:catAx>
      <c:valAx>
        <c:axId val="2893618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46490404297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6092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2115148453"/>
          <c:y val="2.2161373086791118E-2"/>
          <c:w val="0.283030773676226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'12_g'!$AJ$39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'12_g'!$AK$39:$AV$39</c:f>
              <c:numCache>
                <c:formatCode>#,##0.000_ ;\-#,##0.000\ </c:formatCode>
                <c:ptCount val="12"/>
                <c:pt idx="0">
                  <c:v>4.7135000000000003E-2</c:v>
                </c:pt>
                <c:pt idx="1">
                  <c:v>9.2659000000000005E-2</c:v>
                </c:pt>
                <c:pt idx="2">
                  <c:v>0.13924600000000001</c:v>
                </c:pt>
                <c:pt idx="3">
                  <c:v>0.19077100000000002</c:v>
                </c:pt>
                <c:pt idx="4">
                  <c:v>0.23711500000000002</c:v>
                </c:pt>
                <c:pt idx="5">
                  <c:v>0.281472</c:v>
                </c:pt>
                <c:pt idx="6">
                  <c:v>0.342192</c:v>
                </c:pt>
                <c:pt idx="7">
                  <c:v>0.40633900000000001</c:v>
                </c:pt>
                <c:pt idx="8">
                  <c:v>0.46469100000000002</c:v>
                </c:pt>
                <c:pt idx="9">
                  <c:v>0.51471800000000001</c:v>
                </c:pt>
                <c:pt idx="10">
                  <c:v>0.563751</c:v>
                </c:pt>
                <c:pt idx="11">
                  <c:v>0.61546599999999996</c:v>
                </c:pt>
              </c:numCache>
            </c:numRef>
          </c:val>
        </c:ser>
        <c:ser>
          <c:idx val="0"/>
          <c:order val="2"/>
          <c:tx>
            <c:strRef>
              <c:f>'12_g'!$AJ$41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'12_g'!$AK$41:$AV$41</c:f>
              <c:numCache>
                <c:formatCode>#,##0.000_ ;\-#,##0.000\ </c:formatCode>
                <c:ptCount val="12"/>
                <c:pt idx="0">
                  <c:v>4.4784999999999998E-2</c:v>
                </c:pt>
                <c:pt idx="1">
                  <c:v>9.4029000000000001E-2</c:v>
                </c:pt>
                <c:pt idx="2">
                  <c:v>0.14143</c:v>
                </c:pt>
                <c:pt idx="3">
                  <c:v>0.19258900000000001</c:v>
                </c:pt>
                <c:pt idx="4">
                  <c:v>0.24261100000000002</c:v>
                </c:pt>
                <c:pt idx="5">
                  <c:v>0.29170700000000005</c:v>
                </c:pt>
                <c:pt idx="6">
                  <c:v>0.35262800000000005</c:v>
                </c:pt>
                <c:pt idx="7">
                  <c:v>0.40913600000000006</c:v>
                </c:pt>
                <c:pt idx="8">
                  <c:v>0.46141100000000007</c:v>
                </c:pt>
                <c:pt idx="9">
                  <c:v>0.51232600000000006</c:v>
                </c:pt>
                <c:pt idx="10">
                  <c:v>0.56314400000000009</c:v>
                </c:pt>
                <c:pt idx="11">
                  <c:v>0.61444100000000013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4754816"/>
        <c:axId val="174785088"/>
      </c:barChart>
      <c:lineChart>
        <c:grouping val="standard"/>
        <c:varyColors val="0"/>
        <c:ser>
          <c:idx val="3"/>
          <c:order val="1"/>
          <c:tx>
            <c:strRef>
              <c:f>'12_g'!$AJ$40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'12_g'!$AK$37:$AV$37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'12_g'!$AK$40:$AV$40</c:f>
              <c:numCache>
                <c:formatCode>#,##0.000_ ;\-#,##0.000\ </c:formatCode>
                <c:ptCount val="12"/>
                <c:pt idx="0">
                  <c:v>4.5719000000000003E-2</c:v>
                </c:pt>
                <c:pt idx="1">
                  <c:v>9.1019000000000003E-2</c:v>
                </c:pt>
                <c:pt idx="2">
                  <c:v>0.13550699999999999</c:v>
                </c:pt>
                <c:pt idx="3">
                  <c:v>0.18423999999999999</c:v>
                </c:pt>
                <c:pt idx="4">
                  <c:v>0.23053799999999999</c:v>
                </c:pt>
                <c:pt idx="5">
                  <c:v>0.27538600000000002</c:v>
                </c:pt>
                <c:pt idx="6">
                  <c:v>0.331208</c:v>
                </c:pt>
                <c:pt idx="7">
                  <c:v>0.38888100000000003</c:v>
                </c:pt>
                <c:pt idx="8">
                  <c:v>0.44283100000000003</c:v>
                </c:pt>
                <c:pt idx="9">
                  <c:v>0.49172600000000005</c:v>
                </c:pt>
                <c:pt idx="10">
                  <c:v>0.54084900000000002</c:v>
                </c:pt>
                <c:pt idx="11">
                  <c:v>0.59062100000000006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54816"/>
        <c:axId val="174785088"/>
      </c:lineChart>
      <c:catAx>
        <c:axId val="1747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785088"/>
        <c:crosses val="autoZero"/>
        <c:auto val="1"/>
        <c:lblAlgn val="ctr"/>
        <c:lblOffset val="100"/>
        <c:noMultiLvlLbl val="0"/>
      </c:catAx>
      <c:valAx>
        <c:axId val="1747850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484525972716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7548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6271812183"/>
          <c:y val="2.2161373086791118E-2"/>
          <c:w val="0.33180943728187817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'35_g'!$A$65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'35_g'!$B$63:$M$63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'35_g'!$B$65:$M$65</c:f>
              <c:numCache>
                <c:formatCode>#,##0.00_ ;\-#,##0.00\ </c:formatCode>
                <c:ptCount val="12"/>
                <c:pt idx="0">
                  <c:v>1.09001733</c:v>
                </c:pt>
                <c:pt idx="1">
                  <c:v>1.1159008400000001</c:v>
                </c:pt>
                <c:pt idx="2">
                  <c:v>1.03175668</c:v>
                </c:pt>
                <c:pt idx="3">
                  <c:v>1.10431649</c:v>
                </c:pt>
                <c:pt idx="4">
                  <c:v>1.0547825300000002</c:v>
                </c:pt>
                <c:pt idx="5">
                  <c:v>1.1315320800000002</c:v>
                </c:pt>
                <c:pt idx="6">
                  <c:v>1.30956122</c:v>
                </c:pt>
                <c:pt idx="7">
                  <c:v>1.4310829600000001</c:v>
                </c:pt>
                <c:pt idx="8">
                  <c:v>1.2309922200000003</c:v>
                </c:pt>
                <c:pt idx="9">
                  <c:v>1.2169715300000004</c:v>
                </c:pt>
                <c:pt idx="10">
                  <c:v>1.1762607199999999</c:v>
                </c:pt>
                <c:pt idx="11">
                  <c:v>1.1775671300000001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'35_g'!$A$66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'35_g'!$B$63:$M$63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'35_g'!$B$66:$M$66</c:f>
              <c:numCache>
                <c:formatCode>#,##0.00_ ;\-#,##0.00\ </c:formatCode>
                <c:ptCount val="12"/>
                <c:pt idx="0">
                  <c:v>1.186202</c:v>
                </c:pt>
                <c:pt idx="1">
                  <c:v>1.239433</c:v>
                </c:pt>
                <c:pt idx="2">
                  <c:v>1.1570400000000001</c:v>
                </c:pt>
                <c:pt idx="3">
                  <c:v>1.2130669999999999</c:v>
                </c:pt>
                <c:pt idx="4">
                  <c:v>1.127213</c:v>
                </c:pt>
                <c:pt idx="5">
                  <c:v>1.1989460000000001</c:v>
                </c:pt>
                <c:pt idx="6">
                  <c:v>1.378225</c:v>
                </c:pt>
                <c:pt idx="7">
                  <c:v>1.404566</c:v>
                </c:pt>
                <c:pt idx="8">
                  <c:v>1.3329599999999999</c:v>
                </c:pt>
                <c:pt idx="9">
                  <c:v>1.22580895</c:v>
                </c:pt>
                <c:pt idx="10">
                  <c:v>1.1701610399999998</c:v>
                </c:pt>
                <c:pt idx="11">
                  <c:v>1.1711310399999999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'35_g'!$A$67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'35_g'!$B$63:$M$63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'35_g'!$B$67:$M$67</c:f>
              <c:numCache>
                <c:formatCode>#,##0.00_ ;\-#,##0.00\ </c:formatCode>
                <c:ptCount val="12"/>
                <c:pt idx="0">
                  <c:v>1.1602624699999999</c:v>
                </c:pt>
                <c:pt idx="1">
                  <c:v>1.2017104400000003</c:v>
                </c:pt>
                <c:pt idx="2">
                  <c:v>1.20768056</c:v>
                </c:pt>
                <c:pt idx="3">
                  <c:v>1.2148501099999998</c:v>
                </c:pt>
                <c:pt idx="4">
                  <c:v>1.2531841000000001</c:v>
                </c:pt>
                <c:pt idx="5">
                  <c:v>1.144876</c:v>
                </c:pt>
                <c:pt idx="6">
                  <c:v>1.3521062099999999</c:v>
                </c:pt>
                <c:pt idx="7">
                  <c:v>1.31186253</c:v>
                </c:pt>
                <c:pt idx="8">
                  <c:v>1.2465926700000001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609728"/>
        <c:axId val="289364160"/>
      </c:lineChart>
      <c:catAx>
        <c:axId val="28960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364160"/>
        <c:crosses val="autoZero"/>
        <c:auto val="1"/>
        <c:lblAlgn val="ctr"/>
        <c:lblOffset val="100"/>
        <c:noMultiLvlLbl val="0"/>
      </c:catAx>
      <c:valAx>
        <c:axId val="2893641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60972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'35_g'!$B$86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'35_g'!$C$84:$N$84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'35_g'!$C$86:$N$86</c:f>
              <c:numCache>
                <c:formatCode>#,##0.00_ ;\-#,##0.00\ </c:formatCode>
                <c:ptCount val="12"/>
                <c:pt idx="0">
                  <c:v>1.09001733</c:v>
                </c:pt>
                <c:pt idx="1">
                  <c:v>2.2059181700000003</c:v>
                </c:pt>
                <c:pt idx="2">
                  <c:v>3.2376748500000003</c:v>
                </c:pt>
                <c:pt idx="3">
                  <c:v>4.3419913399999999</c:v>
                </c:pt>
                <c:pt idx="4">
                  <c:v>5.3967738700000005</c:v>
                </c:pt>
                <c:pt idx="5">
                  <c:v>6.5283059500000009</c:v>
                </c:pt>
                <c:pt idx="6">
                  <c:v>7.8378671700000009</c:v>
                </c:pt>
                <c:pt idx="7">
                  <c:v>9.2689501300000003</c:v>
                </c:pt>
                <c:pt idx="8">
                  <c:v>10.499942350000001</c:v>
                </c:pt>
                <c:pt idx="9">
                  <c:v>11.716913880000002</c:v>
                </c:pt>
                <c:pt idx="10">
                  <c:v>12.893174600000002</c:v>
                </c:pt>
                <c:pt idx="11">
                  <c:v>14.070741730000002</c:v>
                </c:pt>
              </c:numCache>
            </c:numRef>
          </c:val>
        </c:ser>
        <c:ser>
          <c:idx val="0"/>
          <c:order val="2"/>
          <c:tx>
            <c:strRef>
              <c:f>'35_g'!$B$88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'35_g'!$C$84:$N$84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'35_g'!$C$88:$N$88</c:f>
              <c:numCache>
                <c:formatCode>#,##0.00_ ;\-#,##0.00\ </c:formatCode>
                <c:ptCount val="12"/>
                <c:pt idx="0">
                  <c:v>1.1602624699999999</c:v>
                </c:pt>
                <c:pt idx="1">
                  <c:v>2.3619729100000004</c:v>
                </c:pt>
                <c:pt idx="2">
                  <c:v>3.5696534700000004</c:v>
                </c:pt>
                <c:pt idx="3">
                  <c:v>4.78450358</c:v>
                </c:pt>
                <c:pt idx="4">
                  <c:v>6.0376876800000003</c:v>
                </c:pt>
                <c:pt idx="5">
                  <c:v>7.1825636800000003</c:v>
                </c:pt>
                <c:pt idx="6">
                  <c:v>8.53466989</c:v>
                </c:pt>
                <c:pt idx="7">
                  <c:v>9.8465324199999991</c:v>
                </c:pt>
                <c:pt idx="8">
                  <c:v>11.093125089999999</c:v>
                </c:pt>
                <c:pt idx="9">
                  <c:v>11.093125089999999</c:v>
                </c:pt>
                <c:pt idx="10">
                  <c:v>11.093125089999999</c:v>
                </c:pt>
                <c:pt idx="11">
                  <c:v>11.093125089999999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89610240"/>
        <c:axId val="289546816"/>
      </c:barChart>
      <c:lineChart>
        <c:grouping val="standard"/>
        <c:varyColors val="0"/>
        <c:ser>
          <c:idx val="3"/>
          <c:order val="1"/>
          <c:tx>
            <c:strRef>
              <c:f>'35_g'!$B$87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'35_g'!$C$84:$N$84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'35_g'!$C$87:$N$87</c:f>
              <c:numCache>
                <c:formatCode>#,##0.00_ ;\-#,##0.00\ </c:formatCode>
                <c:ptCount val="12"/>
                <c:pt idx="0">
                  <c:v>1.186202</c:v>
                </c:pt>
                <c:pt idx="1">
                  <c:v>2.4256349999999998</c:v>
                </c:pt>
                <c:pt idx="2">
                  <c:v>3.5826750000000001</c:v>
                </c:pt>
                <c:pt idx="3">
                  <c:v>4.7957419999999997</c:v>
                </c:pt>
                <c:pt idx="4">
                  <c:v>5.922955</c:v>
                </c:pt>
                <c:pt idx="5">
                  <c:v>7.1219010000000003</c:v>
                </c:pt>
                <c:pt idx="6">
                  <c:v>8.5001259999999998</c:v>
                </c:pt>
                <c:pt idx="7">
                  <c:v>9.9046920000000007</c:v>
                </c:pt>
                <c:pt idx="8">
                  <c:v>11.237652000000001</c:v>
                </c:pt>
                <c:pt idx="9">
                  <c:v>12.46346095</c:v>
                </c:pt>
                <c:pt idx="10">
                  <c:v>13.63362199</c:v>
                </c:pt>
                <c:pt idx="11">
                  <c:v>14.804753030000001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610240"/>
        <c:axId val="289546816"/>
      </c:lineChart>
      <c:catAx>
        <c:axId val="28961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546816"/>
        <c:crosses val="autoZero"/>
        <c:auto val="1"/>
        <c:lblAlgn val="ctr"/>
        <c:lblOffset val="100"/>
        <c:noMultiLvlLbl val="0"/>
      </c:catAx>
      <c:valAx>
        <c:axId val="2895468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6102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'35_g'!$S$65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'35_g'!$T$63:$AE$63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'35_g'!$T$65:$AE$65</c:f>
              <c:numCache>
                <c:formatCode>#,##0.00_ ;\-#,##0.00\ </c:formatCode>
                <c:ptCount val="12"/>
                <c:pt idx="0">
                  <c:v>0.65067082000000009</c:v>
                </c:pt>
                <c:pt idx="1">
                  <c:v>0.61993333999999989</c:v>
                </c:pt>
                <c:pt idx="2">
                  <c:v>0.63677732000000009</c:v>
                </c:pt>
                <c:pt idx="3">
                  <c:v>0.62281954000000006</c:v>
                </c:pt>
                <c:pt idx="4">
                  <c:v>0.68376183999999995</c:v>
                </c:pt>
                <c:pt idx="5">
                  <c:v>0.67525084999999996</c:v>
                </c:pt>
                <c:pt idx="6">
                  <c:v>0.62371447000000002</c:v>
                </c:pt>
                <c:pt idx="7">
                  <c:v>0.68008282000000009</c:v>
                </c:pt>
                <c:pt idx="8">
                  <c:v>0.67170036</c:v>
                </c:pt>
                <c:pt idx="9">
                  <c:v>0.67550431000000011</c:v>
                </c:pt>
                <c:pt idx="10">
                  <c:v>0.64588997999999997</c:v>
                </c:pt>
                <c:pt idx="11">
                  <c:v>0.69488899000000004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'35_g'!$S$66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'35_g'!$T$63:$AE$63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'35_g'!$T$66:$AE$66</c:f>
              <c:numCache>
                <c:formatCode>#,##0.00_ ;\-#,##0.00\ </c:formatCode>
                <c:ptCount val="12"/>
                <c:pt idx="0">
                  <c:v>0.66178199999999998</c:v>
                </c:pt>
                <c:pt idx="1">
                  <c:v>0.65262600000000004</c:v>
                </c:pt>
                <c:pt idx="2">
                  <c:v>0.67861899999999997</c:v>
                </c:pt>
                <c:pt idx="3">
                  <c:v>0.662416</c:v>
                </c:pt>
                <c:pt idx="4">
                  <c:v>0.71081000000000005</c:v>
                </c:pt>
                <c:pt idx="5">
                  <c:v>0.70091800000000004</c:v>
                </c:pt>
                <c:pt idx="6">
                  <c:v>0.65362399999999998</c:v>
                </c:pt>
                <c:pt idx="7">
                  <c:v>0.68107399999999996</c:v>
                </c:pt>
                <c:pt idx="8">
                  <c:v>0.68321699999999996</c:v>
                </c:pt>
                <c:pt idx="9">
                  <c:v>0.79586385999999998</c:v>
                </c:pt>
                <c:pt idx="10">
                  <c:v>0.77844137000000024</c:v>
                </c:pt>
                <c:pt idx="11">
                  <c:v>0.94497326000000004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'35_g'!$S$67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'35_g'!$T$63:$AE$63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'35_g'!$T$67:$AE$67</c:f>
              <c:numCache>
                <c:formatCode>#,##0.00_ ;\-#,##0.00\ </c:formatCode>
                <c:ptCount val="12"/>
                <c:pt idx="0">
                  <c:v>0.66958534999999997</c:v>
                </c:pt>
                <c:pt idx="1">
                  <c:v>0.63144865000000006</c:v>
                </c:pt>
                <c:pt idx="2">
                  <c:v>0.83915342999999998</c:v>
                </c:pt>
                <c:pt idx="3">
                  <c:v>0.67638152000000007</c:v>
                </c:pt>
                <c:pt idx="4">
                  <c:v>0.70146942999999995</c:v>
                </c:pt>
                <c:pt idx="5">
                  <c:v>0.77650821999999997</c:v>
                </c:pt>
                <c:pt idx="6">
                  <c:v>0.79234877999999997</c:v>
                </c:pt>
                <c:pt idx="7">
                  <c:v>0.78744405999999989</c:v>
                </c:pt>
                <c:pt idx="8">
                  <c:v>0.80740724000000008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304576"/>
        <c:axId val="289549120"/>
      </c:lineChart>
      <c:catAx>
        <c:axId val="28930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549120"/>
        <c:crosses val="autoZero"/>
        <c:auto val="1"/>
        <c:lblAlgn val="ctr"/>
        <c:lblOffset val="100"/>
        <c:noMultiLvlLbl val="0"/>
      </c:catAx>
      <c:valAx>
        <c:axId val="2895491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3045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87625905737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'35_g'!$T$86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'35_g'!$U$84:$AF$84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'35_g'!$U$86:$AF$86</c:f>
              <c:numCache>
                <c:formatCode>#,##0.00_ ;\-#,##0.00\ </c:formatCode>
                <c:ptCount val="12"/>
                <c:pt idx="0">
                  <c:v>0.65067082000000009</c:v>
                </c:pt>
                <c:pt idx="1">
                  <c:v>1.27060416</c:v>
                </c:pt>
                <c:pt idx="2">
                  <c:v>1.9073814800000002</c:v>
                </c:pt>
                <c:pt idx="3">
                  <c:v>2.5302010200000002</c:v>
                </c:pt>
                <c:pt idx="4">
                  <c:v>3.2139628600000001</c:v>
                </c:pt>
                <c:pt idx="5">
                  <c:v>3.8892137099999999</c:v>
                </c:pt>
                <c:pt idx="6">
                  <c:v>4.5129281800000003</c:v>
                </c:pt>
                <c:pt idx="7">
                  <c:v>5.1930110000000003</c:v>
                </c:pt>
                <c:pt idx="8">
                  <c:v>5.8647113600000003</c:v>
                </c:pt>
                <c:pt idx="9">
                  <c:v>6.5402156700000003</c:v>
                </c:pt>
                <c:pt idx="10">
                  <c:v>7.18610565</c:v>
                </c:pt>
                <c:pt idx="11">
                  <c:v>7.8809946399999999</c:v>
                </c:pt>
              </c:numCache>
            </c:numRef>
          </c:val>
        </c:ser>
        <c:ser>
          <c:idx val="0"/>
          <c:order val="2"/>
          <c:tx>
            <c:strRef>
              <c:f>'35_g'!$T$88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'35_g'!$U$84:$AF$84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'35_g'!$U$88:$AF$88</c:f>
              <c:numCache>
                <c:formatCode>#,##0.00_ ;\-#,##0.00\ </c:formatCode>
                <c:ptCount val="12"/>
                <c:pt idx="0">
                  <c:v>0.66958534999999997</c:v>
                </c:pt>
                <c:pt idx="1">
                  <c:v>1.301034</c:v>
                </c:pt>
                <c:pt idx="2">
                  <c:v>2.1401874300000001</c:v>
                </c:pt>
                <c:pt idx="3">
                  <c:v>2.8165689500000002</c:v>
                </c:pt>
                <c:pt idx="4">
                  <c:v>3.5180383800000001</c:v>
                </c:pt>
                <c:pt idx="5">
                  <c:v>4.2945466000000003</c:v>
                </c:pt>
                <c:pt idx="6">
                  <c:v>5.0868953800000005</c:v>
                </c:pt>
                <c:pt idx="7">
                  <c:v>5.87433944</c:v>
                </c:pt>
                <c:pt idx="8">
                  <c:v>6.6817466799999998</c:v>
                </c:pt>
                <c:pt idx="9">
                  <c:v>6.6817466799999998</c:v>
                </c:pt>
                <c:pt idx="10">
                  <c:v>6.6817466799999998</c:v>
                </c:pt>
                <c:pt idx="11">
                  <c:v>6.6817466799999998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0242560"/>
        <c:axId val="289551424"/>
      </c:barChart>
      <c:lineChart>
        <c:grouping val="standard"/>
        <c:varyColors val="0"/>
        <c:ser>
          <c:idx val="3"/>
          <c:order val="1"/>
          <c:tx>
            <c:strRef>
              <c:f>'35_g'!$T$87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'35_g'!$U$84:$AF$84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'35_g'!$U$87:$AF$87</c:f>
              <c:numCache>
                <c:formatCode>#,##0.00_ ;\-#,##0.00\ </c:formatCode>
                <c:ptCount val="12"/>
                <c:pt idx="0">
                  <c:v>0.66178199999999998</c:v>
                </c:pt>
                <c:pt idx="1">
                  <c:v>1.314408</c:v>
                </c:pt>
                <c:pt idx="2">
                  <c:v>1.9930270000000001</c:v>
                </c:pt>
                <c:pt idx="3">
                  <c:v>2.655443</c:v>
                </c:pt>
                <c:pt idx="4">
                  <c:v>3.3662529999999999</c:v>
                </c:pt>
                <c:pt idx="5">
                  <c:v>4.0671710000000001</c:v>
                </c:pt>
                <c:pt idx="6">
                  <c:v>4.7207949999999999</c:v>
                </c:pt>
                <c:pt idx="7">
                  <c:v>5.4018689999999996</c:v>
                </c:pt>
                <c:pt idx="8">
                  <c:v>6.0850859999999996</c:v>
                </c:pt>
                <c:pt idx="9">
                  <c:v>6.8809498599999994</c:v>
                </c:pt>
                <c:pt idx="10">
                  <c:v>7.6593912299999998</c:v>
                </c:pt>
                <c:pt idx="11">
                  <c:v>8.60436449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242560"/>
        <c:axId val="289551424"/>
      </c:lineChart>
      <c:catAx>
        <c:axId val="29024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551424"/>
        <c:crosses val="autoZero"/>
        <c:auto val="1"/>
        <c:lblAlgn val="ctr"/>
        <c:lblOffset val="100"/>
        <c:noMultiLvlLbl val="0"/>
      </c:catAx>
      <c:valAx>
        <c:axId val="2895514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2425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'35_g'!$AI$65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'35_g'!$AJ$63:$AU$63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'35_g'!$AJ$65:$AU$65</c:f>
              <c:numCache>
                <c:formatCode>#,##0.00_ ;\-#,##0.00\ </c:formatCode>
                <c:ptCount val="12"/>
                <c:pt idx="0">
                  <c:v>0.43934650999999991</c:v>
                </c:pt>
                <c:pt idx="1">
                  <c:v>0.49596750000000023</c:v>
                </c:pt>
                <c:pt idx="2">
                  <c:v>0.39497935999999989</c:v>
                </c:pt>
                <c:pt idx="3">
                  <c:v>0.48149694999999992</c:v>
                </c:pt>
                <c:pt idx="4">
                  <c:v>0.37102069000000026</c:v>
                </c:pt>
                <c:pt idx="5">
                  <c:v>0.4562812300000002</c:v>
                </c:pt>
                <c:pt idx="6">
                  <c:v>0.68584674999999995</c:v>
                </c:pt>
                <c:pt idx="7">
                  <c:v>0.75100014000000004</c:v>
                </c:pt>
                <c:pt idx="8">
                  <c:v>0.55929186000000031</c:v>
                </c:pt>
                <c:pt idx="9">
                  <c:v>0.54146722000000025</c:v>
                </c:pt>
                <c:pt idx="10">
                  <c:v>0.53037073999999995</c:v>
                </c:pt>
                <c:pt idx="11">
                  <c:v>0.48267814000000009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'35_g'!$AI$66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'35_g'!$AJ$63:$AU$63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'35_g'!$AJ$66:$AU$66</c:f>
              <c:numCache>
                <c:formatCode>#,##0.00_ ;\-#,##0.00\ </c:formatCode>
                <c:ptCount val="12"/>
                <c:pt idx="0">
                  <c:v>0.52442</c:v>
                </c:pt>
                <c:pt idx="1">
                  <c:v>0.58680699999999997</c:v>
                </c:pt>
                <c:pt idx="2">
                  <c:v>0.4784210000000001</c:v>
                </c:pt>
                <c:pt idx="3">
                  <c:v>0.55065099999999989</c:v>
                </c:pt>
                <c:pt idx="4">
                  <c:v>0.41640299999999997</c:v>
                </c:pt>
                <c:pt idx="5">
                  <c:v>0.49802800000000003</c:v>
                </c:pt>
                <c:pt idx="6">
                  <c:v>0.72460100000000005</c:v>
                </c:pt>
                <c:pt idx="7">
                  <c:v>0.72349200000000002</c:v>
                </c:pt>
                <c:pt idx="8">
                  <c:v>0.64974299999999996</c:v>
                </c:pt>
                <c:pt idx="9">
                  <c:v>0.42994509000000003</c:v>
                </c:pt>
                <c:pt idx="10">
                  <c:v>0.39171966999999952</c:v>
                </c:pt>
                <c:pt idx="11">
                  <c:v>0.22615777999999986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'35_g'!$AI$67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'35_g'!$AJ$63:$AU$63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'35_g'!$AJ$67:$AU$67</c:f>
              <c:numCache>
                <c:formatCode>#,##0.00_ ;\-#,##0.00\ </c:formatCode>
                <c:ptCount val="12"/>
                <c:pt idx="0">
                  <c:v>0.49067711999999997</c:v>
                </c:pt>
                <c:pt idx="1">
                  <c:v>0.57026179000000021</c:v>
                </c:pt>
                <c:pt idx="2">
                  <c:v>0.36852713000000004</c:v>
                </c:pt>
                <c:pt idx="3">
                  <c:v>0.53846858999999969</c:v>
                </c:pt>
                <c:pt idx="4">
                  <c:v>0.55171467000000018</c:v>
                </c:pt>
                <c:pt idx="5">
                  <c:v>0.36836778000000003</c:v>
                </c:pt>
                <c:pt idx="6">
                  <c:v>0.55975742999999989</c:v>
                </c:pt>
                <c:pt idx="7">
                  <c:v>0.52441847000000008</c:v>
                </c:pt>
                <c:pt idx="8">
                  <c:v>0.43918542999999999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244608"/>
        <c:axId val="289553728"/>
      </c:lineChart>
      <c:catAx>
        <c:axId val="29024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553728"/>
        <c:crosses val="autoZero"/>
        <c:auto val="1"/>
        <c:lblAlgn val="ctr"/>
        <c:lblOffset val="100"/>
        <c:noMultiLvlLbl val="0"/>
      </c:catAx>
      <c:valAx>
        <c:axId val="2895537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4559770937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2446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76664280596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'35_g'!$AJ$86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'35_g'!$AK$84:$AV$84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'35_g'!$AK$86:$AV$86</c:f>
              <c:numCache>
                <c:formatCode>#,##0.00_ ;\-#,##0.00\ </c:formatCode>
                <c:ptCount val="12"/>
                <c:pt idx="0">
                  <c:v>0.43934650999999991</c:v>
                </c:pt>
                <c:pt idx="1">
                  <c:v>0.93531401000000014</c:v>
                </c:pt>
                <c:pt idx="2">
                  <c:v>1.3302933700000001</c:v>
                </c:pt>
                <c:pt idx="3">
                  <c:v>1.8117903200000001</c:v>
                </c:pt>
                <c:pt idx="4">
                  <c:v>2.1828110100000004</c:v>
                </c:pt>
                <c:pt idx="5">
                  <c:v>2.6390922400000005</c:v>
                </c:pt>
                <c:pt idx="6">
                  <c:v>3.3249389900000006</c:v>
                </c:pt>
                <c:pt idx="7">
                  <c:v>4.075939130000001</c:v>
                </c:pt>
                <c:pt idx="8">
                  <c:v>4.6352309900000011</c:v>
                </c:pt>
                <c:pt idx="9">
                  <c:v>5.1766982100000014</c:v>
                </c:pt>
                <c:pt idx="10">
                  <c:v>5.7070689500000018</c:v>
                </c:pt>
                <c:pt idx="11">
                  <c:v>6.1897470900000018</c:v>
                </c:pt>
              </c:numCache>
            </c:numRef>
          </c:val>
        </c:ser>
        <c:ser>
          <c:idx val="0"/>
          <c:order val="2"/>
          <c:tx>
            <c:strRef>
              <c:f>'35_g'!$AJ$88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'35_g'!$AK$84:$AV$84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'35_g'!$AK$88:$AV$88</c:f>
              <c:numCache>
                <c:formatCode>#,##0.00_ ;\-#,##0.00\ </c:formatCode>
                <c:ptCount val="12"/>
                <c:pt idx="0">
                  <c:v>0.49067711999999997</c:v>
                </c:pt>
                <c:pt idx="1">
                  <c:v>1.0609389100000002</c:v>
                </c:pt>
                <c:pt idx="2">
                  <c:v>1.4294660400000003</c:v>
                </c:pt>
                <c:pt idx="3">
                  <c:v>1.96793463</c:v>
                </c:pt>
                <c:pt idx="4">
                  <c:v>2.5196493000000002</c:v>
                </c:pt>
                <c:pt idx="5">
                  <c:v>2.88801708</c:v>
                </c:pt>
                <c:pt idx="6">
                  <c:v>3.4477745099999999</c:v>
                </c:pt>
                <c:pt idx="7">
                  <c:v>3.97219298</c:v>
                </c:pt>
                <c:pt idx="8">
                  <c:v>4.4113784100000002</c:v>
                </c:pt>
                <c:pt idx="9">
                  <c:v>4.4113784100000002</c:v>
                </c:pt>
                <c:pt idx="10">
                  <c:v>4.4113784100000002</c:v>
                </c:pt>
                <c:pt idx="11">
                  <c:v>4.4113784100000002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0245120"/>
        <c:axId val="289859264"/>
      </c:barChart>
      <c:lineChart>
        <c:grouping val="standard"/>
        <c:varyColors val="0"/>
        <c:ser>
          <c:idx val="3"/>
          <c:order val="1"/>
          <c:tx>
            <c:strRef>
              <c:f>'35_g'!$AJ$87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'35_g'!$AK$84:$AV$84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'35_g'!$AK$87:$AV$87</c:f>
              <c:numCache>
                <c:formatCode>#,##0.00_ ;\-#,##0.00\ </c:formatCode>
                <c:ptCount val="12"/>
                <c:pt idx="0">
                  <c:v>0.52442</c:v>
                </c:pt>
                <c:pt idx="1">
                  <c:v>1.111227</c:v>
                </c:pt>
                <c:pt idx="2">
                  <c:v>1.5896479999999999</c:v>
                </c:pt>
                <c:pt idx="3">
                  <c:v>2.1402989999999997</c:v>
                </c:pt>
                <c:pt idx="4">
                  <c:v>2.5567019999999996</c:v>
                </c:pt>
                <c:pt idx="5">
                  <c:v>3.0547299999999997</c:v>
                </c:pt>
                <c:pt idx="6">
                  <c:v>3.779331</c:v>
                </c:pt>
                <c:pt idx="7">
                  <c:v>4.5028230000000002</c:v>
                </c:pt>
                <c:pt idx="8">
                  <c:v>5.1525660000000002</c:v>
                </c:pt>
                <c:pt idx="9">
                  <c:v>5.5825110900000006</c:v>
                </c:pt>
                <c:pt idx="10">
                  <c:v>5.9742307600000002</c:v>
                </c:pt>
                <c:pt idx="11">
                  <c:v>6.2003885400000005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245120"/>
        <c:axId val="289859264"/>
      </c:lineChart>
      <c:catAx>
        <c:axId val="2902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859264"/>
        <c:crosses val="autoZero"/>
        <c:auto val="1"/>
        <c:lblAlgn val="ctr"/>
        <c:lblOffset val="100"/>
        <c:noMultiLvlLbl val="0"/>
      </c:catAx>
      <c:valAx>
        <c:axId val="2898592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2296045019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2451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733140882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'35_g'!$T$21:$U$21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'35_g'!$V$20:$AC$20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'35_g'!$V$21:$AC$21</c:f>
              <c:numCache>
                <c:formatCode>#,##0</c:formatCode>
                <c:ptCount val="8"/>
                <c:pt idx="0">
                  <c:v>41.755379388448461</c:v>
                </c:pt>
                <c:pt idx="1">
                  <c:v>27</c:v>
                </c:pt>
                <c:pt idx="2">
                  <c:v>82.795016987542454</c:v>
                </c:pt>
                <c:pt idx="3">
                  <c:v>53</c:v>
                </c:pt>
                <c:pt idx="4">
                  <c:v>159.9150622876557</c:v>
                </c:pt>
                <c:pt idx="5">
                  <c:v>102</c:v>
                </c:pt>
                <c:pt idx="6">
                  <c:v>207.99999999999997</c:v>
                </c:pt>
                <c:pt idx="7">
                  <c:v>139</c:v>
                </c:pt>
              </c:numCache>
            </c:numRef>
          </c:val>
        </c:ser>
        <c:ser>
          <c:idx val="0"/>
          <c:order val="1"/>
          <c:tx>
            <c:strRef>
              <c:f>'35_g'!$T$22:$U$22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'35_g'!$V$20:$AC$20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'35_g'!$V$22:$AC$22</c:f>
              <c:numCache>
                <c:formatCode>#,##0</c:formatCode>
                <c:ptCount val="8"/>
                <c:pt idx="0">
                  <c:v>6</c:v>
                </c:pt>
                <c:pt idx="1">
                  <c:v>29</c:v>
                </c:pt>
                <c:pt idx="2">
                  <c:v>13</c:v>
                </c:pt>
                <c:pt idx="3">
                  <c:v>30</c:v>
                </c:pt>
                <c:pt idx="4">
                  <c:v>24</c:v>
                </c:pt>
                <c:pt idx="5">
                  <c:v>32</c:v>
                </c:pt>
                <c:pt idx="6">
                  <c:v>43</c:v>
                </c:pt>
                <c:pt idx="7">
                  <c:v>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90246144"/>
        <c:axId val="289861568"/>
      </c:barChart>
      <c:catAx>
        <c:axId val="29024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289861568"/>
        <c:crosses val="autoZero"/>
        <c:auto val="1"/>
        <c:lblAlgn val="ctr"/>
        <c:lblOffset val="100"/>
        <c:noMultiLvlLbl val="0"/>
      </c:catAx>
      <c:valAx>
        <c:axId val="289861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90246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('36'!$A$9,'36'!$A$13,'36'!$A$17)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('36'!$B$9,'36'!$B$13,'36'!$B$17)</c:f>
              <c:numCache>
                <c:formatCode>_-* #,##0_-;\-* #,##0_-;_-* "-"??_-;_-@_-</c:formatCode>
                <c:ptCount val="3"/>
                <c:pt idx="0">
                  <c:v>13452</c:v>
                </c:pt>
                <c:pt idx="1">
                  <c:v>3453</c:v>
                </c:pt>
                <c:pt idx="2">
                  <c:v>1184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('36'!$A$9,'36'!$A$13,'36'!$A$17)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('36'!$G$9,'36'!$G$13,'36'!$G$17)</c:f>
              <c:numCache>
                <c:formatCode>_-* #,##0_-;\-* #,##0_-;_-* "-"??_-;_-@_-</c:formatCode>
                <c:ptCount val="3"/>
                <c:pt idx="0">
                  <c:v>14158</c:v>
                </c:pt>
                <c:pt idx="1">
                  <c:v>3453</c:v>
                </c:pt>
                <c:pt idx="2">
                  <c:v>1174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('36'!$A$9,'36'!$A$13,'36'!$A$17)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('36'!$C$9,'36'!$C$13,'36'!$C$17)</c:f>
              <c:numCache>
                <c:formatCode>_(* #,##0.00_);_(* \(#,##0.00\);_(* "-"??_);_(@_)</c:formatCode>
                <c:ptCount val="3"/>
                <c:pt idx="0">
                  <c:v>2.0842770000000002</c:v>
                </c:pt>
                <c:pt idx="1">
                  <c:v>1.145548</c:v>
                </c:pt>
                <c:pt idx="2">
                  <c:v>0.56814600000000004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'12_g'!$AY$18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'12_g'!$AZ$16:$BK$16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'12_g'!$AZ$18:$BK$18</c:f>
              <c:numCache>
                <c:formatCode>#,##0.000_ ;\-#,##0.000\ </c:formatCode>
                <c:ptCount val="12"/>
                <c:pt idx="0">
                  <c:v>8.7325100000000024E-3</c:v>
                </c:pt>
                <c:pt idx="1">
                  <c:v>9.4959499999999978E-3</c:v>
                </c:pt>
                <c:pt idx="2">
                  <c:v>1.0260010000000002E-2</c:v>
                </c:pt>
                <c:pt idx="3">
                  <c:v>8.0536699999999989E-3</c:v>
                </c:pt>
                <c:pt idx="4">
                  <c:v>6.7806999999999971E-3</c:v>
                </c:pt>
                <c:pt idx="5">
                  <c:v>7.4080700000000001E-3</c:v>
                </c:pt>
                <c:pt idx="6">
                  <c:v>9.6133500000000066E-3</c:v>
                </c:pt>
                <c:pt idx="7">
                  <c:v>1.2612070000000006E-2</c:v>
                </c:pt>
                <c:pt idx="8">
                  <c:v>8.9833999999999938E-3</c:v>
                </c:pt>
                <c:pt idx="9">
                  <c:v>8.1843000000000037E-3</c:v>
                </c:pt>
                <c:pt idx="10">
                  <c:v>8.1746999999999966E-3</c:v>
                </c:pt>
                <c:pt idx="11">
                  <c:v>6.3871200000000022E-3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'12_g'!$AZ$16:$BK$16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'12_g'!$AZ$19:$BK$19</c:f>
              <c:numCache>
                <c:formatCode>#,##0.000_ ;\-#,##0.000\ </c:formatCode>
                <c:ptCount val="12"/>
                <c:pt idx="0">
                  <c:v>9.2079999999999992E-3</c:v>
                </c:pt>
                <c:pt idx="1">
                  <c:v>9.2860000000000009E-3</c:v>
                </c:pt>
                <c:pt idx="2">
                  <c:v>1.0097999999999999E-2</c:v>
                </c:pt>
                <c:pt idx="3">
                  <c:v>8.8970000000000004E-3</c:v>
                </c:pt>
                <c:pt idx="4">
                  <c:v>6.8230000000000001E-3</c:v>
                </c:pt>
                <c:pt idx="5">
                  <c:v>9.5569999999999995E-3</c:v>
                </c:pt>
                <c:pt idx="6">
                  <c:v>1.001E-2</c:v>
                </c:pt>
                <c:pt idx="7">
                  <c:v>1.0272E-2</c:v>
                </c:pt>
                <c:pt idx="8">
                  <c:v>7.9930000000000001E-3</c:v>
                </c:pt>
                <c:pt idx="9">
                  <c:v>7.6610000000000003E-3</c:v>
                </c:pt>
                <c:pt idx="10">
                  <c:v>7.6519999999999999E-3</c:v>
                </c:pt>
                <c:pt idx="11">
                  <c:v>6.7710000000000001E-3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'12_g'!$AY$20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'12_g'!$AZ$16:$BK$16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'12_g'!$AZ$20:$BK$20</c:f>
              <c:numCache>
                <c:formatCode>#,##0.000_ ;\-#,##0.000\ </c:formatCode>
                <c:ptCount val="12"/>
                <c:pt idx="0">
                  <c:v>7.7038600000000007E-3</c:v>
                </c:pt>
                <c:pt idx="1">
                  <c:v>6.9360899999999963E-3</c:v>
                </c:pt>
                <c:pt idx="2">
                  <c:v>7.5262399999999983E-3</c:v>
                </c:pt>
                <c:pt idx="3">
                  <c:v>8.3718000000000022E-3</c:v>
                </c:pt>
                <c:pt idx="4">
                  <c:v>6.4688399999999965E-3</c:v>
                </c:pt>
                <c:pt idx="5">
                  <c:v>8.2585299999999983E-3</c:v>
                </c:pt>
                <c:pt idx="6">
                  <c:v>8.9964600000000065E-3</c:v>
                </c:pt>
                <c:pt idx="7">
                  <c:v>7.8767900000000016E-3</c:v>
                </c:pt>
                <c:pt idx="8">
                  <c:v>8.5549899999999984E-3</c:v>
                </c:pt>
                <c:pt idx="9">
                  <c:v>8.6927699999999972E-3</c:v>
                </c:pt>
                <c:pt idx="10">
                  <c:v>8.8574000000000014E-3</c:v>
                </c:pt>
                <c:pt idx="11">
                  <c:v>8.4897799999999989E-3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81696"/>
        <c:axId val="174787392"/>
      </c:lineChart>
      <c:catAx>
        <c:axId val="17238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787392"/>
        <c:crosses val="autoZero"/>
        <c:auto val="1"/>
        <c:lblAlgn val="ctr"/>
        <c:lblOffset val="100"/>
        <c:noMultiLvlLbl val="0"/>
      </c:catAx>
      <c:valAx>
        <c:axId val="1747873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992241608565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3816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3376615368"/>
          <c:y val="2.2161373086791118E-2"/>
          <c:w val="0.353009662338463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('36'!$A$9,'36'!$A$13,'36'!$A$17)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('36'!$H$9,'36'!$H$13,'36'!$H$17)</c:f>
              <c:numCache>
                <c:formatCode>_(* #,##0.00_);_(* \(#,##0.00\);_(* "-"??_);_(@_)</c:formatCode>
                <c:ptCount val="3"/>
                <c:pt idx="0">
                  <c:v>2.155303</c:v>
                </c:pt>
                <c:pt idx="1">
                  <c:v>1.154379</c:v>
                </c:pt>
                <c:pt idx="2">
                  <c:v>0.564585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('36'!$A$9,'36'!$A$13,'36'!$A$17)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('36'!$E$9,'36'!$E$13,'36'!$E$17)</c:f>
              <c:numCache>
                <c:formatCode>_(* #,##0.00_);_(* \(#,##0.00\);_(* "-"??_);_(@_)</c:formatCode>
                <c:ptCount val="3"/>
                <c:pt idx="0">
                  <c:v>29.179807789999998</c:v>
                </c:pt>
                <c:pt idx="1">
                  <c:v>24.054416910000004</c:v>
                </c:pt>
                <c:pt idx="2">
                  <c:v>15.393190799999999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('36'!$A$9,'36'!$A$13,'36'!$A$17)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('36'!$J$9,'36'!$J$13,'36'!$J$17)</c:f>
              <c:numCache>
                <c:formatCode>_(* #,##0.00_);_(* \(#,##0.00\);_(* "-"??_);_(@_)</c:formatCode>
                <c:ptCount val="3"/>
                <c:pt idx="0">
                  <c:v>30.185200380000001</c:v>
                </c:pt>
                <c:pt idx="1">
                  <c:v>24.290050820000001</c:v>
                </c:pt>
                <c:pt idx="2">
                  <c:v>15.28771461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('36'!$A$9,'36'!$A$13,'36'!$A$17,'36'!$A$20)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('36'!$D$9,'36'!$D$13,'36'!$D$17,'36'!$D$20)</c:f>
              <c:numCache>
                <c:formatCode>_-* #,##0.000_-;\-* #,##0.000_-;_-* "-"??_-;_-@_-</c:formatCode>
                <c:ptCount val="4"/>
                <c:pt idx="0">
                  <c:v>0.43297933390495352</c:v>
                </c:pt>
                <c:pt idx="1">
                  <c:v>0.9151443858384245</c:v>
                </c:pt>
                <c:pt idx="2">
                  <c:v>1.3269943593875908</c:v>
                </c:pt>
                <c:pt idx="3">
                  <c:v>0.58486875386431336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('36'!$A$9,'36'!$A$13,'36'!$A$17,'36'!$A$20)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('36'!$I$9,'36'!$I$13,'36'!$I$17,'36'!$I$20)</c:f>
              <c:numCache>
                <c:formatCode>_-* #,##0.000_-;\-* #,##0.000_-;_-* "-"??_-;_-@_-</c:formatCode>
                <c:ptCount val="4"/>
                <c:pt idx="0">
                  <c:v>0.42773920507261115</c:v>
                </c:pt>
                <c:pt idx="1">
                  <c:v>0.91592302107756207</c:v>
                </c:pt>
                <c:pt idx="2">
                  <c:v>1.3119662588448535</c:v>
                </c:pt>
                <c:pt idx="3">
                  <c:v>0.57571351830483819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90682880"/>
        <c:axId val="288355392"/>
      </c:barChart>
      <c:catAx>
        <c:axId val="29068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355392"/>
        <c:crosses val="autoZero"/>
        <c:auto val="1"/>
        <c:lblAlgn val="ctr"/>
        <c:lblOffset val="100"/>
        <c:noMultiLvlLbl val="0"/>
      </c:catAx>
      <c:valAx>
        <c:axId val="2883553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68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('36'!$A$9,'36'!$A$13,'36'!$A$17,'36'!$A$20)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('36'!$F$9,'36'!$F$13,'36'!$F$17,'36'!$F$20)</c:f>
              <c:numCache>
                <c:formatCode>_(* #,##0.00_);_(* \(#,##0.00\);_(* "-"??_);_(@_)</c:formatCode>
                <c:ptCount val="4"/>
                <c:pt idx="0">
                  <c:v>13.999966314458201</c:v>
                </c:pt>
                <c:pt idx="1">
                  <c:v>20.998174594168034</c:v>
                </c:pt>
                <c:pt idx="2">
                  <c:v>27.093723796348119</c:v>
                </c:pt>
                <c:pt idx="3">
                  <c:v>18.069494343163758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('36'!$A$9,'36'!$A$13,'36'!$A$17,'36'!$A$20)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('36'!$K$9,'36'!$K$13,'36'!$K$17,'36'!$K$20)</c:f>
              <c:numCache>
                <c:formatCode>_(* #,##0.00_);_(* \(#,##0.00\);_(* "-"??_);_(@_)</c:formatCode>
                <c:ptCount val="4"/>
                <c:pt idx="0">
                  <c:v>14.005084380247233</c:v>
                </c:pt>
                <c:pt idx="1">
                  <c:v>21.041660338588972</c:v>
                </c:pt>
                <c:pt idx="2">
                  <c:v>27.077790961502696</c:v>
                </c:pt>
                <c:pt idx="3">
                  <c:v>18.006752195963777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90683904"/>
        <c:axId val="288357120"/>
      </c:barChart>
      <c:catAx>
        <c:axId val="29068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357120"/>
        <c:crosses val="autoZero"/>
        <c:auto val="1"/>
        <c:lblAlgn val="ctr"/>
        <c:lblOffset val="100"/>
        <c:noMultiLvlLbl val="0"/>
      </c:catAx>
      <c:valAx>
        <c:axId val="2883571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683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'36_g'!$A$18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'36_g'!$B$16:$M$16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'36_g'!$B$18:$M$18</c:f>
              <c:numCache>
                <c:formatCode>#,##0_ ;\-#,##0\ </c:formatCode>
                <c:ptCount val="12"/>
                <c:pt idx="0">
                  <c:v>97</c:v>
                </c:pt>
                <c:pt idx="1">
                  <c:v>56</c:v>
                </c:pt>
                <c:pt idx="2">
                  <c:v>96</c:v>
                </c:pt>
                <c:pt idx="3">
                  <c:v>56</c:v>
                </c:pt>
                <c:pt idx="4">
                  <c:v>50</c:v>
                </c:pt>
                <c:pt idx="5">
                  <c:v>52</c:v>
                </c:pt>
                <c:pt idx="6">
                  <c:v>76</c:v>
                </c:pt>
                <c:pt idx="7">
                  <c:v>41</c:v>
                </c:pt>
                <c:pt idx="8">
                  <c:v>0</c:v>
                </c:pt>
                <c:pt idx="9">
                  <c:v>100</c:v>
                </c:pt>
                <c:pt idx="10">
                  <c:v>99</c:v>
                </c:pt>
                <c:pt idx="11">
                  <c:v>129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'36_g'!$A$19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'36_g'!$B$16:$M$16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'36_g'!$B$19:$M$19</c:f>
              <c:numCache>
                <c:formatCode>#,##0_ ;\-#,##0\ </c:formatCode>
                <c:ptCount val="12"/>
                <c:pt idx="0">
                  <c:v>80.32948666931955</c:v>
                </c:pt>
                <c:pt idx="1">
                  <c:v>76.276163947473137</c:v>
                </c:pt>
                <c:pt idx="2">
                  <c:v>81.803422204536417</c:v>
                </c:pt>
                <c:pt idx="3">
                  <c:v>70.380421806605654</c:v>
                </c:pt>
                <c:pt idx="4">
                  <c:v>56.746518105849589</c:v>
                </c:pt>
                <c:pt idx="5">
                  <c:v>37.585356148030243</c:v>
                </c:pt>
                <c:pt idx="6">
                  <c:v>69.274970155193003</c:v>
                </c:pt>
                <c:pt idx="7">
                  <c:v>51.956227616394749</c:v>
                </c:pt>
                <c:pt idx="8">
                  <c:v>74.802228412256284</c:v>
                </c:pt>
                <c:pt idx="9">
                  <c:v>132.65419816951851</c:v>
                </c:pt>
                <c:pt idx="10">
                  <c:v>98.385196975726231</c:v>
                </c:pt>
                <c:pt idx="11">
                  <c:v>95.805809789096713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'36_g'!$A$20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'36_g'!$B$16:$M$16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'36_g'!$B$20:$M$20</c:f>
              <c:numCache>
                <c:formatCode>#,##0_ ;\-#,##0\ </c:formatCode>
                <c:ptCount val="12"/>
                <c:pt idx="0">
                  <c:v>66</c:v>
                </c:pt>
                <c:pt idx="1">
                  <c:v>66</c:v>
                </c:pt>
                <c:pt idx="2">
                  <c:v>120</c:v>
                </c:pt>
                <c:pt idx="3">
                  <c:v>62</c:v>
                </c:pt>
                <c:pt idx="4">
                  <c:v>56</c:v>
                </c:pt>
                <c:pt idx="5">
                  <c:v>86</c:v>
                </c:pt>
                <c:pt idx="6">
                  <c:v>60</c:v>
                </c:pt>
                <c:pt idx="7">
                  <c:v>58</c:v>
                </c:pt>
                <c:pt idx="8">
                  <c:v>55</c:v>
                </c:pt>
                <c:pt idx="9">
                  <c:v>53</c:v>
                </c:pt>
                <c:pt idx="10">
                  <c:v>58</c:v>
                </c:pt>
                <c:pt idx="11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950784"/>
        <c:axId val="290964032"/>
      </c:lineChart>
      <c:catAx>
        <c:axId val="28895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964032"/>
        <c:crosses val="autoZero"/>
        <c:auto val="1"/>
        <c:lblAlgn val="ctr"/>
        <c:lblOffset val="100"/>
        <c:noMultiLvlLbl val="0"/>
      </c:catAx>
      <c:valAx>
        <c:axId val="2909640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9507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1514185176192182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'36_g'!$B$39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'36_g'!$C$39:$N$39</c:f>
              <c:numCache>
                <c:formatCode>#,##0_ ;\-#,##0\ </c:formatCode>
                <c:ptCount val="12"/>
                <c:pt idx="0">
                  <c:v>97</c:v>
                </c:pt>
                <c:pt idx="1">
                  <c:v>153</c:v>
                </c:pt>
                <c:pt idx="2">
                  <c:v>249</c:v>
                </c:pt>
                <c:pt idx="3">
                  <c:v>305</c:v>
                </c:pt>
                <c:pt idx="4">
                  <c:v>355</c:v>
                </c:pt>
                <c:pt idx="5">
                  <c:v>407</c:v>
                </c:pt>
                <c:pt idx="6">
                  <c:v>483</c:v>
                </c:pt>
                <c:pt idx="7">
                  <c:v>524</c:v>
                </c:pt>
                <c:pt idx="8">
                  <c:v>524</c:v>
                </c:pt>
                <c:pt idx="9">
                  <c:v>624</c:v>
                </c:pt>
                <c:pt idx="10">
                  <c:v>723</c:v>
                </c:pt>
                <c:pt idx="11">
                  <c:v>852</c:v>
                </c:pt>
              </c:numCache>
            </c:numRef>
          </c:val>
        </c:ser>
        <c:ser>
          <c:idx val="0"/>
          <c:order val="2"/>
          <c:tx>
            <c:strRef>
              <c:f>'36_g'!$B$41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'36_g'!$C$41:$N$41</c:f>
              <c:numCache>
                <c:formatCode>#,##0_ ;\-#,##0\ </c:formatCode>
                <c:ptCount val="12"/>
                <c:pt idx="0">
                  <c:v>66</c:v>
                </c:pt>
                <c:pt idx="1">
                  <c:v>132</c:v>
                </c:pt>
                <c:pt idx="2">
                  <c:v>252</c:v>
                </c:pt>
                <c:pt idx="3">
                  <c:v>314</c:v>
                </c:pt>
                <c:pt idx="4">
                  <c:v>370</c:v>
                </c:pt>
                <c:pt idx="5">
                  <c:v>456</c:v>
                </c:pt>
                <c:pt idx="6">
                  <c:v>516</c:v>
                </c:pt>
                <c:pt idx="7">
                  <c:v>574</c:v>
                </c:pt>
                <c:pt idx="8">
                  <c:v>629</c:v>
                </c:pt>
                <c:pt idx="9">
                  <c:v>682</c:v>
                </c:pt>
                <c:pt idx="10">
                  <c:v>740</c:v>
                </c:pt>
                <c:pt idx="11">
                  <c:v>783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88927744"/>
        <c:axId val="290966336"/>
      </c:barChart>
      <c:lineChart>
        <c:grouping val="standard"/>
        <c:varyColors val="0"/>
        <c:ser>
          <c:idx val="3"/>
          <c:order val="1"/>
          <c:tx>
            <c:strRef>
              <c:f>'36_g'!$B$40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'36_g'!$C$37:$N$37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'36_g'!$C$40:$N$40</c:f>
              <c:numCache>
                <c:formatCode>#,##0_ ;\-#,##0\ </c:formatCode>
                <c:ptCount val="12"/>
                <c:pt idx="0">
                  <c:v>80.32948666931955</c:v>
                </c:pt>
                <c:pt idx="1">
                  <c:v>156.60565061679267</c:v>
                </c:pt>
                <c:pt idx="2">
                  <c:v>238.40907282132909</c:v>
                </c:pt>
                <c:pt idx="3">
                  <c:v>308.78949462793474</c:v>
                </c:pt>
                <c:pt idx="4">
                  <c:v>365.53601273378433</c:v>
                </c:pt>
                <c:pt idx="5">
                  <c:v>403.12136888181459</c:v>
                </c:pt>
                <c:pt idx="6">
                  <c:v>472.39633903700758</c:v>
                </c:pt>
                <c:pt idx="7">
                  <c:v>524.35256665340228</c:v>
                </c:pt>
                <c:pt idx="8">
                  <c:v>599.15479506565862</c:v>
                </c:pt>
                <c:pt idx="9">
                  <c:v>731.80899323517713</c:v>
                </c:pt>
                <c:pt idx="10">
                  <c:v>830.19419021090334</c:v>
                </c:pt>
                <c:pt idx="11">
                  <c:v>926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927744"/>
        <c:axId val="290966336"/>
      </c:lineChart>
      <c:catAx>
        <c:axId val="28892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966336"/>
        <c:crosses val="autoZero"/>
        <c:auto val="1"/>
        <c:lblAlgn val="ctr"/>
        <c:lblOffset val="100"/>
        <c:noMultiLvlLbl val="0"/>
      </c:catAx>
      <c:valAx>
        <c:axId val="2909663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9277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'36_g'!$AI$18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'36_g'!$AJ$16:$AU$16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'36_g'!$AJ$18:$AU$18</c:f>
              <c:numCache>
                <c:formatCode>#,##0.000_ ;\-#,##0.000\ </c:formatCode>
                <c:ptCount val="12"/>
                <c:pt idx="0">
                  <c:v>0.292991</c:v>
                </c:pt>
                <c:pt idx="1">
                  <c:v>0.296016</c:v>
                </c:pt>
                <c:pt idx="2">
                  <c:v>0.30110900000000002</c:v>
                </c:pt>
                <c:pt idx="3">
                  <c:v>0.31517499999999998</c:v>
                </c:pt>
                <c:pt idx="4">
                  <c:v>0.30630600000000002</c:v>
                </c:pt>
                <c:pt idx="5">
                  <c:v>0.29549799999999998</c:v>
                </c:pt>
                <c:pt idx="6">
                  <c:v>0.34038800000000002</c:v>
                </c:pt>
                <c:pt idx="7">
                  <c:v>0.354466</c:v>
                </c:pt>
                <c:pt idx="8">
                  <c:v>0.33996700000000002</c:v>
                </c:pt>
                <c:pt idx="9">
                  <c:v>0.34173700000000001</c:v>
                </c:pt>
                <c:pt idx="10">
                  <c:v>0.29355399999999998</c:v>
                </c:pt>
                <c:pt idx="11">
                  <c:v>0.32163599999999998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'36_g'!$AI$19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'36_g'!$AJ$16:$AU$16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'36_g'!$AJ$19:$AU$19</c:f>
              <c:numCache>
                <c:formatCode>#,##0.000_ ;\-#,##0.000\ </c:formatCode>
                <c:ptCount val="12"/>
                <c:pt idx="0">
                  <c:v>0.32428200000000001</c:v>
                </c:pt>
                <c:pt idx="1">
                  <c:v>0.331146</c:v>
                </c:pt>
                <c:pt idx="2">
                  <c:v>0.32081999999999999</c:v>
                </c:pt>
                <c:pt idx="3">
                  <c:v>0.33913199999999999</c:v>
                </c:pt>
                <c:pt idx="4">
                  <c:v>0.32975300000000002</c:v>
                </c:pt>
                <c:pt idx="5">
                  <c:v>0.31273000000000001</c:v>
                </c:pt>
                <c:pt idx="6">
                  <c:v>0.36673800000000001</c:v>
                </c:pt>
                <c:pt idx="7">
                  <c:v>0.37137999999999999</c:v>
                </c:pt>
                <c:pt idx="8">
                  <c:v>0.37360399999999999</c:v>
                </c:pt>
                <c:pt idx="9">
                  <c:v>0.36243700000000001</c:v>
                </c:pt>
                <c:pt idx="10">
                  <c:v>0.34177600000000002</c:v>
                </c:pt>
                <c:pt idx="11">
                  <c:v>0.34379300000000002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'36_g'!$AI$20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'36_g'!$AJ$16:$AU$16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'36_g'!$AJ$20:$AU$20</c:f>
              <c:numCache>
                <c:formatCode>#,##0.000_ ;\-#,##0.000\ </c:formatCode>
                <c:ptCount val="12"/>
                <c:pt idx="0">
                  <c:v>0.311998</c:v>
                </c:pt>
                <c:pt idx="1">
                  <c:v>0.31854199999999999</c:v>
                </c:pt>
                <c:pt idx="2">
                  <c:v>0.308091</c:v>
                </c:pt>
                <c:pt idx="3">
                  <c:v>0.32377699999999998</c:v>
                </c:pt>
                <c:pt idx="4">
                  <c:v>0.31976399999999999</c:v>
                </c:pt>
                <c:pt idx="5">
                  <c:v>0.29870799999999997</c:v>
                </c:pt>
                <c:pt idx="6">
                  <c:v>0.34553200000000001</c:v>
                </c:pt>
                <c:pt idx="7">
                  <c:v>0.32813700000000001</c:v>
                </c:pt>
                <c:pt idx="8">
                  <c:v>0.34148299999999998</c:v>
                </c:pt>
                <c:pt idx="9">
                  <c:v>0.322301</c:v>
                </c:pt>
                <c:pt idx="10">
                  <c:v>0.32835199999999998</c:v>
                </c:pt>
                <c:pt idx="11">
                  <c:v>0.327907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928768"/>
        <c:axId val="290968640"/>
      </c:lineChart>
      <c:catAx>
        <c:axId val="2889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968640"/>
        <c:crosses val="autoZero"/>
        <c:auto val="1"/>
        <c:lblAlgn val="ctr"/>
        <c:lblOffset val="100"/>
        <c:noMultiLvlLbl val="0"/>
      </c:catAx>
      <c:valAx>
        <c:axId val="2909686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730935457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9287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6355611133"/>
          <c:y val="2.2161373086791118E-2"/>
          <c:w val="0.3512889429593832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'36_g'!$AJ$39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'36_g'!$AK$39:$AV$39</c:f>
              <c:numCache>
                <c:formatCode>#,##0.000_ ;\-#,##0.000\ </c:formatCode>
                <c:ptCount val="12"/>
                <c:pt idx="0">
                  <c:v>0.292991</c:v>
                </c:pt>
                <c:pt idx="1">
                  <c:v>0.58900700000000006</c:v>
                </c:pt>
                <c:pt idx="2">
                  <c:v>0.89011600000000013</c:v>
                </c:pt>
                <c:pt idx="3">
                  <c:v>1.2052910000000001</c:v>
                </c:pt>
                <c:pt idx="4">
                  <c:v>1.5115970000000001</c:v>
                </c:pt>
                <c:pt idx="5">
                  <c:v>1.8070950000000001</c:v>
                </c:pt>
                <c:pt idx="6">
                  <c:v>2.1474830000000003</c:v>
                </c:pt>
                <c:pt idx="7">
                  <c:v>2.5019490000000002</c:v>
                </c:pt>
                <c:pt idx="8">
                  <c:v>2.8419160000000003</c:v>
                </c:pt>
                <c:pt idx="9">
                  <c:v>3.1836530000000005</c:v>
                </c:pt>
                <c:pt idx="10">
                  <c:v>3.4772070000000004</c:v>
                </c:pt>
                <c:pt idx="11">
                  <c:v>3.7988430000000002</c:v>
                </c:pt>
              </c:numCache>
            </c:numRef>
          </c:val>
        </c:ser>
        <c:ser>
          <c:idx val="0"/>
          <c:order val="2"/>
          <c:tx>
            <c:strRef>
              <c:f>'36_g'!$AJ$41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'36_g'!$AK$41:$AV$41</c:f>
              <c:numCache>
                <c:formatCode>#,##0.000_ ;\-#,##0.000\ </c:formatCode>
                <c:ptCount val="12"/>
                <c:pt idx="0">
                  <c:v>0.311998</c:v>
                </c:pt>
                <c:pt idx="1">
                  <c:v>0.63053999999999999</c:v>
                </c:pt>
                <c:pt idx="2">
                  <c:v>0.93863099999999999</c:v>
                </c:pt>
                <c:pt idx="3">
                  <c:v>1.262408</c:v>
                </c:pt>
                <c:pt idx="4">
                  <c:v>1.5821719999999999</c:v>
                </c:pt>
                <c:pt idx="5">
                  <c:v>1.8808799999999999</c:v>
                </c:pt>
                <c:pt idx="6">
                  <c:v>2.2264119999999998</c:v>
                </c:pt>
                <c:pt idx="7">
                  <c:v>2.5545489999999997</c:v>
                </c:pt>
                <c:pt idx="8">
                  <c:v>2.8960319999999999</c:v>
                </c:pt>
                <c:pt idx="9">
                  <c:v>3.2183329999999999</c:v>
                </c:pt>
                <c:pt idx="10">
                  <c:v>3.5466850000000001</c:v>
                </c:pt>
                <c:pt idx="11">
                  <c:v>3.8745920000000003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0684416"/>
        <c:axId val="290970944"/>
      </c:barChart>
      <c:lineChart>
        <c:grouping val="standard"/>
        <c:varyColors val="0"/>
        <c:ser>
          <c:idx val="3"/>
          <c:order val="1"/>
          <c:tx>
            <c:strRef>
              <c:f>'36_g'!$AJ$40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'36_g'!$AK$37:$AV$37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'36_g'!$AK$40:$AV$40</c:f>
              <c:numCache>
                <c:formatCode>#,##0.000_ ;\-#,##0.000\ </c:formatCode>
                <c:ptCount val="12"/>
                <c:pt idx="0">
                  <c:v>0.32428200000000001</c:v>
                </c:pt>
                <c:pt idx="1">
                  <c:v>0.65542800000000001</c:v>
                </c:pt>
                <c:pt idx="2">
                  <c:v>0.976248</c:v>
                </c:pt>
                <c:pt idx="3">
                  <c:v>1.31538</c:v>
                </c:pt>
                <c:pt idx="4">
                  <c:v>1.645133</c:v>
                </c:pt>
                <c:pt idx="5">
                  <c:v>1.9578629999999999</c:v>
                </c:pt>
                <c:pt idx="6">
                  <c:v>2.3246009999999999</c:v>
                </c:pt>
                <c:pt idx="7">
                  <c:v>2.6959809999999997</c:v>
                </c:pt>
                <c:pt idx="8">
                  <c:v>3.0695849999999996</c:v>
                </c:pt>
                <c:pt idx="9">
                  <c:v>3.4320219999999995</c:v>
                </c:pt>
                <c:pt idx="10">
                  <c:v>3.7737979999999993</c:v>
                </c:pt>
                <c:pt idx="11">
                  <c:v>4.1175909999999991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684416"/>
        <c:axId val="290970944"/>
      </c:lineChart>
      <c:catAx>
        <c:axId val="29068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970944"/>
        <c:crosses val="autoZero"/>
        <c:auto val="1"/>
        <c:lblAlgn val="ctr"/>
        <c:lblOffset val="100"/>
        <c:noMultiLvlLbl val="0"/>
      </c:catAx>
      <c:valAx>
        <c:axId val="2909709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81690586548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6844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4001228573"/>
          <c:y val="2.2161373086791118E-2"/>
          <c:w val="0.33180945998771427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'36_g'!$AY$18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'36_g'!$AZ$16:$BK$16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'36_g'!$AZ$18:$BK$18</c:f>
              <c:numCache>
                <c:formatCode>#,##0.000_ ;\-#,##0.000\ </c:formatCode>
                <c:ptCount val="12"/>
                <c:pt idx="0">
                  <c:v>0.120119</c:v>
                </c:pt>
                <c:pt idx="1">
                  <c:v>0.126915</c:v>
                </c:pt>
                <c:pt idx="2">
                  <c:v>0.12917899999999999</c:v>
                </c:pt>
                <c:pt idx="3">
                  <c:v>0.141678</c:v>
                </c:pt>
                <c:pt idx="4">
                  <c:v>0.12221700000000001</c:v>
                </c:pt>
                <c:pt idx="5">
                  <c:v>0.12281599999999999</c:v>
                </c:pt>
                <c:pt idx="6">
                  <c:v>0.12759599999999999</c:v>
                </c:pt>
                <c:pt idx="7">
                  <c:v>0.12923799999999999</c:v>
                </c:pt>
                <c:pt idx="8">
                  <c:v>0.12662699999999999</c:v>
                </c:pt>
                <c:pt idx="9">
                  <c:v>0.14557300000000001</c:v>
                </c:pt>
                <c:pt idx="10">
                  <c:v>0.137215</c:v>
                </c:pt>
                <c:pt idx="11">
                  <c:v>0.10668800000000001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'36_g'!$AY$19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'36_g'!$AZ$16:$BK$16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'36_g'!$AZ$19:$BK$19</c:f>
              <c:numCache>
                <c:formatCode>#,##0.000_ ;\-#,##0.000\ </c:formatCode>
                <c:ptCount val="12"/>
                <c:pt idx="0">
                  <c:v>0.12756100000000001</c:v>
                </c:pt>
                <c:pt idx="1">
                  <c:v>0.130246</c:v>
                </c:pt>
                <c:pt idx="2">
                  <c:v>0.13204299999999999</c:v>
                </c:pt>
                <c:pt idx="3">
                  <c:v>0.141398</c:v>
                </c:pt>
                <c:pt idx="4">
                  <c:v>0.12660199999999999</c:v>
                </c:pt>
                <c:pt idx="5">
                  <c:v>0.12907299999999999</c:v>
                </c:pt>
                <c:pt idx="6">
                  <c:v>0.14305699999999999</c:v>
                </c:pt>
                <c:pt idx="7">
                  <c:v>0.13896600000000001</c:v>
                </c:pt>
                <c:pt idx="8">
                  <c:v>0.13906299999999999</c:v>
                </c:pt>
                <c:pt idx="9">
                  <c:v>0.145979</c:v>
                </c:pt>
                <c:pt idx="10">
                  <c:v>0.14203499999999999</c:v>
                </c:pt>
                <c:pt idx="11">
                  <c:v>0.12518599999999999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'36_g'!$AY$20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'36_g'!$AZ$16:$BK$16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'36_g'!$AZ$20:$BK$20</c:f>
              <c:numCache>
                <c:formatCode>#,##0.000_ ;\-#,##0.000\ </c:formatCode>
                <c:ptCount val="12"/>
                <c:pt idx="0">
                  <c:v>0.14749999999999999</c:v>
                </c:pt>
                <c:pt idx="1">
                  <c:v>0.18625</c:v>
                </c:pt>
                <c:pt idx="2">
                  <c:v>0.18619030000000006</c:v>
                </c:pt>
                <c:pt idx="3">
                  <c:v>0.16151942999999999</c:v>
                </c:pt>
                <c:pt idx="4">
                  <c:v>0.12223403999999997</c:v>
                </c:pt>
                <c:pt idx="5">
                  <c:v>0.12236635000000004</c:v>
                </c:pt>
                <c:pt idx="6">
                  <c:v>0.12474709000000002</c:v>
                </c:pt>
                <c:pt idx="7">
                  <c:v>0.12199906000000006</c:v>
                </c:pt>
                <c:pt idx="8">
                  <c:v>9.315602000000002E-2</c:v>
                </c:pt>
                <c:pt idx="9">
                  <c:v>0.10656230999999999</c:v>
                </c:pt>
                <c:pt idx="10">
                  <c:v>0.10859422999999999</c:v>
                </c:pt>
                <c:pt idx="11">
                  <c:v>8.6705080000000018E-2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929280"/>
        <c:axId val="290973376"/>
      </c:lineChart>
      <c:catAx>
        <c:axId val="2889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973376"/>
        <c:crosses val="autoZero"/>
        <c:auto val="1"/>
        <c:lblAlgn val="ctr"/>
        <c:lblOffset val="100"/>
        <c:noMultiLvlLbl val="0"/>
      </c:catAx>
      <c:valAx>
        <c:axId val="2909733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17223212061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92928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8679809178"/>
          <c:y val="2.2161373086791118E-2"/>
          <c:w val="0.3530097132019082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'12_g'!$AY$39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'12_g'!$AZ$37:$BO$37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'12_g'!$AZ$39:$BO$39</c:f>
              <c:numCache>
                <c:formatCode>_(* #,##0.00_);_(* \(#,##0.00\);_(* "-"??_);_(@_)</c:formatCode>
                <c:ptCount val="16"/>
                <c:pt idx="0">
                  <c:v>15.630748533449946</c:v>
                </c:pt>
                <c:pt idx="1">
                  <c:v>17.251891477473496</c:v>
                </c:pt>
                <c:pt idx="2">
                  <c:v>18.038940513926455</c:v>
                </c:pt>
                <c:pt idx="3">
                  <c:v>16.978901940651468</c:v>
                </c:pt>
                <c:pt idx="4">
                  <c:v>13.512037094360126</c:v>
                </c:pt>
                <c:pt idx="5">
                  <c:v>12.763742665840933</c:v>
                </c:pt>
                <c:pt idx="6">
                  <c:v>14.305969113071123</c:v>
                </c:pt>
                <c:pt idx="7">
                  <c:v>15.266649535504051</c:v>
                </c:pt>
                <c:pt idx="8">
                  <c:v>13.650217567714366</c:v>
                </c:pt>
                <c:pt idx="9">
                  <c:v>16.387171145849567</c:v>
                </c:pt>
                <c:pt idx="10">
                  <c:v>13.341273683679008</c:v>
                </c:pt>
                <c:pt idx="11">
                  <c:v>14.979191122110915</c:v>
                </c:pt>
                <c:pt idx="12">
                  <c:v>14.056743606082106</c:v>
                </c:pt>
                <c:pt idx="13">
                  <c:v>14.285764215949259</c:v>
                </c:pt>
                <c:pt idx="14">
                  <c:v>10.992920740241496</c:v>
                </c:pt>
                <c:pt idx="15">
                  <c:v>14.528162597525837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'12_g'!$AY$40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'12_g'!$AZ$37:$BO$37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'12_g'!$AZ$40:$BO$40</c:f>
              <c:numCache>
                <c:formatCode>_(* #,##0.00_);_(* \(#,##0.00\);_(* "-"??_);_(@_)</c:formatCode>
                <c:ptCount val="16"/>
                <c:pt idx="0">
                  <c:v>15.000071957976541</c:v>
                </c:pt>
                <c:pt idx="1">
                  <c:v>15.000071957976541</c:v>
                </c:pt>
                <c:pt idx="2">
                  <c:v>15.000071957976541</c:v>
                </c:pt>
                <c:pt idx="3">
                  <c:v>15.000071957976541</c:v>
                </c:pt>
                <c:pt idx="4">
                  <c:v>15.000071957976541</c:v>
                </c:pt>
                <c:pt idx="5">
                  <c:v>15.000071957976541</c:v>
                </c:pt>
                <c:pt idx="6">
                  <c:v>15.000071957976541</c:v>
                </c:pt>
                <c:pt idx="7">
                  <c:v>15.000071957976541</c:v>
                </c:pt>
                <c:pt idx="8">
                  <c:v>15.000071957976541</c:v>
                </c:pt>
                <c:pt idx="9">
                  <c:v>15.000071957976541</c:v>
                </c:pt>
                <c:pt idx="10">
                  <c:v>15.000071957976541</c:v>
                </c:pt>
                <c:pt idx="11">
                  <c:v>15.000071957976541</c:v>
                </c:pt>
                <c:pt idx="12">
                  <c:v>15.000071957976541</c:v>
                </c:pt>
                <c:pt idx="13">
                  <c:v>15.000071957976541</c:v>
                </c:pt>
                <c:pt idx="14">
                  <c:v>15.000071957976541</c:v>
                </c:pt>
                <c:pt idx="15">
                  <c:v>15.000071957976541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'12_g'!$AY$41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'12_g'!$AZ$37:$BO$37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'12_g'!$AZ$41:$BO$41</c:f>
              <c:numCache>
                <c:formatCode>_(* #,##0.00_);_(* \(#,##0.00\);_(* "-"??_);_(@_)</c:formatCode>
                <c:ptCount val="16"/>
                <c:pt idx="0">
                  <c:v>14.677133395543359</c:v>
                </c:pt>
                <c:pt idx="1">
                  <c:v>12.346171036749846</c:v>
                </c:pt>
                <c:pt idx="2">
                  <c:v>13.697710666110474</c:v>
                </c:pt>
                <c:pt idx="3">
                  <c:v>13.547840807695227</c:v>
                </c:pt>
                <c:pt idx="4">
                  <c:v>14.06297244451612</c:v>
                </c:pt>
                <c:pt idx="5">
                  <c:v>11.451130838203143</c:v>
                </c:pt>
                <c:pt idx="6">
                  <c:v>14.39808516710592</c:v>
                </c:pt>
                <c:pt idx="7">
                  <c:v>13.432082364820582</c:v>
                </c:pt>
                <c:pt idx="8">
                  <c:v>12.867258049706045</c:v>
                </c:pt>
                <c:pt idx="9">
                  <c:v>12.233929783726873</c:v>
                </c:pt>
                <c:pt idx="10">
                  <c:v>14.063770189671242</c:v>
                </c:pt>
                <c:pt idx="11">
                  <c:v>13.285109220249463</c:v>
                </c:pt>
                <c:pt idx="12">
                  <c:v>14.583283353831217</c:v>
                </c:pt>
                <c:pt idx="13">
                  <c:v>14.840145161128184</c:v>
                </c:pt>
                <c:pt idx="14">
                  <c:v>14.200095740228857</c:v>
                </c:pt>
                <c:pt idx="15">
                  <c:v>13.601330021496574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82208"/>
        <c:axId val="174789696"/>
      </c:lineChart>
      <c:catAx>
        <c:axId val="1723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789696"/>
        <c:crosses val="autoZero"/>
        <c:auto val="1"/>
        <c:lblAlgn val="ctr"/>
        <c:lblOffset val="100"/>
        <c:noMultiLvlLbl val="0"/>
      </c:catAx>
      <c:valAx>
        <c:axId val="1747896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26447465313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3822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0412644865"/>
          <c:y val="2.2161373086791118E-2"/>
          <c:w val="0.2830308085761690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'36_g'!$AY$39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'36_g'!$AZ$37:$BO$37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'36_g'!$AZ$39:$BO$39</c:f>
              <c:numCache>
                <c:formatCode>_(* #,##0.00_);_(* \(#,##0.00\);_(* "-"??_);_(@_)</c:formatCode>
                <c:ptCount val="16"/>
                <c:pt idx="0">
                  <c:v>29.067049326312528</c:v>
                </c:pt>
                <c:pt idx="1">
                  <c:v>30.008441093227972</c:v>
                </c:pt>
                <c:pt idx="2">
                  <c:v>30.015660870130954</c:v>
                </c:pt>
                <c:pt idx="3">
                  <c:v>29.703738736142483</c:v>
                </c:pt>
                <c:pt idx="4">
                  <c:v>31.011725872435992</c:v>
                </c:pt>
                <c:pt idx="5">
                  <c:v>28.519724176555005</c:v>
                </c:pt>
                <c:pt idx="6">
                  <c:v>29.341876727612416</c:v>
                </c:pt>
                <c:pt idx="7">
                  <c:v>29.679892068027019</c:v>
                </c:pt>
                <c:pt idx="8">
                  <c:v>27.183713121878888</c:v>
                </c:pt>
                <c:pt idx="9">
                  <c:v>26.69357270620505</c:v>
                </c:pt>
                <c:pt idx="10">
                  <c:v>27.126025577858233</c:v>
                </c:pt>
                <c:pt idx="11">
                  <c:v>28.725291015260883</c:v>
                </c:pt>
                <c:pt idx="12">
                  <c:v>29.859168218701544</c:v>
                </c:pt>
                <c:pt idx="13">
                  <c:v>31.847288982553213</c:v>
                </c:pt>
                <c:pt idx="14">
                  <c:v>24.886632952021944</c:v>
                </c:pt>
                <c:pt idx="15">
                  <c:v>28.772557637903933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'36_g'!$AY$40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'36_g'!$AZ$37:$BO$37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'36_g'!$AZ$40:$BO$40</c:f>
              <c:numCache>
                <c:formatCode>_(* #,##0.00_);_(* \(#,##0.00\);_(* "-"??_);_(@_)</c:formatCode>
                <c:ptCount val="16"/>
                <c:pt idx="0">
                  <c:v>28.249965149508611</c:v>
                </c:pt>
                <c:pt idx="1">
                  <c:v>28.249965149508611</c:v>
                </c:pt>
                <c:pt idx="2">
                  <c:v>28.249965149508611</c:v>
                </c:pt>
                <c:pt idx="3">
                  <c:v>28.249965149508611</c:v>
                </c:pt>
                <c:pt idx="4">
                  <c:v>28.249965149508611</c:v>
                </c:pt>
                <c:pt idx="5">
                  <c:v>28.249965149508611</c:v>
                </c:pt>
                <c:pt idx="6">
                  <c:v>28.249965149508611</c:v>
                </c:pt>
                <c:pt idx="7">
                  <c:v>28.249965149508611</c:v>
                </c:pt>
                <c:pt idx="8">
                  <c:v>28.249965149508611</c:v>
                </c:pt>
                <c:pt idx="9">
                  <c:v>28.249965149508611</c:v>
                </c:pt>
                <c:pt idx="10">
                  <c:v>28.249965149508611</c:v>
                </c:pt>
                <c:pt idx="11">
                  <c:v>28.249965149508611</c:v>
                </c:pt>
                <c:pt idx="12">
                  <c:v>28.249965149508611</c:v>
                </c:pt>
                <c:pt idx="13">
                  <c:v>28.249965149508611</c:v>
                </c:pt>
                <c:pt idx="14">
                  <c:v>28.249965149508611</c:v>
                </c:pt>
                <c:pt idx="15">
                  <c:v>28.249965149508611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'36_g'!$AY$41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'36_g'!$AZ$37:$BO$37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'36_g'!$AZ$41:$BO$41</c:f>
              <c:numCache>
                <c:formatCode>_(* #,##0.00_);_(* \(#,##0.00\);_(* "-"??_);_(@_)</c:formatCode>
                <c:ptCount val="16"/>
                <c:pt idx="0">
                  <c:v>32.074700346189303</c:v>
                </c:pt>
                <c:pt idx="1">
                  <c:v>36.882502742672017</c:v>
                </c:pt>
                <c:pt idx="2">
                  <c:v>37.664398391148772</c:v>
                </c:pt>
                <c:pt idx="3">
                  <c:v>35.632208169717607</c:v>
                </c:pt>
                <c:pt idx="4">
                  <c:v>33.278861463331836</c:v>
                </c:pt>
                <c:pt idx="5">
                  <c:v>27.651817326952351</c:v>
                </c:pt>
                <c:pt idx="6">
                  <c:v>29.052643550088703</c:v>
                </c:pt>
                <c:pt idx="7">
                  <c:v>32.982013874397374</c:v>
                </c:pt>
                <c:pt idx="8">
                  <c:v>26.52217840545114</c:v>
                </c:pt>
                <c:pt idx="9">
                  <c:v>27.098312948211223</c:v>
                </c:pt>
                <c:pt idx="10">
                  <c:v>21.432223265759745</c:v>
                </c:pt>
                <c:pt idx="11">
                  <c:v>30.409955782006669</c:v>
                </c:pt>
                <c:pt idx="12">
                  <c:v>24.846921124930226</c:v>
                </c:pt>
                <c:pt idx="13">
                  <c:v>24.852996214202371</c:v>
                </c:pt>
                <c:pt idx="14">
                  <c:v>20.909715642599188</c:v>
                </c:pt>
                <c:pt idx="15">
                  <c:v>28.801910543890365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929792"/>
        <c:axId val="290975680"/>
      </c:lineChart>
      <c:catAx>
        <c:axId val="28892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975680"/>
        <c:crosses val="autoZero"/>
        <c:auto val="1"/>
        <c:lblAlgn val="ctr"/>
        <c:lblOffset val="100"/>
        <c:noMultiLvlLbl val="0"/>
      </c:catAx>
      <c:valAx>
        <c:axId val="2909756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49521012389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9297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3796765104"/>
          <c:y val="2.2161373086791118E-2"/>
          <c:w val="0.2830308053598563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'36_g'!$A$64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'36_g'!$B$62:$M$62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'36_g'!$B$64:$M$64</c:f>
              <c:numCache>
                <c:formatCode>#,##0.00_ ;\-#,##0.00\ </c:formatCode>
                <c:ptCount val="12"/>
                <c:pt idx="0">
                  <c:v>6.1699700700000006</c:v>
                </c:pt>
                <c:pt idx="1">
                  <c:v>5.9513336900000002</c:v>
                </c:pt>
                <c:pt idx="2">
                  <c:v>6.1019199899999998</c:v>
                </c:pt>
                <c:pt idx="3">
                  <c:v>6.3922443399999995</c:v>
                </c:pt>
                <c:pt idx="4">
                  <c:v>6.1947703199999991</c:v>
                </c:pt>
                <c:pt idx="5">
                  <c:v>5.9817239200000003</c:v>
                </c:pt>
                <c:pt idx="6">
                  <c:v>6.8303121300000003</c:v>
                </c:pt>
                <c:pt idx="7">
                  <c:v>7.08202979</c:v>
                </c:pt>
                <c:pt idx="8">
                  <c:v>6.7698114799999995</c:v>
                </c:pt>
                <c:pt idx="9">
                  <c:v>6.887954109999999</c:v>
                </c:pt>
                <c:pt idx="10">
                  <c:v>5.9803616699999997</c:v>
                </c:pt>
                <c:pt idx="11">
                  <c:v>6.4828872100000003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'36_g'!$A$65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'36_g'!$B$62:$M$62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'36_g'!$B$65:$M$65</c:f>
              <c:numCache>
                <c:formatCode>#,##0.00_ ;\-#,##0.00\ </c:formatCode>
                <c:ptCount val="12"/>
                <c:pt idx="0">
                  <c:v>6.5662219999999998</c:v>
                </c:pt>
                <c:pt idx="1">
                  <c:v>6.647589</c:v>
                </c:pt>
                <c:pt idx="2">
                  <c:v>6.4575100000000001</c:v>
                </c:pt>
                <c:pt idx="3">
                  <c:v>6.8448209999999996</c:v>
                </c:pt>
                <c:pt idx="4">
                  <c:v>6.6635260000000001</c:v>
                </c:pt>
                <c:pt idx="5">
                  <c:v>6.1750360000000004</c:v>
                </c:pt>
                <c:pt idx="6">
                  <c:v>7.3456849999999996</c:v>
                </c:pt>
                <c:pt idx="7">
                  <c:v>7.3763730000000001</c:v>
                </c:pt>
                <c:pt idx="8">
                  <c:v>7.4424919999999997</c:v>
                </c:pt>
                <c:pt idx="9">
                  <c:v>7.2283970000000002</c:v>
                </c:pt>
                <c:pt idx="10">
                  <c:v>6.8390649999999997</c:v>
                </c:pt>
                <c:pt idx="11">
                  <c:v>7.8744300000000003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'36_g'!$A$66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'36_g'!$B$62:$M$62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'36_g'!$B$66:$M$66</c:f>
              <c:numCache>
                <c:formatCode>#,##0.00_ ;\-#,##0.00\ </c:formatCode>
                <c:ptCount val="12"/>
                <c:pt idx="0">
                  <c:v>6.2666068099999999</c:v>
                </c:pt>
                <c:pt idx="1">
                  <c:v>6.4368367800000001</c:v>
                </c:pt>
                <c:pt idx="2">
                  <c:v>6.3015887400000006</c:v>
                </c:pt>
                <c:pt idx="3">
                  <c:v>6.5727728600000006</c:v>
                </c:pt>
                <c:pt idx="4">
                  <c:v>6.4775464100000004</c:v>
                </c:pt>
                <c:pt idx="5">
                  <c:v>6.0488582699999993</c:v>
                </c:pt>
                <c:pt idx="6">
                  <c:v>6.95033543</c:v>
                </c:pt>
                <c:pt idx="7">
                  <c:v>6.575162559999999</c:v>
                </c:pt>
                <c:pt idx="8">
                  <c:v>6.9156557899999997</c:v>
                </c:pt>
                <c:pt idx="9">
                  <c:v>6.4411986199999998</c:v>
                </c:pt>
                <c:pt idx="10">
                  <c:v>6.5578075</c:v>
                </c:pt>
                <c:pt idx="11">
                  <c:v>6.5821645500000008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930304"/>
        <c:axId val="290977984"/>
      </c:lineChart>
      <c:catAx>
        <c:axId val="2889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0977984"/>
        <c:crosses val="autoZero"/>
        <c:auto val="1"/>
        <c:lblAlgn val="ctr"/>
        <c:lblOffset val="100"/>
        <c:noMultiLvlLbl val="0"/>
      </c:catAx>
      <c:valAx>
        <c:axId val="2909779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9303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'36_g'!$B$85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'36_g'!$C$85:$N$85</c:f>
              <c:numCache>
                <c:formatCode>#,##0.00_ ;\-#,##0.00\ </c:formatCode>
                <c:ptCount val="12"/>
                <c:pt idx="0">
                  <c:v>6.1699700700000006</c:v>
                </c:pt>
                <c:pt idx="1">
                  <c:v>12.12130376</c:v>
                </c:pt>
                <c:pt idx="2">
                  <c:v>18.223223749999999</c:v>
                </c:pt>
                <c:pt idx="3">
                  <c:v>24.61546809</c:v>
                </c:pt>
                <c:pt idx="4">
                  <c:v>30.81023841</c:v>
                </c:pt>
                <c:pt idx="5">
                  <c:v>36.791962330000004</c:v>
                </c:pt>
                <c:pt idx="6">
                  <c:v>43.622274460000007</c:v>
                </c:pt>
                <c:pt idx="7">
                  <c:v>50.704304250000007</c:v>
                </c:pt>
                <c:pt idx="8">
                  <c:v>57.474115730000008</c:v>
                </c:pt>
                <c:pt idx="9">
                  <c:v>64.362069840000004</c:v>
                </c:pt>
                <c:pt idx="10">
                  <c:v>70.342431509999997</c:v>
                </c:pt>
                <c:pt idx="11">
                  <c:v>76.825318719999999</c:v>
                </c:pt>
              </c:numCache>
            </c:numRef>
          </c:val>
        </c:ser>
        <c:ser>
          <c:idx val="0"/>
          <c:order val="2"/>
          <c:tx>
            <c:strRef>
              <c:f>'36_g'!$B$87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'36_g'!$C$87:$N$87</c:f>
              <c:numCache>
                <c:formatCode>#,##0.00_ ;\-#,##0.00\ </c:formatCode>
                <c:ptCount val="12"/>
                <c:pt idx="0">
                  <c:v>6.2666068099999999</c:v>
                </c:pt>
                <c:pt idx="1">
                  <c:v>12.703443589999999</c:v>
                </c:pt>
                <c:pt idx="2">
                  <c:v>19.005032329999999</c:v>
                </c:pt>
                <c:pt idx="3">
                  <c:v>25.577805189999999</c:v>
                </c:pt>
                <c:pt idx="4">
                  <c:v>32.055351600000002</c:v>
                </c:pt>
                <c:pt idx="5">
                  <c:v>38.104209869999998</c:v>
                </c:pt>
                <c:pt idx="6">
                  <c:v>45.054545300000001</c:v>
                </c:pt>
                <c:pt idx="7">
                  <c:v>51.629707859999996</c:v>
                </c:pt>
                <c:pt idx="8">
                  <c:v>58.545363649999999</c:v>
                </c:pt>
                <c:pt idx="9">
                  <c:v>64.986562269999993</c:v>
                </c:pt>
                <c:pt idx="10">
                  <c:v>71.544369769999989</c:v>
                </c:pt>
                <c:pt idx="11">
                  <c:v>78.12653431999999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88931328"/>
        <c:axId val="291725888"/>
      </c:barChart>
      <c:lineChart>
        <c:grouping val="standard"/>
        <c:varyColors val="0"/>
        <c:ser>
          <c:idx val="3"/>
          <c:order val="1"/>
          <c:tx>
            <c:strRef>
              <c:f>'36_g'!$B$86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'36_g'!$C$83:$N$83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'36_g'!$C$86:$N$86</c:f>
              <c:numCache>
                <c:formatCode>#,##0.00_ ;\-#,##0.00\ </c:formatCode>
                <c:ptCount val="12"/>
                <c:pt idx="0">
                  <c:v>6.5662219999999998</c:v>
                </c:pt>
                <c:pt idx="1">
                  <c:v>13.213811</c:v>
                </c:pt>
                <c:pt idx="2">
                  <c:v>19.671320999999999</c:v>
                </c:pt>
                <c:pt idx="3">
                  <c:v>26.516141999999999</c:v>
                </c:pt>
                <c:pt idx="4">
                  <c:v>33.179667999999999</c:v>
                </c:pt>
                <c:pt idx="5">
                  <c:v>39.354703999999998</c:v>
                </c:pt>
                <c:pt idx="6">
                  <c:v>46.700389000000001</c:v>
                </c:pt>
                <c:pt idx="7">
                  <c:v>54.076762000000002</c:v>
                </c:pt>
                <c:pt idx="8">
                  <c:v>61.519254000000004</c:v>
                </c:pt>
                <c:pt idx="9">
                  <c:v>68.747651000000005</c:v>
                </c:pt>
                <c:pt idx="10">
                  <c:v>75.58671600000001</c:v>
                </c:pt>
                <c:pt idx="11">
                  <c:v>83.461146000000014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931328"/>
        <c:axId val="291725888"/>
      </c:lineChart>
      <c:catAx>
        <c:axId val="2889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1725888"/>
        <c:crosses val="autoZero"/>
        <c:auto val="1"/>
        <c:lblAlgn val="ctr"/>
        <c:lblOffset val="100"/>
        <c:noMultiLvlLbl val="0"/>
      </c:catAx>
      <c:valAx>
        <c:axId val="29172588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93132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'36_g'!$S$64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'36_g'!$T$62:$AE$62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'36_g'!$T$64:$AE$64</c:f>
              <c:numCache>
                <c:formatCode>#,##0.00_ ;\-#,##0.00\ </c:formatCode>
                <c:ptCount val="12"/>
                <c:pt idx="0">
                  <c:v>2.0134900300000003</c:v>
                </c:pt>
                <c:pt idx="1">
                  <c:v>2.14954578</c:v>
                </c:pt>
                <c:pt idx="2">
                  <c:v>1.9374448900000001</c:v>
                </c:pt>
                <c:pt idx="3">
                  <c:v>1.9815270600000001</c:v>
                </c:pt>
                <c:pt idx="4">
                  <c:v>2.1131166899999996</c:v>
                </c:pt>
                <c:pt idx="5">
                  <c:v>2.2225986299999998</c:v>
                </c:pt>
                <c:pt idx="6">
                  <c:v>2.0226492699999996</c:v>
                </c:pt>
                <c:pt idx="7">
                  <c:v>2.1846107200000002</c:v>
                </c:pt>
                <c:pt idx="8">
                  <c:v>2.2605089599999997</c:v>
                </c:pt>
                <c:pt idx="9">
                  <c:v>2.3022048300000004</c:v>
                </c:pt>
                <c:pt idx="10">
                  <c:v>2.1818408499999999</c:v>
                </c:pt>
                <c:pt idx="11">
                  <c:v>2.1909077699999999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'36_g'!$S$65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'36_g'!$T$62:$AE$62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'36_g'!$T$65:$AE$65</c:f>
              <c:numCache>
                <c:formatCode>#,##0.00_ ;\-#,##0.00\ </c:formatCode>
                <c:ptCount val="12"/>
                <c:pt idx="0">
                  <c:v>2.0422440000000002</c:v>
                </c:pt>
                <c:pt idx="1">
                  <c:v>2.0673810000000001</c:v>
                </c:pt>
                <c:pt idx="2">
                  <c:v>2.0105819999999999</c:v>
                </c:pt>
                <c:pt idx="3">
                  <c:v>2.0816970000000001</c:v>
                </c:pt>
                <c:pt idx="4">
                  <c:v>2.1161430000000001</c:v>
                </c:pt>
                <c:pt idx="5">
                  <c:v>2.1911459999999998</c:v>
                </c:pt>
                <c:pt idx="6">
                  <c:v>2.1117780000000002</c:v>
                </c:pt>
                <c:pt idx="7">
                  <c:v>2.1594150000000001</c:v>
                </c:pt>
                <c:pt idx="8">
                  <c:v>2.328659</c:v>
                </c:pt>
                <c:pt idx="9">
                  <c:v>2.234947</c:v>
                </c:pt>
                <c:pt idx="10">
                  <c:v>2.2733560000000002</c:v>
                </c:pt>
                <c:pt idx="11">
                  <c:v>2.5754969999999999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'36_g'!$S$66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'36_g'!$T$62:$AE$62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'36_g'!$T$66:$AE$66</c:f>
              <c:numCache>
                <c:formatCode>#,##0.00_ ;\-#,##0.00\ </c:formatCode>
                <c:ptCount val="12"/>
                <c:pt idx="0">
                  <c:v>1.9880132199999996</c:v>
                </c:pt>
                <c:pt idx="1">
                  <c:v>2.0729246599999995</c:v>
                </c:pt>
                <c:pt idx="2">
                  <c:v>2.4138983599999997</c:v>
                </c:pt>
                <c:pt idx="3">
                  <c:v>1.97839969</c:v>
                </c:pt>
                <c:pt idx="4">
                  <c:v>2.0374431300000002</c:v>
                </c:pt>
                <c:pt idx="5">
                  <c:v>2.1754892800000003</c:v>
                </c:pt>
                <c:pt idx="6">
                  <c:v>1.9380391999999997</c:v>
                </c:pt>
                <c:pt idx="7">
                  <c:v>2.18899533</c:v>
                </c:pt>
                <c:pt idx="8">
                  <c:v>2.1463144900000004</c:v>
                </c:pt>
                <c:pt idx="9">
                  <c:v>2.0941153199999998</c:v>
                </c:pt>
                <c:pt idx="10">
                  <c:v>2.55060836</c:v>
                </c:pt>
                <c:pt idx="11">
                  <c:v>2.4122200899999999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949248"/>
        <c:axId val="291728192"/>
      </c:lineChart>
      <c:catAx>
        <c:axId val="28894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1728192"/>
        <c:crosses val="autoZero"/>
        <c:auto val="1"/>
        <c:lblAlgn val="ctr"/>
        <c:lblOffset val="100"/>
        <c:noMultiLvlLbl val="0"/>
      </c:catAx>
      <c:valAx>
        <c:axId val="2917281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89492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'36_g'!$T$85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'36_g'!$U$85:$AF$85</c:f>
              <c:numCache>
                <c:formatCode>#,##0.00_ ;\-#,##0.00\ </c:formatCode>
                <c:ptCount val="12"/>
                <c:pt idx="0">
                  <c:v>2.0134900300000003</c:v>
                </c:pt>
                <c:pt idx="1">
                  <c:v>4.1630358100000002</c:v>
                </c:pt>
                <c:pt idx="2">
                  <c:v>6.1004807000000003</c:v>
                </c:pt>
                <c:pt idx="3">
                  <c:v>8.0820077599999998</c:v>
                </c:pt>
                <c:pt idx="4">
                  <c:v>10.19512445</c:v>
                </c:pt>
                <c:pt idx="5">
                  <c:v>12.41772308</c:v>
                </c:pt>
                <c:pt idx="6">
                  <c:v>14.440372350000001</c:v>
                </c:pt>
                <c:pt idx="7">
                  <c:v>16.624983069999999</c:v>
                </c:pt>
                <c:pt idx="8">
                  <c:v>18.885492029999998</c:v>
                </c:pt>
                <c:pt idx="9">
                  <c:v>21.187696859999999</c:v>
                </c:pt>
                <c:pt idx="10">
                  <c:v>23.369537709999999</c:v>
                </c:pt>
                <c:pt idx="11">
                  <c:v>25.560445479999998</c:v>
                </c:pt>
              </c:numCache>
            </c:numRef>
          </c:val>
        </c:ser>
        <c:ser>
          <c:idx val="0"/>
          <c:order val="2"/>
          <c:tx>
            <c:strRef>
              <c:f>'36_g'!$T$87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'36_g'!$U$87:$AF$87</c:f>
              <c:numCache>
                <c:formatCode>#,##0.00_ ;\-#,##0.00\ </c:formatCode>
                <c:ptCount val="12"/>
                <c:pt idx="0">
                  <c:v>1.9880132199999996</c:v>
                </c:pt>
                <c:pt idx="1">
                  <c:v>4.0609378799999991</c:v>
                </c:pt>
                <c:pt idx="2">
                  <c:v>6.4748362399999984</c:v>
                </c:pt>
                <c:pt idx="3">
                  <c:v>8.4532359299999982</c:v>
                </c:pt>
                <c:pt idx="4">
                  <c:v>10.490679059999998</c:v>
                </c:pt>
                <c:pt idx="5">
                  <c:v>12.666168339999999</c:v>
                </c:pt>
                <c:pt idx="6">
                  <c:v>14.604207539999999</c:v>
                </c:pt>
                <c:pt idx="7">
                  <c:v>16.793202869999998</c:v>
                </c:pt>
                <c:pt idx="8">
                  <c:v>18.93951736</c:v>
                </c:pt>
                <c:pt idx="9">
                  <c:v>21.03363268</c:v>
                </c:pt>
                <c:pt idx="10">
                  <c:v>23.584241040000002</c:v>
                </c:pt>
                <c:pt idx="11">
                  <c:v>25.99646113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2254208"/>
        <c:axId val="291730496"/>
      </c:barChart>
      <c:lineChart>
        <c:grouping val="standard"/>
        <c:varyColors val="0"/>
        <c:ser>
          <c:idx val="3"/>
          <c:order val="1"/>
          <c:tx>
            <c:strRef>
              <c:f>'36_g'!$T$86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'36_g'!$U$83:$AF$83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'36_g'!$U$86:$AF$86</c:f>
              <c:numCache>
                <c:formatCode>#,##0.00_ ;\-#,##0.00\ </c:formatCode>
                <c:ptCount val="12"/>
                <c:pt idx="0">
                  <c:v>2.0422440000000002</c:v>
                </c:pt>
                <c:pt idx="1">
                  <c:v>4.1096250000000003</c:v>
                </c:pt>
                <c:pt idx="2">
                  <c:v>6.1202070000000006</c:v>
                </c:pt>
                <c:pt idx="3">
                  <c:v>8.2019040000000007</c:v>
                </c:pt>
                <c:pt idx="4">
                  <c:v>10.318047</c:v>
                </c:pt>
                <c:pt idx="5">
                  <c:v>12.509193</c:v>
                </c:pt>
                <c:pt idx="6">
                  <c:v>14.620971000000001</c:v>
                </c:pt>
                <c:pt idx="7">
                  <c:v>16.780386</c:v>
                </c:pt>
                <c:pt idx="8">
                  <c:v>19.109045000000002</c:v>
                </c:pt>
                <c:pt idx="9">
                  <c:v>21.343992</c:v>
                </c:pt>
                <c:pt idx="10">
                  <c:v>23.617348</c:v>
                </c:pt>
                <c:pt idx="11">
                  <c:v>26.192844999999998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54208"/>
        <c:axId val="291730496"/>
      </c:lineChart>
      <c:catAx>
        <c:axId val="29225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1730496"/>
        <c:crosses val="autoZero"/>
        <c:auto val="1"/>
        <c:lblAlgn val="ctr"/>
        <c:lblOffset val="100"/>
        <c:noMultiLvlLbl val="0"/>
      </c:catAx>
      <c:valAx>
        <c:axId val="2917304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22542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'36_g'!$AI$64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'36_g'!$AJ$62:$AU$62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'36_g'!$AJ$64:$AU$64</c:f>
              <c:numCache>
                <c:formatCode>#,##0.00_ ;\-#,##0.00\ </c:formatCode>
                <c:ptCount val="12"/>
                <c:pt idx="0">
                  <c:v>4.1564800399999999</c:v>
                </c:pt>
                <c:pt idx="1">
                  <c:v>3.8017879100000003</c:v>
                </c:pt>
                <c:pt idx="2">
                  <c:v>4.1644750999999998</c:v>
                </c:pt>
                <c:pt idx="3">
                  <c:v>4.4107172799999992</c:v>
                </c:pt>
                <c:pt idx="4">
                  <c:v>4.0816536299999999</c:v>
                </c:pt>
                <c:pt idx="5">
                  <c:v>3.7591252900000005</c:v>
                </c:pt>
                <c:pt idx="6">
                  <c:v>4.8076628600000006</c:v>
                </c:pt>
                <c:pt idx="7">
                  <c:v>4.8974190699999998</c:v>
                </c:pt>
                <c:pt idx="8">
                  <c:v>4.5093025200000003</c:v>
                </c:pt>
                <c:pt idx="9">
                  <c:v>4.5857492799999982</c:v>
                </c:pt>
                <c:pt idx="10">
                  <c:v>3.7985208199999998</c:v>
                </c:pt>
                <c:pt idx="11">
                  <c:v>4.2919794400000004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'36_g'!$AI$65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'36_g'!$AJ$62:$AU$62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'36_g'!$AJ$65:$AU$65</c:f>
              <c:numCache>
                <c:formatCode>#,##0.00_ ;\-#,##0.00\ </c:formatCode>
                <c:ptCount val="12"/>
                <c:pt idx="0">
                  <c:v>4.5239779999999996</c:v>
                </c:pt>
                <c:pt idx="1">
                  <c:v>4.5802079999999998</c:v>
                </c:pt>
                <c:pt idx="2">
                  <c:v>4.4469279999999998</c:v>
                </c:pt>
                <c:pt idx="3">
                  <c:v>4.7631239999999995</c:v>
                </c:pt>
                <c:pt idx="4">
                  <c:v>4.547383</c:v>
                </c:pt>
                <c:pt idx="5">
                  <c:v>3.9838900000000006</c:v>
                </c:pt>
                <c:pt idx="6">
                  <c:v>5.2339069999999994</c:v>
                </c:pt>
                <c:pt idx="7">
                  <c:v>5.216958</c:v>
                </c:pt>
                <c:pt idx="8">
                  <c:v>5.1138329999999996</c:v>
                </c:pt>
                <c:pt idx="9">
                  <c:v>4.9934500000000002</c:v>
                </c:pt>
                <c:pt idx="10">
                  <c:v>4.565709</c:v>
                </c:pt>
                <c:pt idx="11">
                  <c:v>5.2989329999999999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'36_g'!$AI$66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'36_g'!$AJ$62:$AU$62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'36_g'!$AJ$66:$AU$66</c:f>
              <c:numCache>
                <c:formatCode>#,##0.00_ ;\-#,##0.00\ </c:formatCode>
                <c:ptCount val="12"/>
                <c:pt idx="0">
                  <c:v>4.2785935899999998</c:v>
                </c:pt>
                <c:pt idx="1">
                  <c:v>4.3639121200000002</c:v>
                </c:pt>
                <c:pt idx="2">
                  <c:v>3.8876903800000009</c:v>
                </c:pt>
                <c:pt idx="3">
                  <c:v>4.5943731700000008</c:v>
                </c:pt>
                <c:pt idx="4">
                  <c:v>4.4401032800000007</c:v>
                </c:pt>
                <c:pt idx="5">
                  <c:v>3.873368989999999</c:v>
                </c:pt>
                <c:pt idx="6">
                  <c:v>5.0122962300000005</c:v>
                </c:pt>
                <c:pt idx="7">
                  <c:v>4.386167229999999</c:v>
                </c:pt>
                <c:pt idx="8">
                  <c:v>4.7693412999999989</c:v>
                </c:pt>
                <c:pt idx="9">
                  <c:v>4.3470832999999995</c:v>
                </c:pt>
                <c:pt idx="10">
                  <c:v>4.00719914</c:v>
                </c:pt>
                <c:pt idx="11">
                  <c:v>4.1699444600000009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55232"/>
        <c:axId val="291732800"/>
      </c:lineChart>
      <c:catAx>
        <c:axId val="2922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1732800"/>
        <c:crosses val="autoZero"/>
        <c:auto val="1"/>
        <c:lblAlgn val="ctr"/>
        <c:lblOffset val="100"/>
        <c:noMultiLvlLbl val="0"/>
      </c:catAx>
      <c:valAx>
        <c:axId val="2917328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4559770937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22552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76664280596"/>
          <c:y val="2.2161373086791118E-2"/>
          <c:w val="0.4542922333571940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'36_g'!$AJ$85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'36_g'!$AK$85:$AV$85</c:f>
              <c:numCache>
                <c:formatCode>#,##0.00_ ;\-#,##0.00\ </c:formatCode>
                <c:ptCount val="12"/>
                <c:pt idx="0">
                  <c:v>4.1564800399999999</c:v>
                </c:pt>
                <c:pt idx="1">
                  <c:v>7.9582679499999998</c:v>
                </c:pt>
                <c:pt idx="2">
                  <c:v>12.12274305</c:v>
                </c:pt>
                <c:pt idx="3">
                  <c:v>16.53346033</c:v>
                </c:pt>
                <c:pt idx="4">
                  <c:v>20.615113960000002</c:v>
                </c:pt>
                <c:pt idx="5">
                  <c:v>24.374239250000002</c:v>
                </c:pt>
                <c:pt idx="6">
                  <c:v>29.181902110000003</c:v>
                </c:pt>
                <c:pt idx="7">
                  <c:v>34.079321180000001</c:v>
                </c:pt>
                <c:pt idx="8">
                  <c:v>38.588623699999999</c:v>
                </c:pt>
                <c:pt idx="9">
                  <c:v>43.174372980000001</c:v>
                </c:pt>
                <c:pt idx="10">
                  <c:v>46.972893800000001</c:v>
                </c:pt>
                <c:pt idx="11">
                  <c:v>51.26487324</c:v>
                </c:pt>
              </c:numCache>
            </c:numRef>
          </c:val>
        </c:ser>
        <c:ser>
          <c:idx val="0"/>
          <c:order val="2"/>
          <c:tx>
            <c:strRef>
              <c:f>'36_g'!$AJ$87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'36_g'!$AK$83:$AV$83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'36_g'!$AK$87:$AV$87</c:f>
              <c:numCache>
                <c:formatCode>#,##0.00_ ;\-#,##0.00\ </c:formatCode>
                <c:ptCount val="12"/>
                <c:pt idx="0">
                  <c:v>4.2785935899999998</c:v>
                </c:pt>
                <c:pt idx="1">
                  <c:v>8.64250571</c:v>
                </c:pt>
                <c:pt idx="2">
                  <c:v>12.53019609</c:v>
                </c:pt>
                <c:pt idx="3">
                  <c:v>17.124569260000001</c:v>
                </c:pt>
                <c:pt idx="4">
                  <c:v>21.564672540000004</c:v>
                </c:pt>
                <c:pt idx="5">
                  <c:v>25.438041530000003</c:v>
                </c:pt>
                <c:pt idx="6">
                  <c:v>30.450337760000004</c:v>
                </c:pt>
                <c:pt idx="7">
                  <c:v>34.836504990000002</c:v>
                </c:pt>
                <c:pt idx="8">
                  <c:v>39.605846290000002</c:v>
                </c:pt>
                <c:pt idx="9">
                  <c:v>43.952929590000004</c:v>
                </c:pt>
                <c:pt idx="10">
                  <c:v>47.960128730000001</c:v>
                </c:pt>
                <c:pt idx="11">
                  <c:v>52.130073190000005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2255744"/>
        <c:axId val="292406976"/>
      </c:barChart>
      <c:lineChart>
        <c:grouping val="standard"/>
        <c:varyColors val="0"/>
        <c:ser>
          <c:idx val="3"/>
          <c:order val="1"/>
          <c:tx>
            <c:strRef>
              <c:f>'36_g'!$AJ$86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'36_g'!$AK$83:$AV$83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'36_g'!$AK$86:$AV$86</c:f>
              <c:numCache>
                <c:formatCode>#,##0.00_ ;\-#,##0.00\ </c:formatCode>
                <c:ptCount val="12"/>
                <c:pt idx="0">
                  <c:v>4.5239779999999996</c:v>
                </c:pt>
                <c:pt idx="1">
                  <c:v>9.1041859999999986</c:v>
                </c:pt>
                <c:pt idx="2">
                  <c:v>13.551113999999998</c:v>
                </c:pt>
                <c:pt idx="3">
                  <c:v>18.314237999999996</c:v>
                </c:pt>
                <c:pt idx="4">
                  <c:v>22.861620999999996</c:v>
                </c:pt>
                <c:pt idx="5">
                  <c:v>26.845510999999995</c:v>
                </c:pt>
                <c:pt idx="6">
                  <c:v>32.079417999999997</c:v>
                </c:pt>
                <c:pt idx="7">
                  <c:v>37.296375999999995</c:v>
                </c:pt>
                <c:pt idx="8">
                  <c:v>42.410208999999995</c:v>
                </c:pt>
                <c:pt idx="9">
                  <c:v>47.403658999999998</c:v>
                </c:pt>
                <c:pt idx="10">
                  <c:v>51.969367999999996</c:v>
                </c:pt>
                <c:pt idx="11">
                  <c:v>57.268300999999994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255744"/>
        <c:axId val="292406976"/>
      </c:lineChart>
      <c:catAx>
        <c:axId val="29225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2406976"/>
        <c:crosses val="autoZero"/>
        <c:auto val="1"/>
        <c:lblAlgn val="ctr"/>
        <c:lblOffset val="100"/>
        <c:noMultiLvlLbl val="0"/>
      </c:catAx>
      <c:valAx>
        <c:axId val="2924069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2296045019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22557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733140882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'36_g'!$T$21:$U$21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'36_g'!$V$20:$AC$20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'36_g'!$V$21:$AC$21</c:f>
              <c:numCache>
                <c:formatCode>#,##0</c:formatCode>
                <c:ptCount val="8"/>
                <c:pt idx="0">
                  <c:v>231.40907282132909</c:v>
                </c:pt>
                <c:pt idx="1">
                  <c:v>230</c:v>
                </c:pt>
                <c:pt idx="2">
                  <c:v>390.12136888181459</c:v>
                </c:pt>
                <c:pt idx="3">
                  <c:v>426</c:v>
                </c:pt>
                <c:pt idx="4">
                  <c:v>575.15479506565862</c:v>
                </c:pt>
                <c:pt idx="5">
                  <c:v>589</c:v>
                </c:pt>
                <c:pt idx="6">
                  <c:v>882</c:v>
                </c:pt>
                <c:pt idx="7">
                  <c:v>740</c:v>
                </c:pt>
              </c:numCache>
            </c:numRef>
          </c:val>
        </c:ser>
        <c:ser>
          <c:idx val="0"/>
          <c:order val="1"/>
          <c:tx>
            <c:strRef>
              <c:f>'36_g'!$T$22:$U$22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'36_g'!$V$20:$AC$20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'36_g'!$V$22:$AC$22</c:f>
              <c:numCache>
                <c:formatCode>#,##0</c:formatCode>
                <c:ptCount val="8"/>
                <c:pt idx="0">
                  <c:v>7</c:v>
                </c:pt>
                <c:pt idx="1">
                  <c:v>22</c:v>
                </c:pt>
                <c:pt idx="2">
                  <c:v>13</c:v>
                </c:pt>
                <c:pt idx="3">
                  <c:v>30</c:v>
                </c:pt>
                <c:pt idx="4">
                  <c:v>24</c:v>
                </c:pt>
                <c:pt idx="5">
                  <c:v>40</c:v>
                </c:pt>
                <c:pt idx="6">
                  <c:v>44</c:v>
                </c:pt>
                <c:pt idx="7">
                  <c:v>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92256768"/>
        <c:axId val="292409280"/>
      </c:barChart>
      <c:catAx>
        <c:axId val="29225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292409280"/>
        <c:crosses val="autoZero"/>
        <c:auto val="1"/>
        <c:lblAlgn val="ctr"/>
        <c:lblOffset val="100"/>
        <c:noMultiLvlLbl val="0"/>
      </c:catAx>
      <c:valAx>
        <c:axId val="292409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92256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('37'!$A$9,'37'!$A$13,'37'!$A$17)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('37'!$B$9,'37'!$B$13,'37'!$B$17)</c:f>
              <c:numCache>
                <c:formatCode>_-* #,##0_-;\-* #,##0_-;_-* "-"??_-;_-@_-</c:formatCode>
                <c:ptCount val="3"/>
                <c:pt idx="0">
                  <c:v>2487</c:v>
                </c:pt>
                <c:pt idx="1">
                  <c:v>660</c:v>
                </c:pt>
                <c:pt idx="2">
                  <c:v>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('37'!$A$9,'37'!$A$13,'37'!$A$17)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('37'!$G$9,'37'!$G$13,'37'!$G$17)</c:f>
              <c:numCache>
                <c:formatCode>_-* #,##0_-;\-* #,##0_-;_-* "-"??_-;_-@_-</c:formatCode>
                <c:ptCount val="3"/>
                <c:pt idx="0">
                  <c:v>2709</c:v>
                </c:pt>
                <c:pt idx="1">
                  <c:v>667</c:v>
                </c:pt>
                <c:pt idx="2">
                  <c:v>135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'12_g'!$A$64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'12_g'!$B$62:$M$62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'12_g'!$B$64:$M$64</c:f>
              <c:numCache>
                <c:formatCode>#,##0.00_ ;\-#,##0.00\ </c:formatCode>
                <c:ptCount val="12"/>
                <c:pt idx="0">
                  <c:v>0.87407529000000006</c:v>
                </c:pt>
                <c:pt idx="1">
                  <c:v>0.83280931000000002</c:v>
                </c:pt>
                <c:pt idx="2">
                  <c:v>0.85898615999999994</c:v>
                </c:pt>
                <c:pt idx="3">
                  <c:v>0.95400023999999983</c:v>
                </c:pt>
                <c:pt idx="4">
                  <c:v>0.86580586999999998</c:v>
                </c:pt>
                <c:pt idx="5">
                  <c:v>0.81455530999999992</c:v>
                </c:pt>
                <c:pt idx="6">
                  <c:v>1.12807528</c:v>
                </c:pt>
                <c:pt idx="7">
                  <c:v>1.1943583600000001</c:v>
                </c:pt>
                <c:pt idx="8">
                  <c:v>1.0842791399999998</c:v>
                </c:pt>
                <c:pt idx="9">
                  <c:v>0.90461395999999994</c:v>
                </c:pt>
                <c:pt idx="10">
                  <c:v>0.89286885000000005</c:v>
                </c:pt>
                <c:pt idx="11">
                  <c:v>0.94371313000000012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'12_g'!$A$65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'12_g'!$B$62:$M$62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'12_g'!$B$65:$M$65</c:f>
              <c:numCache>
                <c:formatCode>#,##0.00_ ;\-#,##0.00\ </c:formatCode>
                <c:ptCount val="12"/>
                <c:pt idx="0">
                  <c:v>0.85165999999999997</c:v>
                </c:pt>
                <c:pt idx="1">
                  <c:v>0.83843100000000004</c:v>
                </c:pt>
                <c:pt idx="2">
                  <c:v>0.83121199999999995</c:v>
                </c:pt>
                <c:pt idx="3">
                  <c:v>0.91305199999999997</c:v>
                </c:pt>
                <c:pt idx="4">
                  <c:v>0.86703799999999998</c:v>
                </c:pt>
                <c:pt idx="5">
                  <c:v>0.917601</c:v>
                </c:pt>
                <c:pt idx="6">
                  <c:v>1.034162</c:v>
                </c:pt>
                <c:pt idx="7">
                  <c:v>1.068271</c:v>
                </c:pt>
                <c:pt idx="8">
                  <c:v>1.0062850000000001</c:v>
                </c:pt>
                <c:pt idx="9">
                  <c:v>0.89748600000000001</c:v>
                </c:pt>
                <c:pt idx="10">
                  <c:v>0.905524</c:v>
                </c:pt>
                <c:pt idx="11">
                  <c:v>0.91583700000000001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'12_g'!$A$66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'12_g'!$B$62:$M$62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'12_g'!$B$66:$M$66</c:f>
              <c:numCache>
                <c:formatCode>#,##0.00_ ;\-#,##0.00\ </c:formatCode>
                <c:ptCount val="12"/>
                <c:pt idx="0">
                  <c:v>0.83143323000000002</c:v>
                </c:pt>
                <c:pt idx="1">
                  <c:v>0.9203693300000001</c:v>
                </c:pt>
                <c:pt idx="2">
                  <c:v>0.89559997000000013</c:v>
                </c:pt>
                <c:pt idx="3">
                  <c:v>0.95245346000000009</c:v>
                </c:pt>
                <c:pt idx="4">
                  <c:v>0.94284661000000003</c:v>
                </c:pt>
                <c:pt idx="5">
                  <c:v>0.94317571000000011</c:v>
                </c:pt>
                <c:pt idx="6">
                  <c:v>1.1309667899999998</c:v>
                </c:pt>
                <c:pt idx="7">
                  <c:v>1.05098848</c:v>
                </c:pt>
                <c:pt idx="8">
                  <c:v>0.95645856999999979</c:v>
                </c:pt>
                <c:pt idx="9">
                  <c:v>0.95621736999999996</c:v>
                </c:pt>
                <c:pt idx="10">
                  <c:v>0.93221536999999988</c:v>
                </c:pt>
                <c:pt idx="11">
                  <c:v>0.95006384000000021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82720"/>
        <c:axId val="174792000"/>
      </c:lineChart>
      <c:catAx>
        <c:axId val="1723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792000"/>
        <c:crosses val="autoZero"/>
        <c:auto val="1"/>
        <c:lblAlgn val="ctr"/>
        <c:lblOffset val="100"/>
        <c:noMultiLvlLbl val="0"/>
      </c:catAx>
      <c:valAx>
        <c:axId val="1747920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3827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('37'!$A$9,'37'!$A$13,'37'!$A$17)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('37'!$C$9,'37'!$C$13,'37'!$C$17)</c:f>
              <c:numCache>
                <c:formatCode>_(* #,##0.00_);_(* \(#,##0.00\);_(* "-"??_);_(@_)</c:formatCode>
                <c:ptCount val="3"/>
                <c:pt idx="0">
                  <c:v>0.320247</c:v>
                </c:pt>
                <c:pt idx="1">
                  <c:v>0.18645</c:v>
                </c:pt>
                <c:pt idx="2">
                  <c:v>6.1267000000000002E-2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('37'!$A$9,'37'!$A$13,'37'!$A$17)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('37'!$H$9,'37'!$H$13,'37'!$H$17)</c:f>
              <c:numCache>
                <c:formatCode>_(* #,##0.00_);_(* \(#,##0.00\);_(* "-"??_);_(@_)</c:formatCode>
                <c:ptCount val="3"/>
                <c:pt idx="0">
                  <c:v>0.34140599999999999</c:v>
                </c:pt>
                <c:pt idx="1">
                  <c:v>0.18567500000000001</c:v>
                </c:pt>
                <c:pt idx="2">
                  <c:v>7.1034E-2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('37'!$A$9,'37'!$A$13,'37'!$A$17)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('37'!$E$9,'37'!$E$13,'37'!$E$17)</c:f>
              <c:numCache>
                <c:formatCode>_(* #,##0.00_);_(* \(#,##0.00\);_(* "-"??_);_(@_)</c:formatCode>
                <c:ptCount val="3"/>
                <c:pt idx="0">
                  <c:v>4.2097040000000003</c:v>
                </c:pt>
                <c:pt idx="1">
                  <c:v>3.7949441999999998</c:v>
                </c:pt>
                <c:pt idx="2">
                  <c:v>1.6779222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('37'!$A$9,'37'!$A$13,'37'!$A$17)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('37'!$J$9,'37'!$J$13,'37'!$J$17)</c:f>
              <c:numCache>
                <c:formatCode>_(* #,##0.00_);_(* \(#,##0.00\);_(* "-"??_);_(@_)</c:formatCode>
                <c:ptCount val="3"/>
                <c:pt idx="0">
                  <c:v>4.4846521899999994</c:v>
                </c:pt>
                <c:pt idx="1">
                  <c:v>3.7575025000000002</c:v>
                </c:pt>
                <c:pt idx="2">
                  <c:v>1.9390306000000002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('37'!$A$9,'37'!$A$13,'37'!$A$17,'37'!$A$20)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('37'!$D$9,'37'!$D$13,'37'!$D$17,'37'!$D$20)</c:f>
              <c:numCache>
                <c:formatCode>_-* #,##0.000_-;\-* #,##0.000_-;_-* "-"??_-;_-@_-</c:formatCode>
                <c:ptCount val="4"/>
                <c:pt idx="0">
                  <c:v>0.37201146537879604</c:v>
                </c:pt>
                <c:pt idx="1">
                  <c:v>0.85564810353135534</c:v>
                </c:pt>
                <c:pt idx="2">
                  <c:v>1.2433688483003551</c:v>
                </c:pt>
                <c:pt idx="3">
                  <c:v>0.50349967753588665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('37'!$A$9,'37'!$A$13,'37'!$A$17,'37'!$A$20)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('37'!$I$9,'37'!$I$13,'37'!$I$17,'37'!$I$20)</c:f>
              <c:numCache>
                <c:formatCode>_-* #,##0.000_-;\-* #,##0.000_-;_-* "-"??_-;_-@_-</c:formatCode>
                <c:ptCount val="4"/>
                <c:pt idx="0">
                  <c:v>0.36003037109683955</c:v>
                </c:pt>
                <c:pt idx="1">
                  <c:v>0.76668972138204416</c:v>
                </c:pt>
                <c:pt idx="2">
                  <c:v>1.4309830781627717</c:v>
                </c:pt>
                <c:pt idx="3">
                  <c:v>0.48231677200197565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93133312"/>
        <c:axId val="289993792"/>
      </c:barChart>
      <c:catAx>
        <c:axId val="29313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993792"/>
        <c:crosses val="autoZero"/>
        <c:auto val="1"/>
        <c:lblAlgn val="ctr"/>
        <c:lblOffset val="100"/>
        <c:noMultiLvlLbl val="0"/>
      </c:catAx>
      <c:valAx>
        <c:axId val="2899937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133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('37'!$A$9,'37'!$A$13,'37'!$A$17,'37'!$A$20)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('37'!$F$9,'37'!$F$13,'37'!$F$17,'37'!$F$20)</c:f>
              <c:numCache>
                <c:formatCode>_(* #,##0.00_);_(* \(#,##0.00\);_(* "-"??_);_(@_)</c:formatCode>
                <c:ptCount val="4"/>
                <c:pt idx="0">
                  <c:v>13.145178565294914</c:v>
                </c:pt>
                <c:pt idx="1">
                  <c:v>20.353683024939659</c:v>
                </c:pt>
                <c:pt idx="2">
                  <c:v>27.387046860463219</c:v>
                </c:pt>
                <c:pt idx="3">
                  <c:v>17.04785937136861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('37'!$A$9,'37'!$A$13,'37'!$A$17,'37'!$A$20)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('37'!$K$9,'37'!$K$13,'37'!$K$17,'37'!$K$20)</c:f>
              <c:numCache>
                <c:formatCode>_(* #,##0.00_);_(* \(#,##0.00\);_(* "-"??_);_(@_)</c:formatCode>
                <c:ptCount val="4"/>
                <c:pt idx="0">
                  <c:v>13.13583296720034</c:v>
                </c:pt>
                <c:pt idx="1">
                  <c:v>20.236986670257171</c:v>
                </c:pt>
                <c:pt idx="2">
                  <c:v>27.297218233521978</c:v>
                </c:pt>
                <c:pt idx="3">
                  <c:v>17.022119976927517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91389440"/>
        <c:axId val="289995520"/>
      </c:barChart>
      <c:catAx>
        <c:axId val="29138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89995520"/>
        <c:crosses val="autoZero"/>
        <c:auto val="1"/>
        <c:lblAlgn val="ctr"/>
        <c:lblOffset val="100"/>
        <c:noMultiLvlLbl val="0"/>
      </c:catAx>
      <c:valAx>
        <c:axId val="2899955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1389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'37_g'!$A$18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'37_g'!$B$16:$M$16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'37_g'!$B$18:$M$18</c:f>
              <c:numCache>
                <c:formatCode>#,##0_ ;\-#,##0\ </c:formatCode>
                <c:ptCount val="12"/>
                <c:pt idx="0">
                  <c:v>7</c:v>
                </c:pt>
                <c:pt idx="1">
                  <c:v>25</c:v>
                </c:pt>
                <c:pt idx="2">
                  <c:v>17</c:v>
                </c:pt>
                <c:pt idx="3">
                  <c:v>49</c:v>
                </c:pt>
                <c:pt idx="4">
                  <c:v>78</c:v>
                </c:pt>
                <c:pt idx="5">
                  <c:v>57</c:v>
                </c:pt>
                <c:pt idx="6">
                  <c:v>50</c:v>
                </c:pt>
                <c:pt idx="7">
                  <c:v>59</c:v>
                </c:pt>
                <c:pt idx="8">
                  <c:v>40</c:v>
                </c:pt>
                <c:pt idx="9">
                  <c:v>21</c:v>
                </c:pt>
                <c:pt idx="10">
                  <c:v>0</c:v>
                </c:pt>
                <c:pt idx="11">
                  <c:v>59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'37_g'!$A$19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'37_g'!$B$16:$M$16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'37_g'!$B$19:$M$19</c:f>
              <c:numCache>
                <c:formatCode>#,##0_ ;\-#,##0\ </c:formatCode>
                <c:ptCount val="12"/>
                <c:pt idx="0">
                  <c:v>4.4287369640787952</c:v>
                </c:pt>
                <c:pt idx="1">
                  <c:v>13.286210892236385</c:v>
                </c:pt>
                <c:pt idx="2">
                  <c:v>9.9119351100811119</c:v>
                </c:pt>
                <c:pt idx="3">
                  <c:v>18.558516801853997</c:v>
                </c:pt>
                <c:pt idx="4">
                  <c:v>28.681344148319813</c:v>
                </c:pt>
                <c:pt idx="5">
                  <c:v>21.51100811123986</c:v>
                </c:pt>
                <c:pt idx="6">
                  <c:v>16.238702201622246</c:v>
                </c:pt>
                <c:pt idx="7">
                  <c:v>24.252607184241018</c:v>
                </c:pt>
                <c:pt idx="8">
                  <c:v>14.762456546929315</c:v>
                </c:pt>
                <c:pt idx="9">
                  <c:v>8.6465816917728837</c:v>
                </c:pt>
                <c:pt idx="10">
                  <c:v>4.8505214368482044</c:v>
                </c:pt>
                <c:pt idx="11">
                  <c:v>16.871378910776361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'37_g'!$A$20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'37_g'!$B$16:$M$16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'37_g'!$B$20:$M$20</c:f>
              <c:numCache>
                <c:formatCode>#,##0_ ;\-#,##0\ </c:formatCode>
                <c:ptCount val="12"/>
                <c:pt idx="0">
                  <c:v>22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18</c:v>
                </c:pt>
                <c:pt idx="5">
                  <c:v>15</c:v>
                </c:pt>
                <c:pt idx="6">
                  <c:v>13</c:v>
                </c:pt>
                <c:pt idx="7">
                  <c:v>5</c:v>
                </c:pt>
                <c:pt idx="8">
                  <c:v>51</c:v>
                </c:pt>
                <c:pt idx="9">
                  <c:v>24</c:v>
                </c:pt>
                <c:pt idx="10">
                  <c:v>4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212160"/>
        <c:axId val="291201600"/>
      </c:lineChart>
      <c:catAx>
        <c:axId val="29321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1201600"/>
        <c:crosses val="autoZero"/>
        <c:auto val="1"/>
        <c:lblAlgn val="ctr"/>
        <c:lblOffset val="100"/>
        <c:noMultiLvlLbl val="0"/>
      </c:catAx>
      <c:valAx>
        <c:axId val="2912016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2121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'37_g'!$C$39:$N$39</c:f>
              <c:numCache>
                <c:formatCode>#,##0_ ;\-#,##0\ </c:formatCode>
                <c:ptCount val="12"/>
                <c:pt idx="0">
                  <c:v>7</c:v>
                </c:pt>
                <c:pt idx="1">
                  <c:v>32</c:v>
                </c:pt>
                <c:pt idx="2">
                  <c:v>49</c:v>
                </c:pt>
                <c:pt idx="3">
                  <c:v>98</c:v>
                </c:pt>
                <c:pt idx="4">
                  <c:v>176</c:v>
                </c:pt>
                <c:pt idx="5">
                  <c:v>233</c:v>
                </c:pt>
                <c:pt idx="6">
                  <c:v>283</c:v>
                </c:pt>
                <c:pt idx="7">
                  <c:v>342</c:v>
                </c:pt>
                <c:pt idx="8">
                  <c:v>382</c:v>
                </c:pt>
                <c:pt idx="9">
                  <c:v>403</c:v>
                </c:pt>
                <c:pt idx="10">
                  <c:v>403</c:v>
                </c:pt>
                <c:pt idx="11">
                  <c:v>462</c:v>
                </c:pt>
              </c:numCache>
            </c:numRef>
          </c:val>
        </c:ser>
        <c:ser>
          <c:idx val="0"/>
          <c:order val="2"/>
          <c:tx>
            <c:strRef>
              <c:f>'37_g'!$B$41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'37_g'!$C$41:$N$41</c:f>
              <c:numCache>
                <c:formatCode>#,##0_ ;\-#,##0\ </c:formatCode>
                <c:ptCount val="12"/>
                <c:pt idx="0">
                  <c:v>22</c:v>
                </c:pt>
                <c:pt idx="1">
                  <c:v>39</c:v>
                </c:pt>
                <c:pt idx="2">
                  <c:v>50</c:v>
                </c:pt>
                <c:pt idx="3">
                  <c:v>55</c:v>
                </c:pt>
                <c:pt idx="4">
                  <c:v>73</c:v>
                </c:pt>
                <c:pt idx="5">
                  <c:v>88</c:v>
                </c:pt>
                <c:pt idx="6">
                  <c:v>101</c:v>
                </c:pt>
                <c:pt idx="7">
                  <c:v>106</c:v>
                </c:pt>
                <c:pt idx="8">
                  <c:v>157</c:v>
                </c:pt>
                <c:pt idx="9">
                  <c:v>181</c:v>
                </c:pt>
                <c:pt idx="10">
                  <c:v>185</c:v>
                </c:pt>
                <c:pt idx="11">
                  <c:v>189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3212672"/>
        <c:axId val="291203904"/>
      </c:barChart>
      <c:lineChart>
        <c:grouping val="standard"/>
        <c:varyColors val="0"/>
        <c:ser>
          <c:idx val="3"/>
          <c:order val="1"/>
          <c:tx>
            <c:strRef>
              <c:f>'37_g'!$B$40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'37_g'!$C$37:$N$37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'37_g'!$C$40:$N$40</c:f>
              <c:numCache>
                <c:formatCode>#,##0_ ;\-#,##0\ </c:formatCode>
                <c:ptCount val="12"/>
                <c:pt idx="0">
                  <c:v>4.4287369640787952</c:v>
                </c:pt>
                <c:pt idx="1">
                  <c:v>17.714947856315181</c:v>
                </c:pt>
                <c:pt idx="2">
                  <c:v>27.626882966396295</c:v>
                </c:pt>
                <c:pt idx="3">
                  <c:v>46.185399768250292</c:v>
                </c:pt>
                <c:pt idx="4">
                  <c:v>74.866743916570101</c:v>
                </c:pt>
                <c:pt idx="5">
                  <c:v>96.377752027809962</c:v>
                </c:pt>
                <c:pt idx="6">
                  <c:v>112.61645422943221</c:v>
                </c:pt>
                <c:pt idx="7">
                  <c:v>136.86906141367322</c:v>
                </c:pt>
                <c:pt idx="8">
                  <c:v>151.63151796060254</c:v>
                </c:pt>
                <c:pt idx="9">
                  <c:v>160.27809965237543</c:v>
                </c:pt>
                <c:pt idx="10">
                  <c:v>165.12862108922363</c:v>
                </c:pt>
                <c:pt idx="11">
                  <c:v>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212672"/>
        <c:axId val="291203904"/>
      </c:lineChart>
      <c:catAx>
        <c:axId val="2932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1203904"/>
        <c:crosses val="autoZero"/>
        <c:auto val="1"/>
        <c:lblAlgn val="ctr"/>
        <c:lblOffset val="100"/>
        <c:noMultiLvlLbl val="0"/>
      </c:catAx>
      <c:valAx>
        <c:axId val="2912039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21267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'37_g'!$AI$18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'37_g'!$AJ$16:$AU$16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'37_g'!$AJ$18:$AU$18</c:f>
              <c:numCache>
                <c:formatCode>#,##0.000_ ;\-#,##0.000\ </c:formatCode>
                <c:ptCount val="12"/>
                <c:pt idx="0">
                  <c:v>4.3663E-2</c:v>
                </c:pt>
                <c:pt idx="1">
                  <c:v>4.4558E-2</c:v>
                </c:pt>
                <c:pt idx="2">
                  <c:v>4.3368999999999998E-2</c:v>
                </c:pt>
                <c:pt idx="3">
                  <c:v>4.7384999999999997E-2</c:v>
                </c:pt>
                <c:pt idx="4">
                  <c:v>4.5867999999999999E-2</c:v>
                </c:pt>
                <c:pt idx="5">
                  <c:v>4.4437999999999998E-2</c:v>
                </c:pt>
                <c:pt idx="6">
                  <c:v>4.9708000000000002E-2</c:v>
                </c:pt>
                <c:pt idx="7">
                  <c:v>6.1381999999999999E-2</c:v>
                </c:pt>
                <c:pt idx="8">
                  <c:v>5.0797000000000002E-2</c:v>
                </c:pt>
                <c:pt idx="9">
                  <c:v>4.9389000000000002E-2</c:v>
                </c:pt>
                <c:pt idx="10">
                  <c:v>4.0455999999999999E-2</c:v>
                </c:pt>
                <c:pt idx="11">
                  <c:v>4.7248999999999999E-2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'37_g'!$AI$19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'37_g'!$AJ$16:$AU$16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'37_g'!$AJ$19:$AU$19</c:f>
              <c:numCache>
                <c:formatCode>#,##0.000_ ;\-#,##0.000\ </c:formatCode>
                <c:ptCount val="12"/>
                <c:pt idx="0">
                  <c:v>4.9169999999999998E-2</c:v>
                </c:pt>
                <c:pt idx="1">
                  <c:v>5.1469000000000001E-2</c:v>
                </c:pt>
                <c:pt idx="2">
                  <c:v>4.9856999999999999E-2</c:v>
                </c:pt>
                <c:pt idx="3">
                  <c:v>5.4620000000000002E-2</c:v>
                </c:pt>
                <c:pt idx="4">
                  <c:v>5.1110999999999997E-2</c:v>
                </c:pt>
                <c:pt idx="5">
                  <c:v>5.0879000000000001E-2</c:v>
                </c:pt>
                <c:pt idx="6">
                  <c:v>5.8418999999999999E-2</c:v>
                </c:pt>
                <c:pt idx="7">
                  <c:v>6.5276000000000001E-2</c:v>
                </c:pt>
                <c:pt idx="8">
                  <c:v>5.8774E-2</c:v>
                </c:pt>
                <c:pt idx="9">
                  <c:v>5.6791000000000001E-2</c:v>
                </c:pt>
                <c:pt idx="10">
                  <c:v>5.1658000000000003E-2</c:v>
                </c:pt>
                <c:pt idx="11">
                  <c:v>5.5455999999999998E-2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'37_g'!$AI$20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'37_g'!$AJ$16:$AU$16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'37_g'!$AJ$20:$AU$20</c:f>
              <c:numCache>
                <c:formatCode>#,##0.000_ ;\-#,##0.000\ </c:formatCode>
                <c:ptCount val="12"/>
                <c:pt idx="0">
                  <c:v>4.5470999999999998E-2</c:v>
                </c:pt>
                <c:pt idx="1">
                  <c:v>4.7188000000000001E-2</c:v>
                </c:pt>
                <c:pt idx="2">
                  <c:v>4.6862000000000001E-2</c:v>
                </c:pt>
                <c:pt idx="3">
                  <c:v>4.9230999999999997E-2</c:v>
                </c:pt>
                <c:pt idx="4">
                  <c:v>4.6657999999999998E-2</c:v>
                </c:pt>
                <c:pt idx="5">
                  <c:v>4.9784000000000002E-2</c:v>
                </c:pt>
                <c:pt idx="6">
                  <c:v>5.6306000000000002E-2</c:v>
                </c:pt>
                <c:pt idx="7">
                  <c:v>5.3020999999999999E-2</c:v>
                </c:pt>
                <c:pt idx="8">
                  <c:v>5.2399000000000001E-2</c:v>
                </c:pt>
                <c:pt idx="9">
                  <c:v>4.7986000000000001E-2</c:v>
                </c:pt>
                <c:pt idx="10">
                  <c:v>5.1950999999999997E-2</c:v>
                </c:pt>
                <c:pt idx="11">
                  <c:v>5.1556999999999999E-2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213696"/>
        <c:axId val="291206208"/>
      </c:lineChart>
      <c:catAx>
        <c:axId val="29321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1206208"/>
        <c:crosses val="autoZero"/>
        <c:auto val="1"/>
        <c:lblAlgn val="ctr"/>
        <c:lblOffset val="100"/>
        <c:noMultiLvlLbl val="0"/>
      </c:catAx>
      <c:valAx>
        <c:axId val="29120620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27309354571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2136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6355611133"/>
          <c:y val="2.2161373086791118E-2"/>
          <c:w val="0.3512889429593832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'37_g'!$AK$39:$AV$39</c:f>
              <c:numCache>
                <c:formatCode>#,##0.000_ ;\-#,##0.000\ </c:formatCode>
                <c:ptCount val="12"/>
                <c:pt idx="0">
                  <c:v>4.3663E-2</c:v>
                </c:pt>
                <c:pt idx="1">
                  <c:v>8.8220999999999994E-2</c:v>
                </c:pt>
                <c:pt idx="2">
                  <c:v>0.13158999999999998</c:v>
                </c:pt>
                <c:pt idx="3">
                  <c:v>0.178975</c:v>
                </c:pt>
                <c:pt idx="4">
                  <c:v>0.22484299999999999</c:v>
                </c:pt>
                <c:pt idx="5">
                  <c:v>0.26928099999999999</c:v>
                </c:pt>
                <c:pt idx="6">
                  <c:v>0.31898899999999997</c:v>
                </c:pt>
                <c:pt idx="7">
                  <c:v>0.38037099999999996</c:v>
                </c:pt>
                <c:pt idx="8">
                  <c:v>0.43116799999999994</c:v>
                </c:pt>
                <c:pt idx="9">
                  <c:v>0.48055699999999996</c:v>
                </c:pt>
                <c:pt idx="10">
                  <c:v>0.52101299999999995</c:v>
                </c:pt>
                <c:pt idx="11">
                  <c:v>0.56826199999999993</c:v>
                </c:pt>
              </c:numCache>
            </c:numRef>
          </c:val>
        </c:ser>
        <c:ser>
          <c:idx val="0"/>
          <c:order val="2"/>
          <c:tx>
            <c:strRef>
              <c:f>'37_g'!$AJ$41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'37_g'!$AK$41:$AV$41</c:f>
              <c:numCache>
                <c:formatCode>#,##0.000_ ;\-#,##0.000\ </c:formatCode>
                <c:ptCount val="12"/>
                <c:pt idx="0">
                  <c:v>4.5470999999999998E-2</c:v>
                </c:pt>
                <c:pt idx="1">
                  <c:v>9.2658999999999991E-2</c:v>
                </c:pt>
                <c:pt idx="2">
                  <c:v>0.13952100000000001</c:v>
                </c:pt>
                <c:pt idx="3">
                  <c:v>0.188752</c:v>
                </c:pt>
                <c:pt idx="4">
                  <c:v>0.23541000000000001</c:v>
                </c:pt>
                <c:pt idx="5">
                  <c:v>0.285194</c:v>
                </c:pt>
                <c:pt idx="6">
                  <c:v>0.34150000000000003</c:v>
                </c:pt>
                <c:pt idx="7">
                  <c:v>0.39452100000000001</c:v>
                </c:pt>
                <c:pt idx="8">
                  <c:v>0.44691999999999998</c:v>
                </c:pt>
                <c:pt idx="9">
                  <c:v>0.49490599999999996</c:v>
                </c:pt>
                <c:pt idx="10">
                  <c:v>0.54685699999999993</c:v>
                </c:pt>
                <c:pt idx="11">
                  <c:v>0.59841399999999989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3214208"/>
        <c:axId val="291208512"/>
      </c:barChart>
      <c:lineChart>
        <c:grouping val="standard"/>
        <c:varyColors val="0"/>
        <c:ser>
          <c:idx val="3"/>
          <c:order val="1"/>
          <c:tx>
            <c:strRef>
              <c:f>'37_g'!$AJ$40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'37_g'!$AK$37:$AV$37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'37_g'!$AK$40:$AV$40</c:f>
              <c:numCache>
                <c:formatCode>#,##0.000_ ;\-#,##0.000\ </c:formatCode>
                <c:ptCount val="12"/>
                <c:pt idx="0">
                  <c:v>4.9169999999999998E-2</c:v>
                </c:pt>
                <c:pt idx="1">
                  <c:v>0.10063900000000001</c:v>
                </c:pt>
                <c:pt idx="2">
                  <c:v>0.15049600000000002</c:v>
                </c:pt>
                <c:pt idx="3">
                  <c:v>0.20511600000000002</c:v>
                </c:pt>
                <c:pt idx="4">
                  <c:v>0.25622700000000004</c:v>
                </c:pt>
                <c:pt idx="5">
                  <c:v>0.30710600000000005</c:v>
                </c:pt>
                <c:pt idx="6">
                  <c:v>0.36552500000000004</c:v>
                </c:pt>
                <c:pt idx="7">
                  <c:v>0.43080100000000005</c:v>
                </c:pt>
                <c:pt idx="8">
                  <c:v>0.48957500000000004</c:v>
                </c:pt>
                <c:pt idx="9">
                  <c:v>0.54636600000000002</c:v>
                </c:pt>
                <c:pt idx="10">
                  <c:v>0.598024</c:v>
                </c:pt>
                <c:pt idx="11">
                  <c:v>0.65347999999999995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214208"/>
        <c:axId val="291208512"/>
      </c:lineChart>
      <c:catAx>
        <c:axId val="29321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1208512"/>
        <c:crosses val="autoZero"/>
        <c:auto val="1"/>
        <c:lblAlgn val="ctr"/>
        <c:lblOffset val="100"/>
        <c:noMultiLvlLbl val="0"/>
      </c:catAx>
      <c:valAx>
        <c:axId val="2912085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81690586548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21420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4001228573"/>
          <c:y val="2.2161373086791118E-2"/>
          <c:w val="0.33180945998771427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'12_g'!$B$85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'12_g'!$C$85:$N$85</c:f>
              <c:numCache>
                <c:formatCode>#,##0.00_ ;\-#,##0.00\ </c:formatCode>
                <c:ptCount val="12"/>
                <c:pt idx="0">
                  <c:v>0.87407529000000006</c:v>
                </c:pt>
                <c:pt idx="1">
                  <c:v>1.7068846</c:v>
                </c:pt>
                <c:pt idx="2">
                  <c:v>2.5658707600000001</c:v>
                </c:pt>
                <c:pt idx="3">
                  <c:v>3.5198710000000002</c:v>
                </c:pt>
                <c:pt idx="4">
                  <c:v>4.3856768700000002</c:v>
                </c:pt>
                <c:pt idx="5">
                  <c:v>5.2002321800000004</c:v>
                </c:pt>
                <c:pt idx="6">
                  <c:v>6.3283074600000004</c:v>
                </c:pt>
                <c:pt idx="7">
                  <c:v>7.5226658200000003</c:v>
                </c:pt>
                <c:pt idx="8">
                  <c:v>8.6069449599999999</c:v>
                </c:pt>
                <c:pt idx="9">
                  <c:v>9.5115589200000006</c:v>
                </c:pt>
                <c:pt idx="10">
                  <c:v>10.40442777</c:v>
                </c:pt>
                <c:pt idx="11">
                  <c:v>11.348140900000001</c:v>
                </c:pt>
              </c:numCache>
            </c:numRef>
          </c:val>
        </c:ser>
        <c:ser>
          <c:idx val="0"/>
          <c:order val="2"/>
          <c:tx>
            <c:strRef>
              <c:f>'12_g'!$B$87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'12_g'!$C$87:$N$87</c:f>
              <c:numCache>
                <c:formatCode>#,##0.00_ ;\-#,##0.00\ </c:formatCode>
                <c:ptCount val="12"/>
                <c:pt idx="0">
                  <c:v>0.83143323000000002</c:v>
                </c:pt>
                <c:pt idx="1">
                  <c:v>1.7518025600000002</c:v>
                </c:pt>
                <c:pt idx="2">
                  <c:v>2.6474025300000004</c:v>
                </c:pt>
                <c:pt idx="3">
                  <c:v>3.5998559900000004</c:v>
                </c:pt>
                <c:pt idx="4">
                  <c:v>4.5427026000000001</c:v>
                </c:pt>
                <c:pt idx="5">
                  <c:v>5.4858783100000004</c:v>
                </c:pt>
                <c:pt idx="6">
                  <c:v>6.6168450999999999</c:v>
                </c:pt>
                <c:pt idx="7">
                  <c:v>7.6678335799999999</c:v>
                </c:pt>
                <c:pt idx="8">
                  <c:v>8.6242921500000005</c:v>
                </c:pt>
                <c:pt idx="9">
                  <c:v>9.5805095199999997</c:v>
                </c:pt>
                <c:pt idx="10">
                  <c:v>10.512724889999999</c:v>
                </c:pt>
                <c:pt idx="11">
                  <c:v>11.46278873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172383744"/>
        <c:axId val="202614464"/>
      </c:barChart>
      <c:lineChart>
        <c:grouping val="standard"/>
        <c:varyColors val="0"/>
        <c:ser>
          <c:idx val="3"/>
          <c:order val="1"/>
          <c:tx>
            <c:strRef>
              <c:f>'12_g'!$B$86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'12_g'!$C$83:$N$83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'12_g'!$C$86:$N$86</c:f>
              <c:numCache>
                <c:formatCode>#,##0.00_ ;\-#,##0.00\ </c:formatCode>
                <c:ptCount val="12"/>
                <c:pt idx="0">
                  <c:v>0.85165999999999997</c:v>
                </c:pt>
                <c:pt idx="1">
                  <c:v>1.690091</c:v>
                </c:pt>
                <c:pt idx="2">
                  <c:v>2.5213030000000001</c:v>
                </c:pt>
                <c:pt idx="3">
                  <c:v>3.434355</c:v>
                </c:pt>
                <c:pt idx="4">
                  <c:v>4.301393</c:v>
                </c:pt>
                <c:pt idx="5">
                  <c:v>5.2189940000000004</c:v>
                </c:pt>
                <c:pt idx="6">
                  <c:v>6.2531560000000006</c:v>
                </c:pt>
                <c:pt idx="7">
                  <c:v>7.3214270000000008</c:v>
                </c:pt>
                <c:pt idx="8">
                  <c:v>8.3277120000000018</c:v>
                </c:pt>
                <c:pt idx="9">
                  <c:v>9.2251980000000025</c:v>
                </c:pt>
                <c:pt idx="10">
                  <c:v>10.130722000000002</c:v>
                </c:pt>
                <c:pt idx="11">
                  <c:v>11.046559000000002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83744"/>
        <c:axId val="202614464"/>
      </c:lineChart>
      <c:catAx>
        <c:axId val="17238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02614464"/>
        <c:crosses val="autoZero"/>
        <c:auto val="1"/>
        <c:lblAlgn val="ctr"/>
        <c:lblOffset val="100"/>
        <c:noMultiLvlLbl val="0"/>
      </c:catAx>
      <c:valAx>
        <c:axId val="2026144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23837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'37_g'!$AY$18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'37_g'!$AZ$16:$BK$16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'37_g'!$AZ$18:$BK$18</c:f>
              <c:numCache>
                <c:formatCode>#,##0.000_ ;\-#,##0.000\ </c:formatCode>
                <c:ptCount val="12"/>
                <c:pt idx="0">
                  <c:v>8.1290000000000008E-3</c:v>
                </c:pt>
                <c:pt idx="1">
                  <c:v>9.1240000000000002E-3</c:v>
                </c:pt>
                <c:pt idx="2">
                  <c:v>9.0449999999999992E-3</c:v>
                </c:pt>
                <c:pt idx="3">
                  <c:v>9.7800000000000005E-3</c:v>
                </c:pt>
                <c:pt idx="4">
                  <c:v>9.469E-3</c:v>
                </c:pt>
                <c:pt idx="5">
                  <c:v>9.1940000000000008E-3</c:v>
                </c:pt>
                <c:pt idx="6">
                  <c:v>1.0533000000000001E-2</c:v>
                </c:pt>
                <c:pt idx="7">
                  <c:v>1.2699E-2</c:v>
                </c:pt>
                <c:pt idx="8">
                  <c:v>6.1240000000000001E-3</c:v>
                </c:pt>
                <c:pt idx="9">
                  <c:v>9.1459999999999996E-3</c:v>
                </c:pt>
                <c:pt idx="10">
                  <c:v>9.3279999999999995E-3</c:v>
                </c:pt>
                <c:pt idx="11">
                  <c:v>9.3970000000000008E-3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'37_g'!$AY$19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'37_g'!$AZ$16:$BK$16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'37_g'!$AZ$19:$BK$19</c:f>
              <c:numCache>
                <c:formatCode>#,##0.000_ ;\-#,##0.000\ </c:formatCode>
                <c:ptCount val="12"/>
                <c:pt idx="0">
                  <c:v>1.0151E-2</c:v>
                </c:pt>
                <c:pt idx="1">
                  <c:v>1.0902E-2</c:v>
                </c:pt>
                <c:pt idx="2">
                  <c:v>1.0579E-2</c:v>
                </c:pt>
                <c:pt idx="3">
                  <c:v>1.1479E-2</c:v>
                </c:pt>
                <c:pt idx="4">
                  <c:v>1.0694E-2</c:v>
                </c:pt>
                <c:pt idx="5">
                  <c:v>1.0973999999999999E-2</c:v>
                </c:pt>
                <c:pt idx="6">
                  <c:v>1.2123E-2</c:v>
                </c:pt>
                <c:pt idx="7">
                  <c:v>1.3464E-2</c:v>
                </c:pt>
                <c:pt idx="8">
                  <c:v>1.027E-2</c:v>
                </c:pt>
                <c:pt idx="9">
                  <c:v>1.1301E-2</c:v>
                </c:pt>
                <c:pt idx="10">
                  <c:v>1.0931E-2</c:v>
                </c:pt>
                <c:pt idx="11">
                  <c:v>1.0982E-2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'37_g'!$AY$20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'37_g'!$AZ$16:$BK$16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'37_g'!$AZ$20:$BK$20</c:f>
              <c:numCache>
                <c:formatCode>#,##0.000_ ;\-#,##0.000\ </c:formatCode>
                <c:ptCount val="12"/>
                <c:pt idx="0">
                  <c:v>1.2525E-2</c:v>
                </c:pt>
                <c:pt idx="1">
                  <c:v>1.0302E-2</c:v>
                </c:pt>
                <c:pt idx="2">
                  <c:v>1.2529999999999999E-2</c:v>
                </c:pt>
                <c:pt idx="3">
                  <c:v>1.1757999999999999E-2</c:v>
                </c:pt>
                <c:pt idx="4">
                  <c:v>1.0827E-2</c:v>
                </c:pt>
                <c:pt idx="5">
                  <c:v>1.2090999999999999E-2</c:v>
                </c:pt>
                <c:pt idx="6">
                  <c:v>5.3439999999999998E-3</c:v>
                </c:pt>
                <c:pt idx="7">
                  <c:v>5.7999999999999996E-3</c:v>
                </c:pt>
                <c:pt idx="8">
                  <c:v>4.7260000000000002E-3</c:v>
                </c:pt>
                <c:pt idx="9">
                  <c:v>8.0090599999999984E-3</c:v>
                </c:pt>
                <c:pt idx="10">
                  <c:v>5.7115899999999964E-3</c:v>
                </c:pt>
                <c:pt idx="11">
                  <c:v>3.4655699999999998E-3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215232"/>
        <c:axId val="294086336"/>
      </c:lineChart>
      <c:catAx>
        <c:axId val="29321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4086336"/>
        <c:crosses val="autoZero"/>
        <c:auto val="1"/>
        <c:lblAlgn val="ctr"/>
        <c:lblOffset val="100"/>
        <c:noMultiLvlLbl val="0"/>
      </c:catAx>
      <c:valAx>
        <c:axId val="29408633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12023939486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2152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9877902425"/>
          <c:y val="2.2161373086791118E-2"/>
          <c:w val="0.35300970122097575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'37_g'!$AY$39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'37_g'!$AZ$37:$BO$37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'37_g'!$AZ$39:$BO$39</c:f>
              <c:numCache>
                <c:formatCode>_(* #,##0.00_);_(* \(#,##0.00\);_(* "-"??_);_(@_)</c:formatCode>
                <c:ptCount val="16"/>
                <c:pt idx="0">
                  <c:v>15.689112770926217</c:v>
                </c:pt>
                <c:pt idx="1">
                  <c:v>16.996386125703214</c:v>
                </c:pt>
                <c:pt idx="2">
                  <c:v>17.251244492761916</c:v>
                </c:pt>
                <c:pt idx="3">
                  <c:v>16.652102883629041</c:v>
                </c:pt>
                <c:pt idx="4">
                  <c:v>17.106575011806687</c:v>
                </c:pt>
                <c:pt idx="5">
                  <c:v>17.110589085652332</c:v>
                </c:pt>
                <c:pt idx="6">
                  <c:v>17.139554826441966</c:v>
                </c:pt>
                <c:pt idx="7">
                  <c:v>16.89125182440084</c:v>
                </c:pt>
                <c:pt idx="8">
                  <c:v>17.462738531425632</c:v>
                </c:pt>
                <c:pt idx="9">
                  <c:v>17.134645743661707</c:v>
                </c:pt>
                <c:pt idx="10">
                  <c:v>10.758770928128458</c:v>
                </c:pt>
                <c:pt idx="11">
                  <c:v>16.315891585666336</c:v>
                </c:pt>
                <c:pt idx="12">
                  <c:v>15.624839839412315</c:v>
                </c:pt>
                <c:pt idx="13">
                  <c:v>18.736943596336172</c:v>
                </c:pt>
                <c:pt idx="14">
                  <c:v>16.588991279172404</c:v>
                </c:pt>
                <c:pt idx="15">
                  <c:v>16.456323165220201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'37_g'!$AY$40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'37_g'!$AZ$37:$BO$37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'37_g'!$AZ$40:$BO$40</c:f>
              <c:numCache>
                <c:formatCode>_(* #,##0.00_);_(* \(#,##0.00\);_(* "-"??_);_(@_)</c:formatCode>
                <c:ptCount val="16"/>
                <c:pt idx="0">
                  <c:v>17.000495345026863</c:v>
                </c:pt>
                <c:pt idx="1">
                  <c:v>17.000495345026863</c:v>
                </c:pt>
                <c:pt idx="2">
                  <c:v>17.000495345026863</c:v>
                </c:pt>
                <c:pt idx="3">
                  <c:v>17.000495345026863</c:v>
                </c:pt>
                <c:pt idx="4">
                  <c:v>17.000495345026863</c:v>
                </c:pt>
                <c:pt idx="5">
                  <c:v>17.000495345026863</c:v>
                </c:pt>
                <c:pt idx="6">
                  <c:v>17.000495345026863</c:v>
                </c:pt>
                <c:pt idx="7">
                  <c:v>17.000495345026863</c:v>
                </c:pt>
                <c:pt idx="8">
                  <c:v>17.000495345026863</c:v>
                </c:pt>
                <c:pt idx="9">
                  <c:v>17.000495345026863</c:v>
                </c:pt>
                <c:pt idx="10">
                  <c:v>17.000495345026863</c:v>
                </c:pt>
                <c:pt idx="11">
                  <c:v>17.000495345026863</c:v>
                </c:pt>
                <c:pt idx="12">
                  <c:v>17.000495345026863</c:v>
                </c:pt>
                <c:pt idx="13">
                  <c:v>17.000495345026863</c:v>
                </c:pt>
                <c:pt idx="14">
                  <c:v>17.000495345026863</c:v>
                </c:pt>
                <c:pt idx="15">
                  <c:v>17.000495345026863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'37_g'!$AY$41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'37_g'!$AZ$37:$BO$37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'37_g'!$AZ$41:$BO$41</c:f>
              <c:numCache>
                <c:formatCode>_(* #,##0.00_);_(* \(#,##0.00\);_(* "-"??_);_(@_)</c:formatCode>
                <c:ptCount val="16"/>
                <c:pt idx="0">
                  <c:v>21.59631698737844</c:v>
                </c:pt>
                <c:pt idx="1">
                  <c:v>17.919638197947467</c:v>
                </c:pt>
                <c:pt idx="2">
                  <c:v>21.097117456896552</c:v>
                </c:pt>
                <c:pt idx="3">
                  <c:v>20.218094900444882</c:v>
                </c:pt>
                <c:pt idx="4">
                  <c:v>19.2788863565561</c:v>
                </c:pt>
                <c:pt idx="5">
                  <c:v>18.834478559624248</c:v>
                </c:pt>
                <c:pt idx="6">
                  <c:v>19.539431157078216</c:v>
                </c:pt>
                <c:pt idx="7">
                  <c:v>19.714721646698496</c:v>
                </c:pt>
                <c:pt idx="8">
                  <c:v>8.6682887266828885</c:v>
                </c:pt>
                <c:pt idx="9">
                  <c:v>9.8604239982319228</c:v>
                </c:pt>
                <c:pt idx="10">
                  <c:v>8.2730853391684906</c:v>
                </c:pt>
                <c:pt idx="11">
                  <c:v>16.122088178549177</c:v>
                </c:pt>
                <c:pt idx="12">
                  <c:v>14.303154599709329</c:v>
                </c:pt>
                <c:pt idx="13">
                  <c:v>9.9051915635423189</c:v>
                </c:pt>
                <c:pt idx="14">
                  <c:v>6.2984517080899707</c:v>
                </c:pt>
                <c:pt idx="15">
                  <c:v>14.695368786982993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215744"/>
        <c:axId val="294088640"/>
      </c:lineChart>
      <c:catAx>
        <c:axId val="29321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4088640"/>
        <c:crosses val="autoZero"/>
        <c:auto val="1"/>
        <c:lblAlgn val="ctr"/>
        <c:lblOffset val="100"/>
        <c:noMultiLvlLbl val="0"/>
      </c:catAx>
      <c:valAx>
        <c:axId val="29408864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46490404297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21574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2115148453"/>
          <c:y val="2.2161373086791118E-2"/>
          <c:w val="0.2830307736762262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55000000000000004" r="0.7" t="0.75" header="0.3" footer="0.3"/>
    <c:pageSetup orientation="portrait"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'37_g'!$A$64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'37_g'!$B$62:$M$62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'37_g'!$B$64:$M$64</c:f>
              <c:numCache>
                <c:formatCode>#,##0.00_ ;\-#,##0.00\ </c:formatCode>
                <c:ptCount val="12"/>
                <c:pt idx="0">
                  <c:v>0.83627439999999997</c:v>
                </c:pt>
                <c:pt idx="1">
                  <c:v>0.86292234000000001</c:v>
                </c:pt>
                <c:pt idx="2">
                  <c:v>0.84952759999999983</c:v>
                </c:pt>
                <c:pt idx="3">
                  <c:v>0.94664265000000014</c:v>
                </c:pt>
                <c:pt idx="4">
                  <c:v>0.93348014000000001</c:v>
                </c:pt>
                <c:pt idx="5">
                  <c:v>0.88062568000000008</c:v>
                </c:pt>
                <c:pt idx="6">
                  <c:v>0.96248876000000005</c:v>
                </c:pt>
                <c:pt idx="7">
                  <c:v>1.2062065699999998</c:v>
                </c:pt>
                <c:pt idx="8">
                  <c:v>0.98475374000000004</c:v>
                </c:pt>
                <c:pt idx="9">
                  <c:v>0.95820801000000011</c:v>
                </c:pt>
                <c:pt idx="10">
                  <c:v>0.75525033000000008</c:v>
                </c:pt>
                <c:pt idx="11">
                  <c:v>0.9693543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'37_g'!$A$65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'37_g'!$B$62:$M$62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'37_g'!$B$65:$M$65</c:f>
              <c:numCache>
                <c:formatCode>#,##0.00_ ;\-#,##0.00\ </c:formatCode>
                <c:ptCount val="12"/>
                <c:pt idx="0">
                  <c:v>0.94276700000000002</c:v>
                </c:pt>
                <c:pt idx="1">
                  <c:v>0.98713700000000004</c:v>
                </c:pt>
                <c:pt idx="2">
                  <c:v>0.96543699999999999</c:v>
                </c:pt>
                <c:pt idx="3">
                  <c:v>1.0684499999999999</c:v>
                </c:pt>
                <c:pt idx="4">
                  <c:v>1.0047159999999999</c:v>
                </c:pt>
                <c:pt idx="5">
                  <c:v>0.99354600000000004</c:v>
                </c:pt>
                <c:pt idx="6">
                  <c:v>1.1089020000000001</c:v>
                </c:pt>
                <c:pt idx="7">
                  <c:v>1.246299</c:v>
                </c:pt>
                <c:pt idx="8">
                  <c:v>1.120827</c:v>
                </c:pt>
                <c:pt idx="9">
                  <c:v>1.0715859999999999</c:v>
                </c:pt>
                <c:pt idx="10">
                  <c:v>0.97662700000000002</c:v>
                </c:pt>
                <c:pt idx="11">
                  <c:v>1.0756680000000001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'37_g'!$A$66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'37_g'!$B$62:$M$62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'37_g'!$B$66:$M$66</c:f>
              <c:numCache>
                <c:formatCode>#,##0.00_ ;\-#,##0.00\ </c:formatCode>
                <c:ptCount val="12"/>
                <c:pt idx="0">
                  <c:v>0.89837222999999999</c:v>
                </c:pt>
                <c:pt idx="1">
                  <c:v>0.91629751000000004</c:v>
                </c:pt>
                <c:pt idx="2">
                  <c:v>0.91252739000000005</c:v>
                </c:pt>
                <c:pt idx="3">
                  <c:v>0.95132040000000007</c:v>
                </c:pt>
                <c:pt idx="4">
                  <c:v>0.91251804000000003</c:v>
                </c:pt>
                <c:pt idx="5">
                  <c:v>0.97814657000000005</c:v>
                </c:pt>
                <c:pt idx="6">
                  <c:v>1.0679179999999999</c:v>
                </c:pt>
                <c:pt idx="7">
                  <c:v>1.00035254</c:v>
                </c:pt>
                <c:pt idx="8">
                  <c:v>1.0495050500000001</c:v>
                </c:pt>
                <c:pt idx="9">
                  <c:v>0.93953369999999992</c:v>
                </c:pt>
                <c:pt idx="10">
                  <c:v>0.99885525000000008</c:v>
                </c:pt>
                <c:pt idx="11">
                  <c:v>0.9927545000000001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867520"/>
        <c:axId val="294090944"/>
      </c:lineChart>
      <c:catAx>
        <c:axId val="2938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4090944"/>
        <c:crosses val="autoZero"/>
        <c:auto val="1"/>
        <c:lblAlgn val="ctr"/>
        <c:lblOffset val="100"/>
        <c:noMultiLvlLbl val="0"/>
      </c:catAx>
      <c:valAx>
        <c:axId val="29409094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8675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'37_g'!$C$85:$N$85</c:f>
              <c:numCache>
                <c:formatCode>#,##0.00_ ;\-#,##0.00\ </c:formatCode>
                <c:ptCount val="12"/>
                <c:pt idx="0">
                  <c:v>0.83627439999999997</c:v>
                </c:pt>
                <c:pt idx="1">
                  <c:v>1.6991967400000001</c:v>
                </c:pt>
                <c:pt idx="2">
                  <c:v>2.5487243399999997</c:v>
                </c:pt>
                <c:pt idx="3">
                  <c:v>3.49536699</c:v>
                </c:pt>
                <c:pt idx="4">
                  <c:v>4.4288471300000003</c:v>
                </c:pt>
                <c:pt idx="5">
                  <c:v>5.3094728100000008</c:v>
                </c:pt>
                <c:pt idx="6">
                  <c:v>6.2719615700000011</c:v>
                </c:pt>
                <c:pt idx="7">
                  <c:v>7.4781681400000011</c:v>
                </c:pt>
                <c:pt idx="8">
                  <c:v>8.4629218800000015</c:v>
                </c:pt>
                <c:pt idx="9">
                  <c:v>9.4211298900000013</c:v>
                </c:pt>
                <c:pt idx="10">
                  <c:v>10.176380220000002</c:v>
                </c:pt>
                <c:pt idx="11">
                  <c:v>11.145734520000001</c:v>
                </c:pt>
              </c:numCache>
            </c:numRef>
          </c:val>
        </c:ser>
        <c:ser>
          <c:idx val="0"/>
          <c:order val="2"/>
          <c:tx>
            <c:strRef>
              <c:f>'37_g'!$B$87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'37_g'!$C$87:$N$87</c:f>
              <c:numCache>
                <c:formatCode>#,##0.00_ ;\-#,##0.00\ </c:formatCode>
                <c:ptCount val="12"/>
                <c:pt idx="0">
                  <c:v>0.89837222999999999</c:v>
                </c:pt>
                <c:pt idx="1">
                  <c:v>1.81466974</c:v>
                </c:pt>
                <c:pt idx="2">
                  <c:v>2.72719713</c:v>
                </c:pt>
                <c:pt idx="3">
                  <c:v>3.6785175300000001</c:v>
                </c:pt>
                <c:pt idx="4">
                  <c:v>4.5910355699999998</c:v>
                </c:pt>
                <c:pt idx="5">
                  <c:v>5.5691821399999997</c:v>
                </c:pt>
                <c:pt idx="6">
                  <c:v>6.6371001399999994</c:v>
                </c:pt>
                <c:pt idx="7">
                  <c:v>7.6374526799999991</c:v>
                </c:pt>
                <c:pt idx="8">
                  <c:v>8.6869577299999996</c:v>
                </c:pt>
                <c:pt idx="9">
                  <c:v>9.6264914299999997</c:v>
                </c:pt>
                <c:pt idx="10">
                  <c:v>10.62534668</c:v>
                </c:pt>
                <c:pt idx="11">
                  <c:v>11.61810118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3868032"/>
        <c:axId val="293945920"/>
      </c:barChart>
      <c:lineChart>
        <c:grouping val="standard"/>
        <c:varyColors val="0"/>
        <c:ser>
          <c:idx val="3"/>
          <c:order val="1"/>
          <c:tx>
            <c:strRef>
              <c:f>'37_g'!$B$86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'37_g'!$C$83:$N$83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'37_g'!$C$86:$N$86</c:f>
              <c:numCache>
                <c:formatCode>#,##0.00_ ;\-#,##0.00\ </c:formatCode>
                <c:ptCount val="12"/>
                <c:pt idx="0">
                  <c:v>0.94276700000000002</c:v>
                </c:pt>
                <c:pt idx="1">
                  <c:v>1.9299040000000001</c:v>
                </c:pt>
                <c:pt idx="2">
                  <c:v>2.8953410000000002</c:v>
                </c:pt>
                <c:pt idx="3">
                  <c:v>3.9637910000000001</c:v>
                </c:pt>
                <c:pt idx="4">
                  <c:v>4.9685069999999998</c:v>
                </c:pt>
                <c:pt idx="5">
                  <c:v>5.962053</c:v>
                </c:pt>
                <c:pt idx="6">
                  <c:v>7.0709549999999997</c:v>
                </c:pt>
                <c:pt idx="7">
                  <c:v>8.3172540000000001</c:v>
                </c:pt>
                <c:pt idx="8">
                  <c:v>9.4380810000000004</c:v>
                </c:pt>
                <c:pt idx="9">
                  <c:v>10.509667</c:v>
                </c:pt>
                <c:pt idx="10">
                  <c:v>11.486294000000001</c:v>
                </c:pt>
                <c:pt idx="11">
                  <c:v>12.561962000000001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868032"/>
        <c:axId val="293945920"/>
      </c:lineChart>
      <c:catAx>
        <c:axId val="2938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945920"/>
        <c:crosses val="autoZero"/>
        <c:auto val="1"/>
        <c:lblAlgn val="ctr"/>
        <c:lblOffset val="100"/>
        <c:noMultiLvlLbl val="0"/>
      </c:catAx>
      <c:valAx>
        <c:axId val="2939459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8680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54593175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'37_g'!$S$64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'37_g'!$T$62:$AE$62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'37_g'!$T$64:$AE$64</c:f>
              <c:numCache>
                <c:formatCode>#,##0.00_ ;\-#,##0.00\ </c:formatCode>
                <c:ptCount val="12"/>
                <c:pt idx="0">
                  <c:v>0.51829723999999988</c:v>
                </c:pt>
                <c:pt idx="1">
                  <c:v>0.54691221000000012</c:v>
                </c:pt>
                <c:pt idx="2">
                  <c:v>0.5684284300000001</c:v>
                </c:pt>
                <c:pt idx="3">
                  <c:v>0.53738131999999994</c:v>
                </c:pt>
                <c:pt idx="4">
                  <c:v>0.53901206999999995</c:v>
                </c:pt>
                <c:pt idx="5">
                  <c:v>0.58511472000000009</c:v>
                </c:pt>
                <c:pt idx="6">
                  <c:v>0.55991588000000014</c:v>
                </c:pt>
                <c:pt idx="7">
                  <c:v>0.54339590999999987</c:v>
                </c:pt>
                <c:pt idx="8">
                  <c:v>0.50704998000000012</c:v>
                </c:pt>
                <c:pt idx="9">
                  <c:v>0.87948636999999996</c:v>
                </c:pt>
                <c:pt idx="10">
                  <c:v>0.50180146000000003</c:v>
                </c:pt>
                <c:pt idx="11">
                  <c:v>0.51310264999999999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'37_g'!$S$65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'37_g'!$T$62:$AE$62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'37_g'!$T$65:$AE$65</c:f>
              <c:numCache>
                <c:formatCode>#,##0.00_ ;\-#,##0.00\ </c:formatCode>
                <c:ptCount val="12"/>
                <c:pt idx="0">
                  <c:v>0.493315</c:v>
                </c:pt>
                <c:pt idx="1">
                  <c:v>0.48293599999999998</c:v>
                </c:pt>
                <c:pt idx="2">
                  <c:v>0.50674799999999998</c:v>
                </c:pt>
                <c:pt idx="3">
                  <c:v>0.52116200000000001</c:v>
                </c:pt>
                <c:pt idx="4">
                  <c:v>0.50370400000000004</c:v>
                </c:pt>
                <c:pt idx="5">
                  <c:v>0.53544400000000003</c:v>
                </c:pt>
                <c:pt idx="6">
                  <c:v>0.51558599999999999</c:v>
                </c:pt>
                <c:pt idx="7">
                  <c:v>0.50826700000000002</c:v>
                </c:pt>
                <c:pt idx="8">
                  <c:v>0.52628699999999995</c:v>
                </c:pt>
                <c:pt idx="9">
                  <c:v>0.58573600000000003</c:v>
                </c:pt>
                <c:pt idx="10">
                  <c:v>0.53720100000000004</c:v>
                </c:pt>
                <c:pt idx="11">
                  <c:v>0.55113000000000001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'37_g'!$S$66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'37_g'!$T$62:$AE$62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'37_g'!$T$66:$AE$66</c:f>
              <c:numCache>
                <c:formatCode>#,##0.00_ ;\-#,##0.00\ </c:formatCode>
                <c:ptCount val="12"/>
                <c:pt idx="0">
                  <c:v>0.46512808999999999</c:v>
                </c:pt>
                <c:pt idx="1">
                  <c:v>0.47190141999999996</c:v>
                </c:pt>
                <c:pt idx="2">
                  <c:v>0.61791921000000005</c:v>
                </c:pt>
                <c:pt idx="3">
                  <c:v>0.47325707999999989</c:v>
                </c:pt>
                <c:pt idx="4">
                  <c:v>0.49445043000000005</c:v>
                </c:pt>
                <c:pt idx="5">
                  <c:v>0.59802843000000006</c:v>
                </c:pt>
                <c:pt idx="6">
                  <c:v>0.49599746000000006</c:v>
                </c:pt>
                <c:pt idx="7">
                  <c:v>0.57580823000000014</c:v>
                </c:pt>
                <c:pt idx="8">
                  <c:v>0.59075118999999987</c:v>
                </c:pt>
                <c:pt idx="9">
                  <c:v>0.58479782000000002</c:v>
                </c:pt>
                <c:pt idx="10">
                  <c:v>0.54287258999999999</c:v>
                </c:pt>
                <c:pt idx="11">
                  <c:v>0.60278147000000004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697536"/>
        <c:axId val="293948224"/>
      </c:lineChart>
      <c:catAx>
        <c:axId val="2936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948224"/>
        <c:crosses val="autoZero"/>
        <c:auto val="1"/>
        <c:lblAlgn val="ctr"/>
        <c:lblOffset val="100"/>
        <c:noMultiLvlLbl val="0"/>
      </c:catAx>
      <c:valAx>
        <c:axId val="2939482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6975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'37_g'!$U$85:$AF$85</c:f>
              <c:numCache>
                <c:formatCode>#,##0.00_ ;\-#,##0.00\ </c:formatCode>
                <c:ptCount val="12"/>
                <c:pt idx="0">
                  <c:v>0.51829723999999988</c:v>
                </c:pt>
                <c:pt idx="1">
                  <c:v>1.06520945</c:v>
                </c:pt>
                <c:pt idx="2">
                  <c:v>1.6336378800000002</c:v>
                </c:pt>
                <c:pt idx="3">
                  <c:v>2.1710191999999999</c:v>
                </c:pt>
                <c:pt idx="4">
                  <c:v>2.71003127</c:v>
                </c:pt>
                <c:pt idx="5">
                  <c:v>3.29514599</c:v>
                </c:pt>
                <c:pt idx="6">
                  <c:v>3.8550618700000001</c:v>
                </c:pt>
                <c:pt idx="7">
                  <c:v>4.3984577800000002</c:v>
                </c:pt>
                <c:pt idx="8">
                  <c:v>4.9055077600000008</c:v>
                </c:pt>
                <c:pt idx="9">
                  <c:v>5.7849941300000012</c:v>
                </c:pt>
                <c:pt idx="10">
                  <c:v>6.2867955900000014</c:v>
                </c:pt>
                <c:pt idx="11">
                  <c:v>6.799898240000001</c:v>
                </c:pt>
              </c:numCache>
            </c:numRef>
          </c:val>
        </c:ser>
        <c:ser>
          <c:idx val="0"/>
          <c:order val="2"/>
          <c:tx>
            <c:strRef>
              <c:f>'37_g'!$T$87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'37_g'!$U$87:$AF$87</c:f>
              <c:numCache>
                <c:formatCode>#,##0.00_ ;\-#,##0.00\ </c:formatCode>
                <c:ptCount val="12"/>
                <c:pt idx="0">
                  <c:v>0.46512808999999999</c:v>
                </c:pt>
                <c:pt idx="1">
                  <c:v>0.9370295099999999</c:v>
                </c:pt>
                <c:pt idx="2">
                  <c:v>1.5549487200000001</c:v>
                </c:pt>
                <c:pt idx="3">
                  <c:v>2.0282057999999998</c:v>
                </c:pt>
                <c:pt idx="4">
                  <c:v>2.5226562299999999</c:v>
                </c:pt>
                <c:pt idx="5">
                  <c:v>3.1206846600000002</c:v>
                </c:pt>
                <c:pt idx="6">
                  <c:v>3.6166821200000001</c:v>
                </c:pt>
                <c:pt idx="7">
                  <c:v>4.1924903499999999</c:v>
                </c:pt>
                <c:pt idx="8">
                  <c:v>4.7832415399999997</c:v>
                </c:pt>
                <c:pt idx="9">
                  <c:v>5.36803936</c:v>
                </c:pt>
                <c:pt idx="10">
                  <c:v>5.91091195</c:v>
                </c:pt>
                <c:pt idx="11">
                  <c:v>6.5136934200000001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3869056"/>
        <c:axId val="293950528"/>
      </c:barChart>
      <c:lineChart>
        <c:grouping val="standard"/>
        <c:varyColors val="0"/>
        <c:ser>
          <c:idx val="3"/>
          <c:order val="1"/>
          <c:tx>
            <c:strRef>
              <c:f>'37_g'!$T$86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'37_g'!$U$83:$AF$83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'37_g'!$U$86:$AF$86</c:f>
              <c:numCache>
                <c:formatCode>#,##0.00_ ;\-#,##0.00\ </c:formatCode>
                <c:ptCount val="12"/>
                <c:pt idx="0">
                  <c:v>0.493315</c:v>
                </c:pt>
                <c:pt idx="1">
                  <c:v>0.97625099999999998</c:v>
                </c:pt>
                <c:pt idx="2">
                  <c:v>1.482999</c:v>
                </c:pt>
                <c:pt idx="3">
                  <c:v>2.0041609999999999</c:v>
                </c:pt>
                <c:pt idx="4">
                  <c:v>2.5078649999999998</c:v>
                </c:pt>
                <c:pt idx="5">
                  <c:v>3.0433089999999998</c:v>
                </c:pt>
                <c:pt idx="6">
                  <c:v>3.5588949999999997</c:v>
                </c:pt>
                <c:pt idx="7">
                  <c:v>4.0671619999999997</c:v>
                </c:pt>
                <c:pt idx="8">
                  <c:v>4.5934489999999997</c:v>
                </c:pt>
                <c:pt idx="9">
                  <c:v>5.1791849999999995</c:v>
                </c:pt>
                <c:pt idx="10">
                  <c:v>5.716386</c:v>
                </c:pt>
                <c:pt idx="11">
                  <c:v>6.2675159999999996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869056"/>
        <c:axId val="293950528"/>
      </c:lineChart>
      <c:catAx>
        <c:axId val="29386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950528"/>
        <c:crosses val="autoZero"/>
        <c:auto val="1"/>
        <c:lblAlgn val="ctr"/>
        <c:lblOffset val="100"/>
        <c:noMultiLvlLbl val="0"/>
      </c:catAx>
      <c:valAx>
        <c:axId val="2939505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86905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3581869871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'37_g'!$AI$64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'37_g'!$AJ$62:$AU$62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'37_g'!$AJ$64:$AU$64</c:f>
              <c:numCache>
                <c:formatCode>#,##0.00_ ;\-#,##0.00\ </c:formatCode>
                <c:ptCount val="12"/>
                <c:pt idx="0">
                  <c:v>0.31797716000000009</c:v>
                </c:pt>
                <c:pt idx="1">
                  <c:v>0.31601012999999989</c:v>
                </c:pt>
                <c:pt idx="2">
                  <c:v>0.28109916999999973</c:v>
                </c:pt>
                <c:pt idx="3">
                  <c:v>0.4092613300000002</c:v>
                </c:pt>
                <c:pt idx="4">
                  <c:v>0.39446807000000006</c:v>
                </c:pt>
                <c:pt idx="5">
                  <c:v>0.29551095999999999</c:v>
                </c:pt>
                <c:pt idx="6">
                  <c:v>0.40257287999999991</c:v>
                </c:pt>
                <c:pt idx="7">
                  <c:v>0.66281065999999988</c:v>
                </c:pt>
                <c:pt idx="8">
                  <c:v>0.47770375999999992</c:v>
                </c:pt>
                <c:pt idx="9">
                  <c:v>7.8721640000000148E-2</c:v>
                </c:pt>
                <c:pt idx="10">
                  <c:v>0.25344887000000005</c:v>
                </c:pt>
                <c:pt idx="11">
                  <c:v>0.45625165000000001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'37_g'!$AI$65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'37_g'!$AJ$62:$AU$62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'37_g'!$AJ$65:$AU$65</c:f>
              <c:numCache>
                <c:formatCode>#,##0.00_ ;\-#,##0.00\ </c:formatCode>
                <c:ptCount val="12"/>
                <c:pt idx="0">
                  <c:v>0.44945200000000002</c:v>
                </c:pt>
                <c:pt idx="1">
                  <c:v>0.50420100000000012</c:v>
                </c:pt>
                <c:pt idx="2">
                  <c:v>0.45868900000000001</c:v>
                </c:pt>
                <c:pt idx="3">
                  <c:v>0.54728799999999989</c:v>
                </c:pt>
                <c:pt idx="4">
                  <c:v>0.5010119999999999</c:v>
                </c:pt>
                <c:pt idx="5">
                  <c:v>0.45810200000000001</c:v>
                </c:pt>
                <c:pt idx="6">
                  <c:v>0.59331600000000007</c:v>
                </c:pt>
                <c:pt idx="7">
                  <c:v>0.73803200000000002</c:v>
                </c:pt>
                <c:pt idx="8">
                  <c:v>0.59454000000000007</c:v>
                </c:pt>
                <c:pt idx="9">
                  <c:v>0.48584999999999989</c:v>
                </c:pt>
                <c:pt idx="10">
                  <c:v>0.43942599999999998</c:v>
                </c:pt>
                <c:pt idx="11">
                  <c:v>0.52453800000000006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'37_g'!$AI$66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'37_g'!$AJ$62:$AU$62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'37_g'!$AJ$66:$AU$66</c:f>
              <c:numCache>
                <c:formatCode>#,##0.00_ ;\-#,##0.00\ </c:formatCode>
                <c:ptCount val="12"/>
                <c:pt idx="0">
                  <c:v>0.43324414</c:v>
                </c:pt>
                <c:pt idx="1">
                  <c:v>0.44439609000000008</c:v>
                </c:pt>
                <c:pt idx="2">
                  <c:v>0.29460818</c:v>
                </c:pt>
                <c:pt idx="3">
                  <c:v>0.47806332000000018</c:v>
                </c:pt>
                <c:pt idx="4">
                  <c:v>0.41806760999999998</c:v>
                </c:pt>
                <c:pt idx="5">
                  <c:v>0.38011813999999999</c:v>
                </c:pt>
                <c:pt idx="6">
                  <c:v>0.57192053999999981</c:v>
                </c:pt>
                <c:pt idx="7">
                  <c:v>0.42454430999999981</c:v>
                </c:pt>
                <c:pt idx="8">
                  <c:v>0.45875386000000018</c:v>
                </c:pt>
                <c:pt idx="9">
                  <c:v>0.35473587999999989</c:v>
                </c:pt>
                <c:pt idx="10">
                  <c:v>0.4559826600000001</c:v>
                </c:pt>
                <c:pt idx="11">
                  <c:v>0.38997303000000005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870080"/>
        <c:axId val="293952832"/>
      </c:lineChart>
      <c:catAx>
        <c:axId val="2938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952832"/>
        <c:crosses val="autoZero"/>
        <c:auto val="1"/>
        <c:lblAlgn val="ctr"/>
        <c:lblOffset val="100"/>
        <c:noMultiLvlLbl val="0"/>
      </c:catAx>
      <c:valAx>
        <c:axId val="2939528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94559770937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87008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76664280596"/>
          <c:y val="2.2161373086791118E-2"/>
          <c:w val="0.4542922333571940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'37_g'!$AJ$85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'37_g'!$AK$85:$AV$85</c:f>
              <c:numCache>
                <c:formatCode>#,##0.00_ ;\-#,##0.00\ </c:formatCode>
                <c:ptCount val="12"/>
                <c:pt idx="0">
                  <c:v>0.31797716000000009</c:v>
                </c:pt>
                <c:pt idx="1">
                  <c:v>0.63398728999999998</c:v>
                </c:pt>
                <c:pt idx="2">
                  <c:v>0.91508645999999971</c:v>
                </c:pt>
                <c:pt idx="3">
                  <c:v>1.32434779</c:v>
                </c:pt>
                <c:pt idx="4">
                  <c:v>1.7188158600000001</c:v>
                </c:pt>
                <c:pt idx="5">
                  <c:v>2.01432682</c:v>
                </c:pt>
                <c:pt idx="6">
                  <c:v>2.4168997000000001</c:v>
                </c:pt>
                <c:pt idx="7">
                  <c:v>3.07971036</c:v>
                </c:pt>
                <c:pt idx="8">
                  <c:v>3.5574141199999998</c:v>
                </c:pt>
                <c:pt idx="9">
                  <c:v>3.6361357600000002</c:v>
                </c:pt>
                <c:pt idx="10">
                  <c:v>3.8895846300000003</c:v>
                </c:pt>
                <c:pt idx="11">
                  <c:v>4.3458362800000003</c:v>
                </c:pt>
              </c:numCache>
            </c:numRef>
          </c:val>
        </c:ser>
        <c:ser>
          <c:idx val="0"/>
          <c:order val="2"/>
          <c:tx>
            <c:strRef>
              <c:f>'37_g'!$AJ$87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'37_g'!$AK$83:$AV$83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'37_g'!$AK$87:$AV$87</c:f>
              <c:numCache>
                <c:formatCode>#,##0.00_ ;\-#,##0.00\ </c:formatCode>
                <c:ptCount val="12"/>
                <c:pt idx="0">
                  <c:v>0.43324414</c:v>
                </c:pt>
                <c:pt idx="1">
                  <c:v>0.87764023000000013</c:v>
                </c:pt>
                <c:pt idx="2">
                  <c:v>1.1722484100000001</c:v>
                </c:pt>
                <c:pt idx="3">
                  <c:v>1.6503117300000003</c:v>
                </c:pt>
                <c:pt idx="4">
                  <c:v>2.0683793400000003</c:v>
                </c:pt>
                <c:pt idx="5">
                  <c:v>2.4484974800000003</c:v>
                </c:pt>
                <c:pt idx="6">
                  <c:v>3.0204180200000001</c:v>
                </c:pt>
                <c:pt idx="7">
                  <c:v>3.4449623300000001</c:v>
                </c:pt>
                <c:pt idx="8">
                  <c:v>3.9037161900000004</c:v>
                </c:pt>
                <c:pt idx="9">
                  <c:v>4.2584520700000006</c:v>
                </c:pt>
                <c:pt idx="10">
                  <c:v>4.7144347300000007</c:v>
                </c:pt>
                <c:pt idx="11">
                  <c:v>5.1044077600000008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93870592"/>
        <c:axId val="294586048"/>
      </c:barChart>
      <c:lineChart>
        <c:grouping val="standard"/>
        <c:varyColors val="0"/>
        <c:ser>
          <c:idx val="3"/>
          <c:order val="1"/>
          <c:tx>
            <c:strRef>
              <c:f>'37_g'!$AJ$86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'37_g'!$AK$83:$AV$83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'37_g'!$AK$86:$AV$86</c:f>
              <c:numCache>
                <c:formatCode>#,##0.00_ ;\-#,##0.00\ </c:formatCode>
                <c:ptCount val="12"/>
                <c:pt idx="0">
                  <c:v>0.44945200000000002</c:v>
                </c:pt>
                <c:pt idx="1">
                  <c:v>0.95365300000000008</c:v>
                </c:pt>
                <c:pt idx="2">
                  <c:v>1.4123420000000002</c:v>
                </c:pt>
                <c:pt idx="3">
                  <c:v>1.9596300000000002</c:v>
                </c:pt>
                <c:pt idx="4">
                  <c:v>2.460642</c:v>
                </c:pt>
                <c:pt idx="5">
                  <c:v>2.9187440000000002</c:v>
                </c:pt>
                <c:pt idx="6">
                  <c:v>3.5120600000000004</c:v>
                </c:pt>
                <c:pt idx="7">
                  <c:v>4.2500920000000004</c:v>
                </c:pt>
                <c:pt idx="8">
                  <c:v>4.8446320000000007</c:v>
                </c:pt>
                <c:pt idx="9">
                  <c:v>5.3304820000000008</c:v>
                </c:pt>
                <c:pt idx="10">
                  <c:v>5.7699080000000009</c:v>
                </c:pt>
                <c:pt idx="11">
                  <c:v>6.2944460000000007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870592"/>
        <c:axId val="294586048"/>
      </c:lineChart>
      <c:catAx>
        <c:axId val="29387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4586048"/>
        <c:crosses val="autoZero"/>
        <c:auto val="1"/>
        <c:lblAlgn val="ctr"/>
        <c:lblOffset val="100"/>
        <c:noMultiLvlLbl val="0"/>
      </c:catAx>
      <c:valAx>
        <c:axId val="2945860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722960450199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938705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0896327331408828"/>
          <c:y val="2.2161373086791118E-2"/>
          <c:w val="1"/>
          <c:h val="9.121767082485475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'37_g'!$T$21:$U$21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'37_g'!$V$20:$AC$20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'37_g'!$V$21:$AC$21</c:f>
              <c:numCache>
                <c:formatCode>#,##0</c:formatCode>
                <c:ptCount val="8"/>
                <c:pt idx="0">
                  <c:v>26.626882966396295</c:v>
                </c:pt>
                <c:pt idx="1">
                  <c:v>47</c:v>
                </c:pt>
                <c:pt idx="2">
                  <c:v>94.377752027809962</c:v>
                </c:pt>
                <c:pt idx="3">
                  <c:v>85</c:v>
                </c:pt>
                <c:pt idx="4">
                  <c:v>148.63151796060254</c:v>
                </c:pt>
                <c:pt idx="5">
                  <c:v>150</c:v>
                </c:pt>
                <c:pt idx="6">
                  <c:v>176</c:v>
                </c:pt>
                <c:pt idx="7">
                  <c:v>179</c:v>
                </c:pt>
              </c:numCache>
            </c:numRef>
          </c:val>
        </c:ser>
        <c:ser>
          <c:idx val="0"/>
          <c:order val="1"/>
          <c:tx>
            <c:strRef>
              <c:f>'37_g'!$T$22:$U$22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'37_g'!$V$20:$AC$20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'37_g'!$V$22:$AC$22</c:f>
              <c:numCache>
                <c:formatCode>#,##0</c:formatCode>
                <c:ptCount val="8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93871104"/>
        <c:axId val="294588352"/>
      </c:barChart>
      <c:catAx>
        <c:axId val="29387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294588352"/>
        <c:crosses val="autoZero"/>
        <c:auto val="1"/>
        <c:lblAlgn val="ctr"/>
        <c:lblOffset val="100"/>
        <c:noMultiLvlLbl val="0"/>
      </c:catAx>
      <c:valAx>
        <c:axId val="294588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93871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'12_g'!$S$64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'12_g'!$T$62:$AE$62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'12_g'!$T$64:$AE$64</c:f>
              <c:numCache>
                <c:formatCode>#,##0.00_ ;\-#,##0.00\ </c:formatCode>
                <c:ptCount val="12"/>
                <c:pt idx="0">
                  <c:v>0.69987651000000017</c:v>
                </c:pt>
                <c:pt idx="1">
                  <c:v>0.60691975999999992</c:v>
                </c:pt>
                <c:pt idx="2">
                  <c:v>0.62239031</c:v>
                </c:pt>
                <c:pt idx="3">
                  <c:v>0.63538026999999997</c:v>
                </c:pt>
                <c:pt idx="4">
                  <c:v>0.67113446000000021</c:v>
                </c:pt>
                <c:pt idx="5">
                  <c:v>0.62425334999999993</c:v>
                </c:pt>
                <c:pt idx="6">
                  <c:v>0.59724416999999996</c:v>
                </c:pt>
                <c:pt idx="7">
                  <c:v>0.62657979999999991</c:v>
                </c:pt>
                <c:pt idx="8">
                  <c:v>0.6911992600000002</c:v>
                </c:pt>
                <c:pt idx="9">
                  <c:v>0.59013888000000003</c:v>
                </c:pt>
                <c:pt idx="10">
                  <c:v>0.70407383999999995</c:v>
                </c:pt>
                <c:pt idx="11">
                  <c:v>0.61678058000000002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'12_g'!$S$65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'12_g'!$T$62:$AE$62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'12_g'!$T$65:$AE$65</c:f>
              <c:numCache>
                <c:formatCode>#,##0.00_ ;\-#,##0.00\ </c:formatCode>
                <c:ptCount val="12"/>
                <c:pt idx="0">
                  <c:v>0.65205400000000002</c:v>
                </c:pt>
                <c:pt idx="1">
                  <c:v>0.61351199999999995</c:v>
                </c:pt>
                <c:pt idx="2">
                  <c:v>0.62990800000000002</c:v>
                </c:pt>
                <c:pt idx="3">
                  <c:v>0.66400199999999998</c:v>
                </c:pt>
                <c:pt idx="4">
                  <c:v>0.64402400000000004</c:v>
                </c:pt>
                <c:pt idx="5">
                  <c:v>0.64905800000000002</c:v>
                </c:pt>
                <c:pt idx="6">
                  <c:v>0.62721300000000002</c:v>
                </c:pt>
                <c:pt idx="7">
                  <c:v>0.66271500000000005</c:v>
                </c:pt>
                <c:pt idx="8">
                  <c:v>0.71152899999999997</c:v>
                </c:pt>
                <c:pt idx="9">
                  <c:v>0.64721200000000001</c:v>
                </c:pt>
                <c:pt idx="10">
                  <c:v>0.68115800000000004</c:v>
                </c:pt>
                <c:pt idx="11">
                  <c:v>0.70391300000000001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'12_g'!$S$66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'12_g'!$T$62:$AE$62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'12_g'!$T$66:$AE$66</c:f>
              <c:numCache>
                <c:formatCode>#,##0.00_ ;\-#,##0.00\ </c:formatCode>
                <c:ptCount val="12"/>
                <c:pt idx="0">
                  <c:v>0.62415346999999999</c:v>
                </c:pt>
                <c:pt idx="1">
                  <c:v>0.59669557000000006</c:v>
                </c:pt>
                <c:pt idx="2">
                  <c:v>0.75084705000000018</c:v>
                </c:pt>
                <c:pt idx="3">
                  <c:v>0.51927781000000006</c:v>
                </c:pt>
                <c:pt idx="4">
                  <c:v>0.55640186999999997</c:v>
                </c:pt>
                <c:pt idx="5">
                  <c:v>0.65780601999999999</c:v>
                </c:pt>
                <c:pt idx="6">
                  <c:v>0.60142024999999999</c:v>
                </c:pt>
                <c:pt idx="7">
                  <c:v>0.6722536899999999</c:v>
                </c:pt>
                <c:pt idx="8">
                  <c:v>0.63715807000000002</c:v>
                </c:pt>
                <c:pt idx="9">
                  <c:v>0.68052615000000016</c:v>
                </c:pt>
                <c:pt idx="10">
                  <c:v>0.67011272999999993</c:v>
                </c:pt>
                <c:pt idx="11">
                  <c:v>0.71643321000000026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52768"/>
        <c:axId val="202616768"/>
      </c:lineChart>
      <c:catAx>
        <c:axId val="1747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02616768"/>
        <c:crosses val="autoZero"/>
        <c:auto val="1"/>
        <c:lblAlgn val="ctr"/>
        <c:lblOffset val="100"/>
        <c:noMultiLvlLbl val="0"/>
      </c:catAx>
      <c:valAx>
        <c:axId val="2026167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47527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 - 2560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(ภาพรวม!$A$9,ภาพรวม!$A$13,ภาพรวม!$A$17)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(ภาพรวม!$J$9,ภาพรวม!$J$13,ภาพรวม!$J$17)</c:f>
              <c:numCache>
                <c:formatCode>_(* #,##0.00_);_(* \(#,##0.00\);_(* "-"??_);_(@_)</c:formatCode>
                <c:ptCount val="3"/>
                <c:pt idx="0">
                  <c:v>686.29284773999996</c:v>
                </c:pt>
                <c:pt idx="1">
                  <c:v>555.07553865000011</c:v>
                </c:pt>
                <c:pt idx="2">
                  <c:v>486.17767944000002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'12_g'!$T$85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'12_g'!$U$85:$AF$85</c:f>
              <c:numCache>
                <c:formatCode>#,##0.00_ ;\-#,##0.00\ </c:formatCode>
                <c:ptCount val="12"/>
                <c:pt idx="0">
                  <c:v>0.69987651000000017</c:v>
                </c:pt>
                <c:pt idx="1">
                  <c:v>1.30679627</c:v>
                </c:pt>
                <c:pt idx="2">
                  <c:v>1.9291865800000001</c:v>
                </c:pt>
                <c:pt idx="3">
                  <c:v>2.5645668500000003</c:v>
                </c:pt>
                <c:pt idx="4">
                  <c:v>3.2357013100000005</c:v>
                </c:pt>
                <c:pt idx="5">
                  <c:v>3.8599546600000005</c:v>
                </c:pt>
                <c:pt idx="6">
                  <c:v>4.4571988300000003</c:v>
                </c:pt>
                <c:pt idx="7">
                  <c:v>5.0837786300000003</c:v>
                </c:pt>
                <c:pt idx="8">
                  <c:v>5.7749778900000006</c:v>
                </c:pt>
                <c:pt idx="9">
                  <c:v>6.3651167700000002</c:v>
                </c:pt>
                <c:pt idx="10">
                  <c:v>7.0691906099999997</c:v>
                </c:pt>
                <c:pt idx="11">
                  <c:v>7.6859711900000001</c:v>
                </c:pt>
              </c:numCache>
            </c:numRef>
          </c:val>
        </c:ser>
        <c:ser>
          <c:idx val="0"/>
          <c:order val="2"/>
          <c:tx>
            <c:strRef>
              <c:f>'12_g'!$T$87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'12_g'!$U$87:$AF$87</c:f>
              <c:numCache>
                <c:formatCode>#,##0.00_ ;\-#,##0.00\ </c:formatCode>
                <c:ptCount val="12"/>
                <c:pt idx="0">
                  <c:v>0.62415346999999999</c:v>
                </c:pt>
                <c:pt idx="1">
                  <c:v>1.2208490400000001</c:v>
                </c:pt>
                <c:pt idx="2">
                  <c:v>1.9716960900000002</c:v>
                </c:pt>
                <c:pt idx="3">
                  <c:v>2.4909739000000002</c:v>
                </c:pt>
                <c:pt idx="4">
                  <c:v>3.0473757700000004</c:v>
                </c:pt>
                <c:pt idx="5">
                  <c:v>3.7051817900000001</c:v>
                </c:pt>
                <c:pt idx="6">
                  <c:v>4.3066020400000005</c:v>
                </c:pt>
                <c:pt idx="7">
                  <c:v>4.9788557300000003</c:v>
                </c:pt>
                <c:pt idx="8">
                  <c:v>5.6160138000000002</c:v>
                </c:pt>
                <c:pt idx="9">
                  <c:v>6.2965399500000006</c:v>
                </c:pt>
                <c:pt idx="10">
                  <c:v>6.9666526800000002</c:v>
                </c:pt>
                <c:pt idx="11">
                  <c:v>7.6830858900000001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02703360"/>
        <c:axId val="202619072"/>
      </c:barChart>
      <c:lineChart>
        <c:grouping val="standard"/>
        <c:varyColors val="0"/>
        <c:ser>
          <c:idx val="3"/>
          <c:order val="1"/>
          <c:tx>
            <c:strRef>
              <c:f>'12_g'!$T$86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'12_g'!$U$83:$AF$83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'12_g'!$U$86:$AF$86</c:f>
              <c:numCache>
                <c:formatCode>#,##0.00_ ;\-#,##0.00\ </c:formatCode>
                <c:ptCount val="12"/>
                <c:pt idx="0">
                  <c:v>0.65205400000000002</c:v>
                </c:pt>
                <c:pt idx="1">
                  <c:v>1.265566</c:v>
                </c:pt>
                <c:pt idx="2">
                  <c:v>1.8954740000000001</c:v>
                </c:pt>
                <c:pt idx="3">
                  <c:v>2.5594760000000001</c:v>
                </c:pt>
                <c:pt idx="4">
                  <c:v>3.2035</c:v>
                </c:pt>
                <c:pt idx="5">
                  <c:v>3.8525580000000001</c:v>
                </c:pt>
                <c:pt idx="6">
                  <c:v>4.4797710000000004</c:v>
                </c:pt>
                <c:pt idx="7">
                  <c:v>5.1424860000000008</c:v>
                </c:pt>
                <c:pt idx="8">
                  <c:v>5.8540150000000004</c:v>
                </c:pt>
                <c:pt idx="9">
                  <c:v>6.5012270000000001</c:v>
                </c:pt>
                <c:pt idx="10">
                  <c:v>7.182385</c:v>
                </c:pt>
                <c:pt idx="11">
                  <c:v>7.886298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03360"/>
        <c:axId val="202619072"/>
      </c:lineChart>
      <c:catAx>
        <c:axId val="20270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02619072"/>
        <c:crosses val="autoZero"/>
        <c:auto val="1"/>
        <c:lblAlgn val="ctr"/>
        <c:lblOffset val="100"/>
        <c:noMultiLvlLbl val="0"/>
      </c:catAx>
      <c:valAx>
        <c:axId val="2026190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027033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'12_g'!$AI$64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'12_g'!$AJ$62:$AU$62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'12_g'!$AJ$64:$AU$64</c:f>
              <c:numCache>
                <c:formatCode>#,##0.00_ ;\-#,##0.00\ </c:formatCode>
                <c:ptCount val="12"/>
                <c:pt idx="0">
                  <c:v>0.17419877999999989</c:v>
                </c:pt>
                <c:pt idx="1">
                  <c:v>0.22588955000000011</c:v>
                </c:pt>
                <c:pt idx="2">
                  <c:v>0.23659584999999994</c:v>
                </c:pt>
                <c:pt idx="3">
                  <c:v>0.31861996999999986</c:v>
                </c:pt>
                <c:pt idx="4">
                  <c:v>0.19467140999999977</c:v>
                </c:pt>
                <c:pt idx="5">
                  <c:v>0.19030195999999999</c:v>
                </c:pt>
                <c:pt idx="6">
                  <c:v>0.53083111000000005</c:v>
                </c:pt>
                <c:pt idx="7">
                  <c:v>0.56777856000000015</c:v>
                </c:pt>
                <c:pt idx="8">
                  <c:v>0.3930798799999996</c:v>
                </c:pt>
                <c:pt idx="9">
                  <c:v>0.31447507999999991</c:v>
                </c:pt>
                <c:pt idx="10">
                  <c:v>0.1887950100000001</c:v>
                </c:pt>
                <c:pt idx="11">
                  <c:v>0.3269325500000001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'12_g'!$AI$65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'12_g'!$AJ$62:$AU$62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'12_g'!$AJ$65:$AU$65</c:f>
              <c:numCache>
                <c:formatCode>#,##0.00_ ;\-#,##0.00\ </c:formatCode>
                <c:ptCount val="12"/>
                <c:pt idx="0">
                  <c:v>0.19960599999999995</c:v>
                </c:pt>
                <c:pt idx="1">
                  <c:v>0.22491900000000009</c:v>
                </c:pt>
                <c:pt idx="2">
                  <c:v>0.20130399999999993</c:v>
                </c:pt>
                <c:pt idx="3">
                  <c:v>0.24904999999999999</c:v>
                </c:pt>
                <c:pt idx="4">
                  <c:v>0.22301399999999993</c:v>
                </c:pt>
                <c:pt idx="5">
                  <c:v>0.26854299999999998</c:v>
                </c:pt>
                <c:pt idx="6">
                  <c:v>0.40694900000000001</c:v>
                </c:pt>
                <c:pt idx="7">
                  <c:v>0.40555599999999992</c:v>
                </c:pt>
                <c:pt idx="8">
                  <c:v>0.29475600000000013</c:v>
                </c:pt>
                <c:pt idx="9">
                  <c:v>0.250274</c:v>
                </c:pt>
                <c:pt idx="10">
                  <c:v>0.22436599999999995</c:v>
                </c:pt>
                <c:pt idx="11">
                  <c:v>0.211924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'12_g'!$AI$66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'12_g'!$AJ$62:$AU$62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'12_g'!$AJ$66:$AU$66</c:f>
              <c:numCache>
                <c:formatCode>#,##0.00_ ;\-#,##0.00\ </c:formatCode>
                <c:ptCount val="12"/>
                <c:pt idx="0">
                  <c:v>0.20727976000000004</c:v>
                </c:pt>
                <c:pt idx="1">
                  <c:v>0.32367376000000003</c:v>
                </c:pt>
                <c:pt idx="2">
                  <c:v>0.14475291999999995</c:v>
                </c:pt>
                <c:pt idx="3">
                  <c:v>0.43317565000000002</c:v>
                </c:pt>
                <c:pt idx="4">
                  <c:v>0.38644474000000006</c:v>
                </c:pt>
                <c:pt idx="5">
                  <c:v>0.28536969000000012</c:v>
                </c:pt>
                <c:pt idx="6">
                  <c:v>0.52954653999999979</c:v>
                </c:pt>
                <c:pt idx="7">
                  <c:v>0.3787347900000001</c:v>
                </c:pt>
                <c:pt idx="8">
                  <c:v>0.31930049999999977</c:v>
                </c:pt>
                <c:pt idx="9">
                  <c:v>0.27569121999999979</c:v>
                </c:pt>
                <c:pt idx="10">
                  <c:v>0.26210263999999994</c:v>
                </c:pt>
                <c:pt idx="11">
                  <c:v>0.23363062999999995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04384"/>
        <c:axId val="222872128"/>
      </c:lineChart>
      <c:catAx>
        <c:axId val="2027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22872128"/>
        <c:crosses val="autoZero"/>
        <c:auto val="1"/>
        <c:lblAlgn val="ctr"/>
        <c:lblOffset val="100"/>
        <c:noMultiLvlLbl val="0"/>
      </c:catAx>
      <c:valAx>
        <c:axId val="2228721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83903210729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027043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3446589721"/>
          <c:y val="2.2161373086791118E-2"/>
          <c:w val="0.4542921655341027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'12_g'!$AJ$85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'12_g'!$AK$85:$AV$85</c:f>
              <c:numCache>
                <c:formatCode>#,##0.00_ ;\-#,##0.00\ </c:formatCode>
                <c:ptCount val="12"/>
                <c:pt idx="0">
                  <c:v>0.17419877999999989</c:v>
                </c:pt>
                <c:pt idx="1">
                  <c:v>0.40008832999999999</c:v>
                </c:pt>
                <c:pt idx="2">
                  <c:v>0.63668417999999993</c:v>
                </c:pt>
                <c:pt idx="3">
                  <c:v>0.9553041499999998</c:v>
                </c:pt>
                <c:pt idx="4">
                  <c:v>1.1499755599999997</c:v>
                </c:pt>
                <c:pt idx="5">
                  <c:v>1.3402775199999997</c:v>
                </c:pt>
                <c:pt idx="6">
                  <c:v>1.8711086299999997</c:v>
                </c:pt>
                <c:pt idx="7">
                  <c:v>2.43888719</c:v>
                </c:pt>
                <c:pt idx="8">
                  <c:v>2.8319670699999997</c:v>
                </c:pt>
                <c:pt idx="9">
                  <c:v>3.1464421499999995</c:v>
                </c:pt>
                <c:pt idx="10">
                  <c:v>3.3352371599999997</c:v>
                </c:pt>
                <c:pt idx="11">
                  <c:v>3.6621697099999997</c:v>
                </c:pt>
              </c:numCache>
            </c:numRef>
          </c:val>
        </c:ser>
        <c:ser>
          <c:idx val="0"/>
          <c:order val="2"/>
          <c:tx>
            <c:strRef>
              <c:f>'12_g'!$AJ$87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'12_g'!$AK$83:$AV$83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'12_g'!$AK$87:$AV$87</c:f>
              <c:numCache>
                <c:formatCode>#,##0.00_ ;\-#,##0.00\ </c:formatCode>
                <c:ptCount val="12"/>
                <c:pt idx="0">
                  <c:v>0.20727976000000004</c:v>
                </c:pt>
                <c:pt idx="1">
                  <c:v>0.53095352000000007</c:v>
                </c:pt>
                <c:pt idx="2">
                  <c:v>0.67570644000000002</c:v>
                </c:pt>
                <c:pt idx="3">
                  <c:v>1.10888209</c:v>
                </c:pt>
                <c:pt idx="4">
                  <c:v>1.4953268300000002</c:v>
                </c:pt>
                <c:pt idx="5">
                  <c:v>1.7806965200000002</c:v>
                </c:pt>
                <c:pt idx="6">
                  <c:v>2.3102430599999999</c:v>
                </c:pt>
                <c:pt idx="7">
                  <c:v>2.6889778500000001</c:v>
                </c:pt>
                <c:pt idx="8">
                  <c:v>3.0082783499999999</c:v>
                </c:pt>
                <c:pt idx="9">
                  <c:v>3.2839695699999996</c:v>
                </c:pt>
                <c:pt idx="10">
                  <c:v>3.5460722099999993</c:v>
                </c:pt>
                <c:pt idx="11">
                  <c:v>3.7797028399999992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02704896"/>
        <c:axId val="222874432"/>
      </c:barChart>
      <c:lineChart>
        <c:grouping val="standard"/>
        <c:varyColors val="0"/>
        <c:ser>
          <c:idx val="3"/>
          <c:order val="1"/>
          <c:tx>
            <c:strRef>
              <c:f>'12_g'!$AJ$86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'12_g'!$AK$83:$AV$83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'12_g'!$AK$86:$AV$86</c:f>
              <c:numCache>
                <c:formatCode>#,##0.00_ ;\-#,##0.00\ </c:formatCode>
                <c:ptCount val="12"/>
                <c:pt idx="0">
                  <c:v>0.19960599999999995</c:v>
                </c:pt>
                <c:pt idx="1">
                  <c:v>0.42452500000000004</c:v>
                </c:pt>
                <c:pt idx="2">
                  <c:v>0.62582899999999997</c:v>
                </c:pt>
                <c:pt idx="3">
                  <c:v>0.87487899999999996</c:v>
                </c:pt>
                <c:pt idx="4">
                  <c:v>1.097893</c:v>
                </c:pt>
                <c:pt idx="5">
                  <c:v>1.366436</c:v>
                </c:pt>
                <c:pt idx="6">
                  <c:v>1.773385</c:v>
                </c:pt>
                <c:pt idx="7">
                  <c:v>2.178941</c:v>
                </c:pt>
                <c:pt idx="8">
                  <c:v>2.473697</c:v>
                </c:pt>
                <c:pt idx="9">
                  <c:v>2.7239710000000001</c:v>
                </c:pt>
                <c:pt idx="10">
                  <c:v>2.948337</c:v>
                </c:pt>
                <c:pt idx="11">
                  <c:v>3.1602610000000002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04896"/>
        <c:axId val="222874432"/>
      </c:lineChart>
      <c:catAx>
        <c:axId val="20270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22874432"/>
        <c:crosses val="autoZero"/>
        <c:auto val="1"/>
        <c:lblAlgn val="ctr"/>
        <c:lblOffset val="100"/>
        <c:noMultiLvlLbl val="0"/>
      </c:catAx>
      <c:valAx>
        <c:axId val="2228744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20771160511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027048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1820884267"/>
          <c:y val="2.2161373086791118E-2"/>
          <c:w val="0.3910368179115731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'12_g'!$T$21:$U$21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'12_g'!$V$21:$AC$21</c:f>
              <c:numCache>
                <c:formatCode>#,##0</c:formatCode>
                <c:ptCount val="8"/>
                <c:pt idx="0">
                  <c:v>16.081632653061227</c:v>
                </c:pt>
                <c:pt idx="1">
                  <c:v>34</c:v>
                </c:pt>
                <c:pt idx="2">
                  <c:v>57.79591836734695</c:v>
                </c:pt>
                <c:pt idx="3">
                  <c:v>83</c:v>
                </c:pt>
                <c:pt idx="4">
                  <c:v>87.142857142857153</c:v>
                </c:pt>
                <c:pt idx="5">
                  <c:v>100</c:v>
                </c:pt>
                <c:pt idx="6">
                  <c:v>101.00000000000003</c:v>
                </c:pt>
                <c:pt idx="7">
                  <c:v>122</c:v>
                </c:pt>
              </c:numCache>
            </c:numRef>
          </c:val>
        </c:ser>
        <c:ser>
          <c:idx val="0"/>
          <c:order val="1"/>
          <c:tx>
            <c:strRef>
              <c:f>'12_g'!$T$22:$U$22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'12_g'!$V$22:$AC$22</c:f>
              <c:numCache>
                <c:formatCode>#,##0</c:formatCode>
                <c:ptCount val="8"/>
                <c:pt idx="0">
                  <c:v>3</c:v>
                </c:pt>
                <c:pt idx="1">
                  <c:v>0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10</c:v>
                </c:pt>
                <c:pt idx="6">
                  <c:v>18</c:v>
                </c:pt>
                <c:pt idx="7">
                  <c:v>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2705920"/>
        <c:axId val="222876736"/>
      </c:barChart>
      <c:catAx>
        <c:axId val="20270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222876736"/>
        <c:crosses val="autoZero"/>
        <c:auto val="1"/>
        <c:lblAlgn val="ctr"/>
        <c:lblOffset val="100"/>
        <c:noMultiLvlLbl val="0"/>
      </c:catAx>
      <c:valAx>
        <c:axId val="22287673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0270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('13'!$A$9,'13'!$A$13,'13'!$A$17)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('13'!$B$9,'13'!$B$13,'13'!$B$17)</c:f>
              <c:numCache>
                <c:formatCode>_-* #,##0_-;\-* #,##0_-;_-* "-"??_-;_-@_-</c:formatCode>
                <c:ptCount val="3"/>
                <c:pt idx="0">
                  <c:v>12902</c:v>
                </c:pt>
                <c:pt idx="1">
                  <c:v>1624</c:v>
                </c:pt>
                <c:pt idx="2">
                  <c:v>662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('13'!$A$9,'13'!$A$13,'13'!$A$17)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('13'!$G$9,'13'!$G$13,'13'!$G$17)</c:f>
              <c:numCache>
                <c:formatCode>_-* #,##0_-;\-* #,##0_-;_-* "-"??_-;_-@_-</c:formatCode>
                <c:ptCount val="3"/>
                <c:pt idx="0">
                  <c:v>13852</c:v>
                </c:pt>
                <c:pt idx="1">
                  <c:v>1681</c:v>
                </c:pt>
                <c:pt idx="2">
                  <c:v>649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('13'!$A$9,'13'!$A$13,'13'!$A$17)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('13'!$C$9,'13'!$C$13,'13'!$C$17)</c:f>
              <c:numCache>
                <c:formatCode>_(* #,##0.00_);_(* \(#,##0.00\);_(* "-"??_);_(@_)</c:formatCode>
                <c:ptCount val="3"/>
                <c:pt idx="0">
                  <c:v>2.0314920000000001</c:v>
                </c:pt>
                <c:pt idx="1">
                  <c:v>0.43208299999999999</c:v>
                </c:pt>
                <c:pt idx="2">
                  <c:v>0.30804999999999999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('13'!$A$9,'13'!$A$13,'13'!$A$17)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('13'!$H$9,'13'!$H$13,'13'!$H$17)</c:f>
              <c:numCache>
                <c:formatCode>_(* #,##0.00_);_(* \(#,##0.00\);_(* "-"??_);_(@_)</c:formatCode>
                <c:ptCount val="3"/>
                <c:pt idx="0">
                  <c:v>2.075418</c:v>
                </c:pt>
                <c:pt idx="1">
                  <c:v>0.43781399999999998</c:v>
                </c:pt>
                <c:pt idx="2">
                  <c:v>0.31371900000000003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('13'!$A$9,'13'!$A$13,'13'!$A$17)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('13'!$E$9,'13'!$E$13,'13'!$E$17)</c:f>
              <c:numCache>
                <c:formatCode>_(* #,##0.00_);_(* \(#,##0.00\);_(* "-"??_);_(@_)</c:formatCode>
                <c:ptCount val="3"/>
                <c:pt idx="0">
                  <c:v>27.965824299999998</c:v>
                </c:pt>
                <c:pt idx="1">
                  <c:v>8.8772710500000009</c:v>
                </c:pt>
                <c:pt idx="2">
                  <c:v>8.6356471999999993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('13'!$A$9,'13'!$A$13,'13'!$A$17)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('13'!$J$9,'13'!$J$13,'13'!$J$17)</c:f>
              <c:numCache>
                <c:formatCode>_(* #,##0.00_);_(* \(#,##0.00\);_(* "-"??_);_(@_)</c:formatCode>
                <c:ptCount val="3"/>
                <c:pt idx="0">
                  <c:v>28.170469659999995</c:v>
                </c:pt>
                <c:pt idx="1">
                  <c:v>9.038216460000001</c:v>
                </c:pt>
                <c:pt idx="2">
                  <c:v>8.7950543500000009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อัตราการใช้น้ำ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(ภาพรวม!$A$9,ภาพรวม!$A$13,ภาพรวม!$A$17,ภาพรวม!$A$20)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(ภาพรวม!$D$9,ภาพรวม!$D$13,ภาพรวม!$D$17,ภาพรวม!$D$20)</c:f>
              <c:numCache>
                <c:formatCode>_-* #,##0.000_-;\-* #,##0.000_-;_-* "-"??_-;_-@_-</c:formatCode>
                <c:ptCount val="4"/>
                <c:pt idx="0">
                  <c:v>0.47321119160548153</c:v>
                </c:pt>
                <c:pt idx="1">
                  <c:v>1.2328658818925962</c:v>
                </c:pt>
                <c:pt idx="2">
                  <c:v>2.1041564117295026</c:v>
                </c:pt>
                <c:pt idx="3">
                  <c:v>0.69454176007409196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dLbl>
              <c:idx val="0"/>
              <c:layout>
                <c:manualLayout>
                  <c:x val="1.9105821239091488E-2"/>
                  <c:y val="-8.418774710764547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494048893977925E-2"/>
                  <c:y val="1.836844792400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105821239091488E-2"/>
                  <c:y val="1.3776335943002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6270504203750798E-2"/>
                  <c:y val="9.18422396200190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(ภาพรวม!$A$9,ภาพรวม!$A$13,ภาพรวม!$A$17,ภาพรวม!$A$20)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(ภาพรวม!$I$9,ภาพรวม!$I$13,ภาพรวม!$I$17,ภาพรวม!$I$20)</c:f>
              <c:numCache>
                <c:formatCode>_-* #,##0.000_-;\-* #,##0.000_-;_-* "-"??_-;_-@_-</c:formatCode>
                <c:ptCount val="4"/>
                <c:pt idx="0">
                  <c:v>0.4585327805324444</c:v>
                </c:pt>
                <c:pt idx="1">
                  <c:v>1.2159065476781608</c:v>
                </c:pt>
                <c:pt idx="2">
                  <c:v>2.1087899643453731</c:v>
                </c:pt>
                <c:pt idx="3">
                  <c:v>0.67603402175295801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68545792"/>
        <c:axId val="169497664"/>
      </c:barChart>
      <c:catAx>
        <c:axId val="16854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9497664"/>
        <c:crosses val="autoZero"/>
        <c:auto val="1"/>
        <c:lblAlgn val="ctr"/>
        <c:lblOffset val="100"/>
        <c:noMultiLvlLbl val="0"/>
      </c:catAx>
      <c:valAx>
        <c:axId val="1694976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43981089585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8545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704311808894064"/>
          <c:y val="1.305774278215223E-3"/>
          <c:w val="9.8336926951068215E-2"/>
          <c:h val="0.1739180519101779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('13'!$A$9,'13'!$A$13,'13'!$A$17,'13'!$A$20)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('13'!$D$9,'13'!$D$13,'13'!$D$17,'13'!$D$20)</c:f>
              <c:numCache>
                <c:formatCode>_-* #,##0.000_-;\-* #,##0.000_-;_-* "-"??_-;_-@_-</c:formatCode>
                <c:ptCount val="4"/>
                <c:pt idx="0">
                  <c:v>0.45092210215096129</c:v>
                </c:pt>
                <c:pt idx="1">
                  <c:v>0.75472683525399453</c:v>
                </c:pt>
                <c:pt idx="2">
                  <c:v>1.2739209097958129</c:v>
                </c:pt>
                <c:pt idx="3">
                  <c:v>0.52103013247460761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('13'!$A$9,'13'!$A$13,'13'!$A$17,'13'!$A$20)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('13'!$I$9,'13'!$I$13,'13'!$I$17,'13'!$I$20)</c:f>
              <c:numCache>
                <c:formatCode>_-* #,##0.000_-;\-* #,##0.000_-;_-* "-"??_-;_-@_-</c:formatCode>
                <c:ptCount val="4"/>
                <c:pt idx="0">
                  <c:v>0.42506366990571631</c:v>
                </c:pt>
                <c:pt idx="1">
                  <c:v>0.72586409135183316</c:v>
                </c:pt>
                <c:pt idx="2">
                  <c:v>1.3112190840412525</c:v>
                </c:pt>
                <c:pt idx="3">
                  <c:v>0.49378841140431706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32287232"/>
        <c:axId val="173896768"/>
      </c:barChart>
      <c:catAx>
        <c:axId val="23228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896768"/>
        <c:crosses val="autoZero"/>
        <c:auto val="1"/>
        <c:lblAlgn val="ctr"/>
        <c:lblOffset val="100"/>
        <c:noMultiLvlLbl val="0"/>
      </c:catAx>
      <c:valAx>
        <c:axId val="1738967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287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('13'!$A$9,'13'!$A$13,'13'!$A$17,'13'!$A$20)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('13'!$F$9,'13'!$F$13,'13'!$F$17,'13'!$F$20)</c:f>
              <c:numCache>
                <c:formatCode>_(* #,##0.00_);_(* \(#,##0.00\);_(* "-"??_);_(@_)</c:formatCode>
                <c:ptCount val="4"/>
                <c:pt idx="0">
                  <c:v>13.766150346641776</c:v>
                </c:pt>
                <c:pt idx="1">
                  <c:v>20.545291182481147</c:v>
                </c:pt>
                <c:pt idx="2">
                  <c:v>28.033264729751661</c:v>
                </c:pt>
                <c:pt idx="3">
                  <c:v>16.408692572047087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('13'!$A$9,'13'!$A$13,'13'!$A$17,'13'!$A$20)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('13'!$K$9,'13'!$K$13,'13'!$K$17,'13'!$K$20)</c:f>
              <c:numCache>
                <c:formatCode>_(* #,##0.00_);_(* \(#,##0.00\);_(* "-"??_);_(@_)</c:formatCode>
                <c:ptCount val="4"/>
                <c:pt idx="0">
                  <c:v>13.573395653309355</c:v>
                </c:pt>
                <c:pt idx="1">
                  <c:v>20.643964012114736</c:v>
                </c:pt>
                <c:pt idx="2">
                  <c:v>28.034815710875019</c:v>
                </c:pt>
                <c:pt idx="3">
                  <c:v>16.273271262926027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32287744"/>
        <c:axId val="173898496"/>
      </c:barChart>
      <c:catAx>
        <c:axId val="2322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73898496"/>
        <c:crosses val="autoZero"/>
        <c:auto val="1"/>
        <c:lblAlgn val="ctr"/>
        <c:lblOffset val="100"/>
        <c:noMultiLvlLbl val="0"/>
      </c:catAx>
      <c:valAx>
        <c:axId val="1738984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2877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'13_g'!$A$18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'13_g'!$B$16:$M$16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'13_g'!$B$18:$M$18</c:f>
              <c:numCache>
                <c:formatCode>#,##0_ ;\-#,##0\ </c:formatCode>
                <c:ptCount val="12"/>
                <c:pt idx="0">
                  <c:v>137</c:v>
                </c:pt>
                <c:pt idx="1">
                  <c:v>75</c:v>
                </c:pt>
                <c:pt idx="2">
                  <c:v>57</c:v>
                </c:pt>
                <c:pt idx="3">
                  <c:v>75</c:v>
                </c:pt>
                <c:pt idx="4">
                  <c:v>155</c:v>
                </c:pt>
                <c:pt idx="5">
                  <c:v>137</c:v>
                </c:pt>
                <c:pt idx="6">
                  <c:v>57</c:v>
                </c:pt>
                <c:pt idx="7">
                  <c:v>197</c:v>
                </c:pt>
                <c:pt idx="8">
                  <c:v>173</c:v>
                </c:pt>
                <c:pt idx="9">
                  <c:v>113</c:v>
                </c:pt>
                <c:pt idx="10">
                  <c:v>96</c:v>
                </c:pt>
                <c:pt idx="11">
                  <c:v>112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'13_g'!$A$19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'13_g'!$B$16:$M$16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'13_g'!$B$19:$M$19</c:f>
              <c:numCache>
                <c:formatCode>#,##0_ ;\-#,##0\ </c:formatCode>
                <c:ptCount val="12"/>
                <c:pt idx="0">
                  <c:v>121.56397660818715</c:v>
                </c:pt>
                <c:pt idx="1">
                  <c:v>97.498011695906428</c:v>
                </c:pt>
                <c:pt idx="2">
                  <c:v>98.115087719298259</c:v>
                </c:pt>
                <c:pt idx="3">
                  <c:v>79.911345029239754</c:v>
                </c:pt>
                <c:pt idx="4">
                  <c:v>126.50058479532163</c:v>
                </c:pt>
                <c:pt idx="5">
                  <c:v>130.2030409356725</c:v>
                </c:pt>
                <c:pt idx="6">
                  <c:v>94.104093567251468</c:v>
                </c:pt>
                <c:pt idx="7">
                  <c:v>146.55555555555557</c:v>
                </c:pt>
                <c:pt idx="8">
                  <c:v>126.19204678362574</c:v>
                </c:pt>
                <c:pt idx="9">
                  <c:v>113.54198830409358</c:v>
                </c:pt>
                <c:pt idx="10">
                  <c:v>98.115087719298259</c:v>
                </c:pt>
                <c:pt idx="11">
                  <c:v>86.699181286549717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'13_g'!$A$20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'13_g'!$B$16:$M$16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'13_g'!$B$20:$M$20</c:f>
              <c:numCache>
                <c:formatCode>#,##0_ ;\-#,##0\ </c:formatCode>
                <c:ptCount val="12"/>
                <c:pt idx="0">
                  <c:v>103</c:v>
                </c:pt>
                <c:pt idx="1">
                  <c:v>124</c:v>
                </c:pt>
                <c:pt idx="2">
                  <c:v>80</c:v>
                </c:pt>
                <c:pt idx="3">
                  <c:v>108</c:v>
                </c:pt>
                <c:pt idx="4">
                  <c:v>116</c:v>
                </c:pt>
                <c:pt idx="5">
                  <c:v>80</c:v>
                </c:pt>
                <c:pt idx="6">
                  <c:v>60</c:v>
                </c:pt>
                <c:pt idx="7">
                  <c:v>81</c:v>
                </c:pt>
                <c:pt idx="8">
                  <c:v>133</c:v>
                </c:pt>
                <c:pt idx="9">
                  <c:v>119</c:v>
                </c:pt>
                <c:pt idx="10">
                  <c:v>98</c:v>
                </c:pt>
                <c:pt idx="11">
                  <c:v>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01248"/>
        <c:axId val="232964672"/>
      </c:lineChart>
      <c:catAx>
        <c:axId val="23250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964672"/>
        <c:crosses val="autoZero"/>
        <c:auto val="1"/>
        <c:lblAlgn val="ctr"/>
        <c:lblOffset val="100"/>
        <c:noMultiLvlLbl val="0"/>
      </c:catAx>
      <c:valAx>
        <c:axId val="2329646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5012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549816735463136"/>
          <c:y val="2.2161373086791118E-2"/>
          <c:w val="0.39450183264536864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'13_g'!$B$39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'13_g'!$C$39:$N$39</c:f>
              <c:numCache>
                <c:formatCode>#,##0_ ;\-#,##0\ </c:formatCode>
                <c:ptCount val="12"/>
                <c:pt idx="0">
                  <c:v>137</c:v>
                </c:pt>
                <c:pt idx="1">
                  <c:v>212</c:v>
                </c:pt>
                <c:pt idx="2">
                  <c:v>269</c:v>
                </c:pt>
                <c:pt idx="3">
                  <c:v>344</c:v>
                </c:pt>
                <c:pt idx="4">
                  <c:v>499</c:v>
                </c:pt>
                <c:pt idx="5">
                  <c:v>636</c:v>
                </c:pt>
                <c:pt idx="6">
                  <c:v>693</c:v>
                </c:pt>
                <c:pt idx="7">
                  <c:v>890</c:v>
                </c:pt>
                <c:pt idx="8">
                  <c:v>1063</c:v>
                </c:pt>
                <c:pt idx="9">
                  <c:v>1176</c:v>
                </c:pt>
                <c:pt idx="10">
                  <c:v>1272</c:v>
                </c:pt>
                <c:pt idx="11">
                  <c:v>1384</c:v>
                </c:pt>
              </c:numCache>
            </c:numRef>
          </c:val>
        </c:ser>
        <c:ser>
          <c:idx val="0"/>
          <c:order val="2"/>
          <c:tx>
            <c:strRef>
              <c:f>'13_g'!$B$41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'13_g'!$C$41:$N$41</c:f>
              <c:numCache>
                <c:formatCode>#,##0_ ;\-#,##0\ </c:formatCode>
                <c:ptCount val="12"/>
                <c:pt idx="0">
                  <c:v>103</c:v>
                </c:pt>
                <c:pt idx="1">
                  <c:v>227</c:v>
                </c:pt>
                <c:pt idx="2">
                  <c:v>307</c:v>
                </c:pt>
                <c:pt idx="3">
                  <c:v>415</c:v>
                </c:pt>
                <c:pt idx="4">
                  <c:v>531</c:v>
                </c:pt>
                <c:pt idx="5">
                  <c:v>611</c:v>
                </c:pt>
                <c:pt idx="6">
                  <c:v>671</c:v>
                </c:pt>
                <c:pt idx="7">
                  <c:v>752</c:v>
                </c:pt>
                <c:pt idx="8">
                  <c:v>885</c:v>
                </c:pt>
                <c:pt idx="9">
                  <c:v>1004</c:v>
                </c:pt>
                <c:pt idx="10">
                  <c:v>1102</c:v>
                </c:pt>
                <c:pt idx="11">
                  <c:v>1171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2501760"/>
        <c:axId val="232966976"/>
      </c:barChart>
      <c:lineChart>
        <c:grouping val="standard"/>
        <c:varyColors val="0"/>
        <c:ser>
          <c:idx val="3"/>
          <c:order val="1"/>
          <c:tx>
            <c:strRef>
              <c:f>'13_g'!$B$40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'13_g'!$C$37:$N$37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'13_g'!$C$40:$N$40</c:f>
              <c:numCache>
                <c:formatCode>#,##0_ ;\-#,##0\ </c:formatCode>
                <c:ptCount val="12"/>
                <c:pt idx="0">
                  <c:v>121.56397660818715</c:v>
                </c:pt>
                <c:pt idx="1">
                  <c:v>219.06198830409357</c:v>
                </c:pt>
                <c:pt idx="2">
                  <c:v>317.17707602339181</c:v>
                </c:pt>
                <c:pt idx="3">
                  <c:v>397.08842105263159</c:v>
                </c:pt>
                <c:pt idx="4">
                  <c:v>523.58900584795322</c:v>
                </c:pt>
                <c:pt idx="5">
                  <c:v>653.79204678362566</c:v>
                </c:pt>
                <c:pt idx="6">
                  <c:v>747.89614035087709</c:v>
                </c:pt>
                <c:pt idx="7">
                  <c:v>894.45169590643263</c:v>
                </c:pt>
                <c:pt idx="8">
                  <c:v>1020.6437426900584</c:v>
                </c:pt>
                <c:pt idx="9">
                  <c:v>1134.185730994152</c:v>
                </c:pt>
                <c:pt idx="10">
                  <c:v>1232.3008187134503</c:v>
                </c:pt>
                <c:pt idx="11">
                  <c:v>1319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01760"/>
        <c:axId val="232966976"/>
      </c:lineChart>
      <c:catAx>
        <c:axId val="2325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966976"/>
        <c:crosses val="autoZero"/>
        <c:auto val="1"/>
        <c:lblAlgn val="ctr"/>
        <c:lblOffset val="100"/>
        <c:noMultiLvlLbl val="0"/>
      </c:catAx>
      <c:valAx>
        <c:axId val="23296697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50176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'13_g'!$AI$18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'13_g'!$AJ$16:$AU$16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'13_g'!$AJ$18:$AU$18</c:f>
              <c:numCache>
                <c:formatCode>#,##0.000_ ;\-#,##0.000\ </c:formatCode>
                <c:ptCount val="12"/>
                <c:pt idx="0">
                  <c:v>0.20429089</c:v>
                </c:pt>
                <c:pt idx="1">
                  <c:v>0.225191</c:v>
                </c:pt>
                <c:pt idx="2">
                  <c:v>0.21947104000000001</c:v>
                </c:pt>
                <c:pt idx="3">
                  <c:v>0.23408065</c:v>
                </c:pt>
                <c:pt idx="4">
                  <c:v>0.222388</c:v>
                </c:pt>
                <c:pt idx="5">
                  <c:v>0.21876514999999999</c:v>
                </c:pt>
                <c:pt idx="6">
                  <c:v>0.2546001</c:v>
                </c:pt>
                <c:pt idx="7">
                  <c:v>0.28325600000000001</c:v>
                </c:pt>
                <c:pt idx="8">
                  <c:v>0.25242122</c:v>
                </c:pt>
                <c:pt idx="9">
                  <c:v>0.217526</c:v>
                </c:pt>
                <c:pt idx="10">
                  <c:v>0.21900325000000001</c:v>
                </c:pt>
                <c:pt idx="11">
                  <c:v>0.22381187999999999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'13_g'!$AJ$16:$AU$16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'13_g'!$AJ$19:$AU$19</c:f>
              <c:numCache>
                <c:formatCode>#,##0.000_ ;\-#,##0.000\ </c:formatCode>
                <c:ptCount val="12"/>
                <c:pt idx="0">
                  <c:v>0.22173599999999999</c:v>
                </c:pt>
                <c:pt idx="1">
                  <c:v>0.24243200000000001</c:v>
                </c:pt>
                <c:pt idx="2">
                  <c:v>0.23740600000000001</c:v>
                </c:pt>
                <c:pt idx="3">
                  <c:v>0.24912000000000001</c:v>
                </c:pt>
                <c:pt idx="4">
                  <c:v>0.24648700000000001</c:v>
                </c:pt>
                <c:pt idx="5">
                  <c:v>0.243593</c:v>
                </c:pt>
                <c:pt idx="6">
                  <c:v>0.27796500000000002</c:v>
                </c:pt>
                <c:pt idx="7">
                  <c:v>0.299788</c:v>
                </c:pt>
                <c:pt idx="8">
                  <c:v>0.28006399999999998</c:v>
                </c:pt>
                <c:pt idx="9">
                  <c:v>0.25418400000000002</c:v>
                </c:pt>
                <c:pt idx="10">
                  <c:v>0.24944</c:v>
                </c:pt>
                <c:pt idx="11">
                  <c:v>0.251525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'13_g'!$AI$20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'13_g'!$AJ$16:$AU$16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'13_g'!$AJ$20:$AU$20</c:f>
              <c:numCache>
                <c:formatCode>#,##0.000_ ;\-#,##0.000\ </c:formatCode>
                <c:ptCount val="12"/>
                <c:pt idx="0">
                  <c:v>0.20614907000000002</c:v>
                </c:pt>
                <c:pt idx="1">
                  <c:v>0.22051220000000002</c:v>
                </c:pt>
                <c:pt idx="2">
                  <c:v>0.22251735</c:v>
                </c:pt>
                <c:pt idx="3">
                  <c:v>0.23230145999999999</c:v>
                </c:pt>
                <c:pt idx="4">
                  <c:v>0.23376545999999998</c:v>
                </c:pt>
                <c:pt idx="5">
                  <c:v>0.23694081</c:v>
                </c:pt>
                <c:pt idx="6">
                  <c:v>0.284551</c:v>
                </c:pt>
                <c:pt idx="7">
                  <c:v>0.26946120000000001</c:v>
                </c:pt>
                <c:pt idx="8">
                  <c:v>0.23913503</c:v>
                </c:pt>
                <c:pt idx="9">
                  <c:v>0.22661265999999999</c:v>
                </c:pt>
                <c:pt idx="10">
                  <c:v>0.227432</c:v>
                </c:pt>
                <c:pt idx="11">
                  <c:v>0.23028051999999999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02784"/>
        <c:axId val="232969280"/>
      </c:lineChart>
      <c:catAx>
        <c:axId val="23250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969280"/>
        <c:crosses val="autoZero"/>
        <c:auto val="1"/>
        <c:lblAlgn val="ctr"/>
        <c:lblOffset val="100"/>
        <c:noMultiLvlLbl val="0"/>
      </c:catAx>
      <c:valAx>
        <c:axId val="23296928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2830774367005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50278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22229799086"/>
          <c:y val="2.2161373086791118E-2"/>
          <c:w val="0.3512889305616229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'13_g'!$AJ$39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'13_g'!$AK$39:$AV$39</c:f>
              <c:numCache>
                <c:formatCode>#,##0.000_ ;\-#,##0.000\ </c:formatCode>
                <c:ptCount val="12"/>
                <c:pt idx="0">
                  <c:v>0.20429089</c:v>
                </c:pt>
                <c:pt idx="1">
                  <c:v>0.42948189000000003</c:v>
                </c:pt>
                <c:pt idx="2">
                  <c:v>0.64895293000000009</c:v>
                </c:pt>
                <c:pt idx="3">
                  <c:v>0.8830335800000001</c:v>
                </c:pt>
                <c:pt idx="4">
                  <c:v>1.10542158</c:v>
                </c:pt>
                <c:pt idx="5">
                  <c:v>1.3241867300000001</c:v>
                </c:pt>
                <c:pt idx="6">
                  <c:v>1.5787868300000001</c:v>
                </c:pt>
                <c:pt idx="7">
                  <c:v>1.86204283</c:v>
                </c:pt>
                <c:pt idx="8">
                  <c:v>2.11446405</c:v>
                </c:pt>
                <c:pt idx="9">
                  <c:v>2.3319900499999999</c:v>
                </c:pt>
                <c:pt idx="10">
                  <c:v>2.5509933</c:v>
                </c:pt>
                <c:pt idx="11">
                  <c:v>2.77480518</c:v>
                </c:pt>
              </c:numCache>
            </c:numRef>
          </c:val>
        </c:ser>
        <c:ser>
          <c:idx val="0"/>
          <c:order val="2"/>
          <c:tx>
            <c:strRef>
              <c:f>'13_g'!$AJ$41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'13_g'!$AK$41:$AV$41</c:f>
              <c:numCache>
                <c:formatCode>#,##0.000_ ;\-#,##0.000\ </c:formatCode>
                <c:ptCount val="12"/>
                <c:pt idx="0">
                  <c:v>0.20614907000000002</c:v>
                </c:pt>
                <c:pt idx="1">
                  <c:v>0.42666127000000004</c:v>
                </c:pt>
                <c:pt idx="2">
                  <c:v>0.64917862000000004</c:v>
                </c:pt>
                <c:pt idx="3">
                  <c:v>0.88148008</c:v>
                </c:pt>
                <c:pt idx="4">
                  <c:v>1.1152455400000001</c:v>
                </c:pt>
                <c:pt idx="5">
                  <c:v>1.3521863500000002</c:v>
                </c:pt>
                <c:pt idx="6">
                  <c:v>1.6367373500000002</c:v>
                </c:pt>
                <c:pt idx="7">
                  <c:v>1.9061985500000003</c:v>
                </c:pt>
                <c:pt idx="8">
                  <c:v>2.1453335800000004</c:v>
                </c:pt>
                <c:pt idx="9">
                  <c:v>2.3719462400000002</c:v>
                </c:pt>
                <c:pt idx="10">
                  <c:v>2.5993782400000001</c:v>
                </c:pt>
                <c:pt idx="11">
                  <c:v>2.8296587600000001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2503296"/>
        <c:axId val="232971584"/>
      </c:barChart>
      <c:lineChart>
        <c:grouping val="standard"/>
        <c:varyColors val="0"/>
        <c:ser>
          <c:idx val="3"/>
          <c:order val="1"/>
          <c:tx>
            <c:strRef>
              <c:f>'13_g'!$AJ$40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'13_g'!$AK$37:$AV$37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'13_g'!$AK$40:$AV$40</c:f>
              <c:numCache>
                <c:formatCode>#,##0.000_ ;\-#,##0.000\ </c:formatCode>
                <c:ptCount val="12"/>
                <c:pt idx="0">
                  <c:v>0.22173599999999999</c:v>
                </c:pt>
                <c:pt idx="1">
                  <c:v>0.46416800000000003</c:v>
                </c:pt>
                <c:pt idx="2">
                  <c:v>0.70157400000000003</c:v>
                </c:pt>
                <c:pt idx="3">
                  <c:v>0.95069400000000004</c:v>
                </c:pt>
                <c:pt idx="4">
                  <c:v>1.1971810000000001</c:v>
                </c:pt>
                <c:pt idx="5">
                  <c:v>1.440774</c:v>
                </c:pt>
                <c:pt idx="6">
                  <c:v>1.718739</c:v>
                </c:pt>
                <c:pt idx="7">
                  <c:v>2.0185270000000002</c:v>
                </c:pt>
                <c:pt idx="8">
                  <c:v>2.2985910000000001</c:v>
                </c:pt>
                <c:pt idx="9">
                  <c:v>2.552775</c:v>
                </c:pt>
                <c:pt idx="10">
                  <c:v>2.8022149999999999</c:v>
                </c:pt>
                <c:pt idx="11">
                  <c:v>3.0537399999999999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03296"/>
        <c:axId val="232971584"/>
      </c:lineChart>
      <c:catAx>
        <c:axId val="23250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971584"/>
        <c:crosses val="autoZero"/>
        <c:auto val="1"/>
        <c:lblAlgn val="ctr"/>
        <c:lblOffset val="100"/>
        <c:noMultiLvlLbl val="0"/>
      </c:catAx>
      <c:valAx>
        <c:axId val="2329715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512356501994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50329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6404624516"/>
          <c:y val="2.2161373086791118E-2"/>
          <c:w val="0.33180953595375484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'13_g'!$AY$18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'13_g'!$AZ$16:$BK$16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'13_g'!$AZ$18:$BK$18</c:f>
              <c:numCache>
                <c:formatCode>#,##0.000_ ;\-#,##0.000\ </c:formatCode>
                <c:ptCount val="12"/>
                <c:pt idx="0">
                  <c:v>0.13049384999999997</c:v>
                </c:pt>
                <c:pt idx="1">
                  <c:v>0.10973203000000002</c:v>
                </c:pt>
                <c:pt idx="2">
                  <c:v>0.11154774999999997</c:v>
                </c:pt>
                <c:pt idx="3">
                  <c:v>0.11042032999999998</c:v>
                </c:pt>
                <c:pt idx="4">
                  <c:v>0.11323890000000002</c:v>
                </c:pt>
                <c:pt idx="5">
                  <c:v>0.1000389</c:v>
                </c:pt>
                <c:pt idx="6">
                  <c:v>9.9496889999999991E-2</c:v>
                </c:pt>
                <c:pt idx="7">
                  <c:v>7.6688969999999967E-2</c:v>
                </c:pt>
                <c:pt idx="8">
                  <c:v>7.7783720000000001E-2</c:v>
                </c:pt>
                <c:pt idx="9">
                  <c:v>8.0432989999999996E-2</c:v>
                </c:pt>
                <c:pt idx="10">
                  <c:v>8.8086729999999988E-2</c:v>
                </c:pt>
                <c:pt idx="11">
                  <c:v>7.2310109999999983E-2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'13_g'!$AZ$16:$BK$16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'13_g'!$AZ$19:$BK$19</c:f>
              <c:numCache>
                <c:formatCode>#,##0.000_ ;\-#,##0.000\ </c:formatCode>
                <c:ptCount val="12"/>
                <c:pt idx="0">
                  <c:v>0.120876</c:v>
                </c:pt>
                <c:pt idx="1">
                  <c:v>0.10990800000000001</c:v>
                </c:pt>
                <c:pt idx="2">
                  <c:v>9.5840999999999996E-2</c:v>
                </c:pt>
                <c:pt idx="3">
                  <c:v>9.4670000000000004E-2</c:v>
                </c:pt>
                <c:pt idx="4">
                  <c:v>8.8513999999999995E-2</c:v>
                </c:pt>
                <c:pt idx="5">
                  <c:v>0.105129</c:v>
                </c:pt>
                <c:pt idx="6">
                  <c:v>0.10389</c:v>
                </c:pt>
                <c:pt idx="7">
                  <c:v>9.3613000000000002E-2</c:v>
                </c:pt>
                <c:pt idx="8">
                  <c:v>8.5453000000000001E-2</c:v>
                </c:pt>
                <c:pt idx="9">
                  <c:v>8.1591999999999998E-2</c:v>
                </c:pt>
                <c:pt idx="10">
                  <c:v>0.10473499999999999</c:v>
                </c:pt>
                <c:pt idx="11">
                  <c:v>0.109241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'13_g'!$AY$20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'13_g'!$AZ$16:$BK$16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'13_g'!$AZ$20:$BK$20</c:f>
              <c:numCache>
                <c:formatCode>#,##0.000_ ;\-#,##0.000\ </c:formatCode>
                <c:ptCount val="12"/>
                <c:pt idx="0">
                  <c:v>8.6669899999999966E-2</c:v>
                </c:pt>
                <c:pt idx="1">
                  <c:v>0.12076978999999997</c:v>
                </c:pt>
                <c:pt idx="2">
                  <c:v>0.11669660000000001</c:v>
                </c:pt>
                <c:pt idx="3">
                  <c:v>0.11564342000000001</c:v>
                </c:pt>
                <c:pt idx="4">
                  <c:v>0.13117054</c:v>
                </c:pt>
                <c:pt idx="5">
                  <c:v>9.6366179999999996E-2</c:v>
                </c:pt>
                <c:pt idx="6">
                  <c:v>0.11763402000000002</c:v>
                </c:pt>
                <c:pt idx="7">
                  <c:v>9.987778999999998E-2</c:v>
                </c:pt>
                <c:pt idx="8">
                  <c:v>0.11090639999999999</c:v>
                </c:pt>
                <c:pt idx="9">
                  <c:v>0.11573430000000001</c:v>
                </c:pt>
                <c:pt idx="10">
                  <c:v>0.10878703999999997</c:v>
                </c:pt>
                <c:pt idx="11">
                  <c:v>0.10877548000000001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04320"/>
        <c:axId val="233350848"/>
      </c:lineChart>
      <c:catAx>
        <c:axId val="23250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350848"/>
        <c:crosses val="autoZero"/>
        <c:auto val="1"/>
        <c:lblAlgn val="ctr"/>
        <c:lblOffset val="100"/>
        <c:noMultiLvlLbl val="0"/>
      </c:catAx>
      <c:valAx>
        <c:axId val="23335084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72435452294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50432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4699033697021058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'13_g'!$AY$39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'13_g'!$AZ$37:$BO$37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'13_g'!$AZ$39:$BO$39</c:f>
              <c:numCache>
                <c:formatCode>_(* #,##0.00_);_(* \(#,##0.00\);_(* "-"??_);_(@_)</c:formatCode>
                <c:ptCount val="16"/>
                <c:pt idx="0">
                  <c:v>38.977037231605053</c:v>
                </c:pt>
                <c:pt idx="1">
                  <c:v>32.763357598908627</c:v>
                </c:pt>
                <c:pt idx="2">
                  <c:v>33.698313621411032</c:v>
                </c:pt>
                <c:pt idx="3">
                  <c:v>35.151401580848443</c:v>
                </c:pt>
                <c:pt idx="4">
                  <c:v>32.05225424903</c:v>
                </c:pt>
                <c:pt idx="5">
                  <c:v>33.739518495090834</c:v>
                </c:pt>
                <c:pt idx="6">
                  <c:v>31.379431973966454</c:v>
                </c:pt>
                <c:pt idx="7">
                  <c:v>33.779153284399371</c:v>
                </c:pt>
                <c:pt idx="8">
                  <c:v>28.093451849805508</c:v>
                </c:pt>
                <c:pt idx="9">
                  <c:v>21.305452532750589</c:v>
                </c:pt>
                <c:pt idx="10">
                  <c:v>23.553484595310351</c:v>
                </c:pt>
                <c:pt idx="11">
                  <c:v>30.533277823101319</c:v>
                </c:pt>
                <c:pt idx="12">
                  <c:v>26.994651176660252</c:v>
                </c:pt>
                <c:pt idx="13">
                  <c:v>28.684338707501944</c:v>
                </c:pt>
                <c:pt idx="14">
                  <c:v>24.419027442034949</c:v>
                </c:pt>
                <c:pt idx="15">
                  <c:v>29.663177011112751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'13_g'!$AY$40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'13_g'!$AZ$37:$BO$37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'13_g'!$AZ$40:$BO$40</c:f>
              <c:numCache>
                <c:formatCode>_(* #,##0.00_);_(* \(#,##0.00\);_(* "-"??_);_(@_)</c:formatCode>
                <c:ptCount val="16"/>
                <c:pt idx="0">
                  <c:v>28.099971746091541</c:v>
                </c:pt>
                <c:pt idx="1">
                  <c:v>28.099971746091541</c:v>
                </c:pt>
                <c:pt idx="2">
                  <c:v>28.099971746091541</c:v>
                </c:pt>
                <c:pt idx="3">
                  <c:v>28.099971746091541</c:v>
                </c:pt>
                <c:pt idx="4">
                  <c:v>28.099971746091541</c:v>
                </c:pt>
                <c:pt idx="5">
                  <c:v>28.099971746091541</c:v>
                </c:pt>
                <c:pt idx="6">
                  <c:v>28.099971746091541</c:v>
                </c:pt>
                <c:pt idx="7">
                  <c:v>28.099971746091541</c:v>
                </c:pt>
                <c:pt idx="8">
                  <c:v>28.099971746091541</c:v>
                </c:pt>
                <c:pt idx="9">
                  <c:v>28.099971746091541</c:v>
                </c:pt>
                <c:pt idx="10">
                  <c:v>28.099971746091541</c:v>
                </c:pt>
                <c:pt idx="11">
                  <c:v>28.099971746091541</c:v>
                </c:pt>
                <c:pt idx="12">
                  <c:v>28.099971746091541</c:v>
                </c:pt>
                <c:pt idx="13">
                  <c:v>28.099971746091541</c:v>
                </c:pt>
                <c:pt idx="14">
                  <c:v>28.099971746091541</c:v>
                </c:pt>
                <c:pt idx="15">
                  <c:v>28.099971746091541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'13_g'!$AY$41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'13_g'!$AZ$37:$BO$37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'13_g'!$AZ$41:$BO$41</c:f>
              <c:numCache>
                <c:formatCode>_(* #,##0.00_);_(* \(#,##0.00\);_(* "-"??_);_(@_)</c:formatCode>
                <c:ptCount val="16"/>
                <c:pt idx="0">
                  <c:v>29.598458050719863</c:v>
                </c:pt>
                <c:pt idx="1">
                  <c:v>35.387097338479535</c:v>
                </c:pt>
                <c:pt idx="2">
                  <c:v>34.402063948136572</c:v>
                </c:pt>
                <c:pt idx="3">
                  <c:v>33.30230397888387</c:v>
                </c:pt>
                <c:pt idx="4">
                  <c:v>33.236132113799179</c:v>
                </c:pt>
                <c:pt idx="5">
                  <c:v>35.943436657386499</c:v>
                </c:pt>
                <c:pt idx="6">
                  <c:v>28.912138926339349</c:v>
                </c:pt>
                <c:pt idx="7">
                  <c:v>33.043600464862941</c:v>
                </c:pt>
                <c:pt idx="8">
                  <c:v>29.248732337171585</c:v>
                </c:pt>
                <c:pt idx="9">
                  <c:v>27.041576585873429</c:v>
                </c:pt>
                <c:pt idx="10">
                  <c:v>31.683792401373744</c:v>
                </c:pt>
                <c:pt idx="11">
                  <c:v>31.700408912453</c:v>
                </c:pt>
                <c:pt idx="12">
                  <c:v>33.806142166415029</c:v>
                </c:pt>
                <c:pt idx="13">
                  <c:v>32.356002206180825</c:v>
                </c:pt>
                <c:pt idx="14">
                  <c:v>32.081862583172104</c:v>
                </c:pt>
                <c:pt idx="15">
                  <c:v>31.957856774778538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504832"/>
        <c:axId val="233353152"/>
      </c:lineChart>
      <c:catAx>
        <c:axId val="23250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353152"/>
        <c:crosses val="autoZero"/>
        <c:auto val="1"/>
        <c:lblAlgn val="ctr"/>
        <c:lblOffset val="100"/>
        <c:noMultiLvlLbl val="0"/>
      </c:catAx>
      <c:valAx>
        <c:axId val="23335315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%</a:t>
                </a:r>
              </a:p>
            </c:rich>
          </c:tx>
          <c:layout>
            <c:manualLayout>
              <c:xMode val="edge"/>
              <c:yMode val="edge"/>
              <c:x val="1.5431709008072106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50483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66819058584658053"/>
          <c:y val="2.2161373086791118E-2"/>
          <c:w val="0.9512213390778983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'13_g'!$A$64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'13_g'!$B$62:$M$62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'13_g'!$B$64:$M$64</c:f>
              <c:numCache>
                <c:formatCode>#,##0.00_ ;\-#,##0.00\ </c:formatCode>
                <c:ptCount val="12"/>
                <c:pt idx="0">
                  <c:v>4.0074368300000005</c:v>
                </c:pt>
                <c:pt idx="1">
                  <c:v>4.0729213799999995</c:v>
                </c:pt>
                <c:pt idx="2">
                  <c:v>4.4627544299999995</c:v>
                </c:pt>
                <c:pt idx="3">
                  <c:v>4.5249994000000004</c:v>
                </c:pt>
                <c:pt idx="4">
                  <c:v>4.3545422699999996</c:v>
                </c:pt>
                <c:pt idx="5">
                  <c:v>4.2241194699999998</c:v>
                </c:pt>
                <c:pt idx="6">
                  <c:v>4.7157204699999999</c:v>
                </c:pt>
                <c:pt idx="7">
                  <c:v>5.444936010000001</c:v>
                </c:pt>
                <c:pt idx="8">
                  <c:v>4.8950530700000003</c:v>
                </c:pt>
                <c:pt idx="9">
                  <c:v>4.10460811</c:v>
                </c:pt>
                <c:pt idx="10">
                  <c:v>4.2122091499999996</c:v>
                </c:pt>
                <c:pt idx="11">
                  <c:v>4.4569514100000003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'13_g'!$A$65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'13_g'!$B$62:$M$62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'13_g'!$B$65:$M$65</c:f>
              <c:numCache>
                <c:formatCode>#,##0.00_ ;\-#,##0.00\ </c:formatCode>
                <c:ptCount val="12"/>
                <c:pt idx="0">
                  <c:v>4.3868780000000003</c:v>
                </c:pt>
                <c:pt idx="1">
                  <c:v>4.5928870000000002</c:v>
                </c:pt>
                <c:pt idx="2">
                  <c:v>4.7323230000000001</c:v>
                </c:pt>
                <c:pt idx="3">
                  <c:v>4.898695</c:v>
                </c:pt>
                <c:pt idx="4">
                  <c:v>5.0104300000000004</c:v>
                </c:pt>
                <c:pt idx="5">
                  <c:v>4.754308</c:v>
                </c:pt>
                <c:pt idx="6">
                  <c:v>5.300802</c:v>
                </c:pt>
                <c:pt idx="7">
                  <c:v>5.7184699999999999</c:v>
                </c:pt>
                <c:pt idx="8">
                  <c:v>5.6907719999999999</c:v>
                </c:pt>
                <c:pt idx="9">
                  <c:v>4.9597189999999998</c:v>
                </c:pt>
                <c:pt idx="10">
                  <c:v>5.9437309999999997</c:v>
                </c:pt>
                <c:pt idx="11">
                  <c:v>5.0662050000000001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'13_g'!$A$66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'13_g'!$B$62:$M$62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'13_g'!$B$66:$M$66</c:f>
              <c:numCache>
                <c:formatCode>#,##0.00_ ;\-#,##0.00\ </c:formatCode>
                <c:ptCount val="12"/>
                <c:pt idx="0">
                  <c:v>3.9643073100000001</c:v>
                </c:pt>
                <c:pt idx="1">
                  <c:v>4.35230753</c:v>
                </c:pt>
                <c:pt idx="2">
                  <c:v>4.2131155900000001</c:v>
                </c:pt>
                <c:pt idx="3">
                  <c:v>4.3829694799999999</c:v>
                </c:pt>
                <c:pt idx="4">
                  <c:v>4.52927985</c:v>
                </c:pt>
                <c:pt idx="5">
                  <c:v>4.7923840699999998</c:v>
                </c:pt>
                <c:pt idx="6">
                  <c:v>5.2842623200000007</c:v>
                </c:pt>
                <c:pt idx="7">
                  <c:v>5.197847069999999</c:v>
                </c:pt>
                <c:pt idx="8">
                  <c:v>4.6310531999999993</c:v>
                </c:pt>
                <c:pt idx="9">
                  <c:v>4.4721192900000011</c:v>
                </c:pt>
                <c:pt idx="10">
                  <c:v>4.4510568800000003</c:v>
                </c:pt>
                <c:pt idx="11">
                  <c:v>4.4779702999999991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96576"/>
        <c:axId val="233355456"/>
      </c:lineChart>
      <c:catAx>
        <c:axId val="2334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355456"/>
        <c:crosses val="autoZero"/>
        <c:auto val="1"/>
        <c:lblAlgn val="ctr"/>
        <c:lblOffset val="100"/>
        <c:noMultiLvlLbl val="0"/>
      </c:catAx>
      <c:valAx>
        <c:axId val="2333554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4965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90985928519"/>
          <c:y val="2.2161373086791118E-2"/>
          <c:w val="0.4542920901407148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'13_g'!$B$85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FF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'13_g'!$C$85:$N$85</c:f>
              <c:numCache>
                <c:formatCode>#,##0.00_ ;\-#,##0.00\ </c:formatCode>
                <c:ptCount val="12"/>
                <c:pt idx="0">
                  <c:v>4.0074368300000005</c:v>
                </c:pt>
                <c:pt idx="1">
                  <c:v>8.08035821</c:v>
                </c:pt>
                <c:pt idx="2">
                  <c:v>12.54311264</c:v>
                </c:pt>
                <c:pt idx="3">
                  <c:v>17.068112040000003</c:v>
                </c:pt>
                <c:pt idx="4">
                  <c:v>21.422654310000002</c:v>
                </c:pt>
                <c:pt idx="5">
                  <c:v>25.646773780000004</c:v>
                </c:pt>
                <c:pt idx="6">
                  <c:v>30.362494250000005</c:v>
                </c:pt>
                <c:pt idx="7">
                  <c:v>35.807430260000004</c:v>
                </c:pt>
                <c:pt idx="8">
                  <c:v>40.702483330000007</c:v>
                </c:pt>
                <c:pt idx="9">
                  <c:v>44.807091440000008</c:v>
                </c:pt>
                <c:pt idx="10">
                  <c:v>49.019300590000007</c:v>
                </c:pt>
                <c:pt idx="11">
                  <c:v>53.476252000000009</c:v>
                </c:pt>
              </c:numCache>
            </c:numRef>
          </c:val>
        </c:ser>
        <c:ser>
          <c:idx val="0"/>
          <c:order val="2"/>
          <c:tx>
            <c:strRef>
              <c:f>'13_g'!$B$87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FF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'13_g'!$C$87:$N$87</c:f>
              <c:numCache>
                <c:formatCode>#,##0.00_ ;\-#,##0.00\ </c:formatCode>
                <c:ptCount val="12"/>
                <c:pt idx="0">
                  <c:v>3.9643073100000001</c:v>
                </c:pt>
                <c:pt idx="1">
                  <c:v>8.3166148399999997</c:v>
                </c:pt>
                <c:pt idx="2">
                  <c:v>12.529730430000001</c:v>
                </c:pt>
                <c:pt idx="3">
                  <c:v>16.912699910000001</c:v>
                </c:pt>
                <c:pt idx="4">
                  <c:v>21.441979760000002</c:v>
                </c:pt>
                <c:pt idx="5">
                  <c:v>26.234363830000003</c:v>
                </c:pt>
                <c:pt idx="6">
                  <c:v>31.518626150000003</c:v>
                </c:pt>
                <c:pt idx="7">
                  <c:v>36.716473220000005</c:v>
                </c:pt>
                <c:pt idx="8">
                  <c:v>41.347526420000001</c:v>
                </c:pt>
                <c:pt idx="9">
                  <c:v>45.819645710000003</c:v>
                </c:pt>
                <c:pt idx="10">
                  <c:v>50.270702590000006</c:v>
                </c:pt>
                <c:pt idx="11">
                  <c:v>54.748672890000009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3497088"/>
        <c:axId val="234070592"/>
      </c:barChart>
      <c:lineChart>
        <c:grouping val="standard"/>
        <c:varyColors val="0"/>
        <c:ser>
          <c:idx val="3"/>
          <c:order val="1"/>
          <c:tx>
            <c:strRef>
              <c:f>'13_g'!$B$86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'13_g'!$C$83:$N$83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'13_g'!$C$86:$N$86</c:f>
              <c:numCache>
                <c:formatCode>#,##0.00_ ;\-#,##0.00\ </c:formatCode>
                <c:ptCount val="12"/>
                <c:pt idx="0">
                  <c:v>4.3868780000000003</c:v>
                </c:pt>
                <c:pt idx="1">
                  <c:v>8.9797650000000004</c:v>
                </c:pt>
                <c:pt idx="2">
                  <c:v>13.712088000000001</c:v>
                </c:pt>
                <c:pt idx="3">
                  <c:v>18.610783000000001</c:v>
                </c:pt>
                <c:pt idx="4">
                  <c:v>23.621213000000001</c:v>
                </c:pt>
                <c:pt idx="5">
                  <c:v>28.375520999999999</c:v>
                </c:pt>
                <c:pt idx="6">
                  <c:v>33.676322999999996</c:v>
                </c:pt>
                <c:pt idx="7">
                  <c:v>39.394792999999993</c:v>
                </c:pt>
                <c:pt idx="8">
                  <c:v>45.085564999999995</c:v>
                </c:pt>
                <c:pt idx="9">
                  <c:v>50.045283999999995</c:v>
                </c:pt>
                <c:pt idx="10">
                  <c:v>55.989014999999995</c:v>
                </c:pt>
                <c:pt idx="11">
                  <c:v>61.055219999999991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97088"/>
        <c:axId val="234070592"/>
      </c:lineChart>
      <c:catAx>
        <c:axId val="2334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4070592"/>
        <c:crosses val="autoZero"/>
        <c:auto val="1"/>
        <c:lblAlgn val="ctr"/>
        <c:lblOffset val="100"/>
        <c:noMultiLvlLbl val="0"/>
      </c:catAx>
      <c:valAx>
        <c:axId val="234070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49708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th-TH"/>
              <a:t>รายได้ค่าน้ำ/ลบ.ม.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(ภาพรวม!$A$9,ภาพรวม!$A$13,ภาพรวม!$A$17,ภาพรวม!$A$20)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(ภาพรวม!$F$9,ภาพรวม!$F$13,ภาพรวม!$F$17,ภาพรวม!$F$20)</c:f>
              <c:numCache>
                <c:formatCode>_(* #,##0.00_);_(* \(#,##0.00\);_(* "-"??_);_(@_)</c:formatCode>
                <c:ptCount val="4"/>
                <c:pt idx="0">
                  <c:v>14.048548534013761</c:v>
                </c:pt>
                <c:pt idx="1">
                  <c:v>21.621252572174932</c:v>
                </c:pt>
                <c:pt idx="2">
                  <c:v>27.637179363316278</c:v>
                </c:pt>
                <c:pt idx="3">
                  <c:v>18.753778132296656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dLbl>
              <c:idx val="0"/>
              <c:layout>
                <c:manualLayout>
                  <c:x val="2.1523526740016133E-2"/>
                  <c:y val="4.592111981000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391502971112903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630653268224203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740520797790325E-2"/>
                  <c:y val="4.2093873553822738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5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(ภาพรวม!$A$9,ภาพรวม!$A$13,ภาพรวม!$A$17,ภาพรวม!$A$20)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(ภาพรวม!$K$9,ภาพรวม!$K$13,ภาพรวม!$K$17,ภาพรวม!$K$20)</c:f>
              <c:numCache>
                <c:formatCode>_(* #,##0.00_);_(* \(#,##0.00\);_(* "-"??_);_(@_)</c:formatCode>
                <c:ptCount val="4"/>
                <c:pt idx="0">
                  <c:v>13.97610356142037</c:v>
                </c:pt>
                <c:pt idx="1">
                  <c:v>21.69199290045395</c:v>
                </c:pt>
                <c:pt idx="2">
                  <c:v>27.68645734318763</c:v>
                </c:pt>
                <c:pt idx="3">
                  <c:v>18.726011192056873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69607680"/>
        <c:axId val="169499392"/>
      </c:barChart>
      <c:catAx>
        <c:axId val="1696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9499392"/>
        <c:crosses val="autoZero"/>
        <c:auto val="1"/>
        <c:lblAlgn val="ctr"/>
        <c:lblOffset val="100"/>
        <c:noMultiLvlLbl val="0"/>
      </c:catAx>
      <c:valAx>
        <c:axId val="1694993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9607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982076467245718"/>
          <c:y val="1.5194663167104112E-2"/>
          <c:w val="0.1035125145439294"/>
          <c:h val="0.1674343832020997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'13_g'!$S$64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'13_g'!$T$62:$AE$62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'13_g'!$T$64:$AE$64</c:f>
              <c:numCache>
                <c:formatCode>#,##0.00_ ;\-#,##0.00\ </c:formatCode>
                <c:ptCount val="12"/>
                <c:pt idx="0">
                  <c:v>1.2778683100000001</c:v>
                </c:pt>
                <c:pt idx="1">
                  <c:v>1.2595106899999999</c:v>
                </c:pt>
                <c:pt idx="2">
                  <c:v>1.4703663000000002</c:v>
                </c:pt>
                <c:pt idx="3">
                  <c:v>1.2595571799999996</c:v>
                </c:pt>
                <c:pt idx="4">
                  <c:v>1.2467415599999998</c:v>
                </c:pt>
                <c:pt idx="5">
                  <c:v>1.3604910000000003</c:v>
                </c:pt>
                <c:pt idx="6">
                  <c:v>1.3919225099999997</c:v>
                </c:pt>
                <c:pt idx="7">
                  <c:v>1.2591531499999999</c:v>
                </c:pt>
                <c:pt idx="8">
                  <c:v>1.5448210000000004</c:v>
                </c:pt>
                <c:pt idx="9">
                  <c:v>1.3582965399999998</c:v>
                </c:pt>
                <c:pt idx="10">
                  <c:v>1.3096528399999998</c:v>
                </c:pt>
                <c:pt idx="11">
                  <c:v>1.3770874500000001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'13_g'!$S$65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'13_g'!$T$62:$AE$62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'13_g'!$T$65:$AE$65</c:f>
              <c:numCache>
                <c:formatCode>#,##0.00_ ;\-#,##0.00\ </c:formatCode>
                <c:ptCount val="12"/>
                <c:pt idx="0">
                  <c:v>1.2811870000000001</c:v>
                </c:pt>
                <c:pt idx="1">
                  <c:v>1.320487</c:v>
                </c:pt>
                <c:pt idx="2">
                  <c:v>1.4652890000000001</c:v>
                </c:pt>
                <c:pt idx="3">
                  <c:v>1.410541</c:v>
                </c:pt>
                <c:pt idx="4">
                  <c:v>1.367097</c:v>
                </c:pt>
                <c:pt idx="5">
                  <c:v>1.5555859999999999</c:v>
                </c:pt>
                <c:pt idx="6">
                  <c:v>1.401124</c:v>
                </c:pt>
                <c:pt idx="7">
                  <c:v>1.3223149999999999</c:v>
                </c:pt>
                <c:pt idx="8">
                  <c:v>1.538969</c:v>
                </c:pt>
                <c:pt idx="9">
                  <c:v>1.375329</c:v>
                </c:pt>
                <c:pt idx="10">
                  <c:v>1.333793</c:v>
                </c:pt>
                <c:pt idx="11">
                  <c:v>1.4734050000000001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'13_g'!$S$66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'13_g'!$T$62:$AE$62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'13_g'!$T$66:$AE$66</c:f>
              <c:numCache>
                <c:formatCode>#,##0.00_ ;\-#,##0.00\ </c:formatCode>
                <c:ptCount val="12"/>
                <c:pt idx="0">
                  <c:v>1.2972782499999997</c:v>
                </c:pt>
                <c:pt idx="1">
                  <c:v>1.3633937199999999</c:v>
                </c:pt>
                <c:pt idx="2">
                  <c:v>1.44056257</c:v>
                </c:pt>
                <c:pt idx="3">
                  <c:v>1.1626661999999999</c:v>
                </c:pt>
                <c:pt idx="4">
                  <c:v>1.3532009599999999</c:v>
                </c:pt>
                <c:pt idx="5">
                  <c:v>1.4895768400000002</c:v>
                </c:pt>
                <c:pt idx="6">
                  <c:v>1.4305403800000001</c:v>
                </c:pt>
                <c:pt idx="7">
                  <c:v>1.5020715500000001</c:v>
                </c:pt>
                <c:pt idx="8">
                  <c:v>1.5213069299999999</c:v>
                </c:pt>
                <c:pt idx="9">
                  <c:v>1.6097509399999999</c:v>
                </c:pt>
                <c:pt idx="10">
                  <c:v>1.4416112399999998</c:v>
                </c:pt>
                <c:pt idx="11">
                  <c:v>1.6366616500000004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58240"/>
        <c:axId val="234072896"/>
      </c:lineChart>
      <c:catAx>
        <c:axId val="2324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4072896"/>
        <c:crosses val="autoZero"/>
        <c:auto val="1"/>
        <c:lblAlgn val="ctr"/>
        <c:lblOffset val="100"/>
        <c:noMultiLvlLbl val="0"/>
      </c:catAx>
      <c:valAx>
        <c:axId val="2340728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5849952516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245824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7625905737"/>
          <c:y val="2.2161373086791118E-2"/>
          <c:w val="0.45429212374094263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'13_g'!$T$85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rgbClr val="FF9966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'13_g'!$U$85:$AF$85</c:f>
              <c:numCache>
                <c:formatCode>#,##0.00_ ;\-#,##0.00\ </c:formatCode>
                <c:ptCount val="12"/>
                <c:pt idx="0">
                  <c:v>1.2778683100000001</c:v>
                </c:pt>
                <c:pt idx="1">
                  <c:v>2.5373790000000001</c:v>
                </c:pt>
                <c:pt idx="2">
                  <c:v>4.0077452999999998</c:v>
                </c:pt>
                <c:pt idx="3">
                  <c:v>5.2673024799999997</c:v>
                </c:pt>
                <c:pt idx="4">
                  <c:v>6.5140440399999999</c:v>
                </c:pt>
                <c:pt idx="5">
                  <c:v>7.8745350400000005</c:v>
                </c:pt>
                <c:pt idx="6">
                  <c:v>9.2664575500000002</c:v>
                </c:pt>
                <c:pt idx="7">
                  <c:v>10.5256107</c:v>
                </c:pt>
                <c:pt idx="8">
                  <c:v>12.0704317</c:v>
                </c:pt>
                <c:pt idx="9">
                  <c:v>13.42872824</c:v>
                </c:pt>
                <c:pt idx="10">
                  <c:v>14.73838108</c:v>
                </c:pt>
                <c:pt idx="11">
                  <c:v>16.115468530000001</c:v>
                </c:pt>
              </c:numCache>
            </c:numRef>
          </c:val>
        </c:ser>
        <c:ser>
          <c:idx val="0"/>
          <c:order val="2"/>
          <c:tx>
            <c:strRef>
              <c:f>'13_g'!$T$87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'13_g'!$U$87:$AF$87</c:f>
              <c:numCache>
                <c:formatCode>#,##0.00_ ;\-#,##0.00\ </c:formatCode>
                <c:ptCount val="12"/>
                <c:pt idx="0">
                  <c:v>1.2972782499999997</c:v>
                </c:pt>
                <c:pt idx="1">
                  <c:v>2.6606719699999997</c:v>
                </c:pt>
                <c:pt idx="2">
                  <c:v>4.1012345400000001</c:v>
                </c:pt>
                <c:pt idx="3">
                  <c:v>5.2639007400000004</c:v>
                </c:pt>
                <c:pt idx="4">
                  <c:v>6.6171017000000001</c:v>
                </c:pt>
                <c:pt idx="5">
                  <c:v>8.1066785400000008</c:v>
                </c:pt>
                <c:pt idx="6">
                  <c:v>9.5372189200000008</c:v>
                </c:pt>
                <c:pt idx="7">
                  <c:v>11.039290470000001</c:v>
                </c:pt>
                <c:pt idx="8">
                  <c:v>12.560597400000001</c:v>
                </c:pt>
                <c:pt idx="9">
                  <c:v>14.17034834</c:v>
                </c:pt>
                <c:pt idx="10">
                  <c:v>15.611959580000001</c:v>
                </c:pt>
                <c:pt idx="11">
                  <c:v>17.248621230000001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3498112"/>
        <c:axId val="234075200"/>
      </c:barChart>
      <c:lineChart>
        <c:grouping val="standard"/>
        <c:varyColors val="0"/>
        <c:ser>
          <c:idx val="3"/>
          <c:order val="1"/>
          <c:tx>
            <c:strRef>
              <c:f>'13_g'!$T$86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'13_g'!$U$83:$AF$83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'13_g'!$U$86:$AF$86</c:f>
              <c:numCache>
                <c:formatCode>#,##0.00_ ;\-#,##0.00\ </c:formatCode>
                <c:ptCount val="12"/>
                <c:pt idx="0">
                  <c:v>1.2811870000000001</c:v>
                </c:pt>
                <c:pt idx="1">
                  <c:v>2.601674</c:v>
                </c:pt>
                <c:pt idx="2">
                  <c:v>4.0669630000000003</c:v>
                </c:pt>
                <c:pt idx="3">
                  <c:v>5.4775040000000006</c:v>
                </c:pt>
                <c:pt idx="4">
                  <c:v>6.8446010000000008</c:v>
                </c:pt>
                <c:pt idx="5">
                  <c:v>8.4001870000000007</c:v>
                </c:pt>
                <c:pt idx="6">
                  <c:v>9.8013110000000001</c:v>
                </c:pt>
                <c:pt idx="7">
                  <c:v>11.123626</c:v>
                </c:pt>
                <c:pt idx="8">
                  <c:v>12.662595</c:v>
                </c:pt>
                <c:pt idx="9">
                  <c:v>14.037924</c:v>
                </c:pt>
                <c:pt idx="10">
                  <c:v>15.371717</c:v>
                </c:pt>
                <c:pt idx="11">
                  <c:v>16.845122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98112"/>
        <c:axId val="234075200"/>
      </c:lineChart>
      <c:catAx>
        <c:axId val="23349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4075200"/>
        <c:crosses val="autoZero"/>
        <c:auto val="1"/>
        <c:lblAlgn val="ctr"/>
        <c:lblOffset val="100"/>
        <c:noMultiLvlLbl val="0"/>
      </c:catAx>
      <c:valAx>
        <c:axId val="23407520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568907963758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49811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3581869871"/>
          <c:y val="2.2161373086791118E-2"/>
          <c:w val="0.3910367641813012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'13_g'!$AI$64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strRef>
              <c:f>'13_g'!$AJ$62:$AU$62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'13_g'!$AJ$64:$AU$64</c:f>
              <c:numCache>
                <c:formatCode>#,##0.00_ ;\-#,##0.00\ </c:formatCode>
                <c:ptCount val="12"/>
                <c:pt idx="0">
                  <c:v>2.7295685200000004</c:v>
                </c:pt>
                <c:pt idx="1">
                  <c:v>2.8134106899999995</c:v>
                </c:pt>
                <c:pt idx="2">
                  <c:v>2.9923881299999993</c:v>
                </c:pt>
                <c:pt idx="3">
                  <c:v>3.2654422200000006</c:v>
                </c:pt>
                <c:pt idx="4">
                  <c:v>3.1078007099999998</c:v>
                </c:pt>
                <c:pt idx="5">
                  <c:v>2.8636284699999992</c:v>
                </c:pt>
                <c:pt idx="6">
                  <c:v>3.3237979600000003</c:v>
                </c:pt>
                <c:pt idx="7">
                  <c:v>4.1857828600000015</c:v>
                </c:pt>
                <c:pt idx="8">
                  <c:v>3.3502320699999997</c:v>
                </c:pt>
                <c:pt idx="9">
                  <c:v>2.7463115700000005</c:v>
                </c:pt>
                <c:pt idx="10">
                  <c:v>2.9025563099999996</c:v>
                </c:pt>
                <c:pt idx="11">
                  <c:v>3.07986396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'13_g'!$AI$65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'13_g'!$AJ$62:$AU$62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'13_g'!$AJ$65:$AU$65</c:f>
              <c:numCache>
                <c:formatCode>#,##0.00_ ;\-#,##0.00\ </c:formatCode>
                <c:ptCount val="12"/>
                <c:pt idx="0">
                  <c:v>3.1056910000000002</c:v>
                </c:pt>
                <c:pt idx="1">
                  <c:v>3.2724000000000002</c:v>
                </c:pt>
                <c:pt idx="2">
                  <c:v>3.2670339999999998</c:v>
                </c:pt>
                <c:pt idx="3">
                  <c:v>3.4881539999999998</c:v>
                </c:pt>
                <c:pt idx="4">
                  <c:v>3.6433330000000002</c:v>
                </c:pt>
                <c:pt idx="5">
                  <c:v>3.1987220000000001</c:v>
                </c:pt>
                <c:pt idx="6">
                  <c:v>3.8996779999999998</c:v>
                </c:pt>
                <c:pt idx="7">
                  <c:v>4.3961550000000003</c:v>
                </c:pt>
                <c:pt idx="8">
                  <c:v>4.1518030000000001</c:v>
                </c:pt>
                <c:pt idx="9">
                  <c:v>3.58439</c:v>
                </c:pt>
                <c:pt idx="10">
                  <c:v>4.6099379999999996</c:v>
                </c:pt>
                <c:pt idx="11">
                  <c:v>3.5928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'13_g'!$AI$66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'13_g'!$AJ$62:$AU$62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'13_g'!$AJ$66:$AU$66</c:f>
              <c:numCache>
                <c:formatCode>#,##0.00_ ;\-#,##0.00\ </c:formatCode>
                <c:ptCount val="12"/>
                <c:pt idx="0">
                  <c:v>2.6670290600000004</c:v>
                </c:pt>
                <c:pt idx="1">
                  <c:v>2.9889138100000001</c:v>
                </c:pt>
                <c:pt idx="2">
                  <c:v>2.7725530200000001</c:v>
                </c:pt>
                <c:pt idx="3">
                  <c:v>3.22030328</c:v>
                </c:pt>
                <c:pt idx="4">
                  <c:v>3.1760788900000003</c:v>
                </c:pt>
                <c:pt idx="5">
                  <c:v>3.3028072299999995</c:v>
                </c:pt>
                <c:pt idx="6">
                  <c:v>3.8537219400000007</c:v>
                </c:pt>
                <c:pt idx="7">
                  <c:v>3.6957755199999989</c:v>
                </c:pt>
                <c:pt idx="8">
                  <c:v>3.1097462699999996</c:v>
                </c:pt>
                <c:pt idx="9">
                  <c:v>2.8623683500000014</c:v>
                </c:pt>
                <c:pt idx="10">
                  <c:v>3.0094456400000005</c:v>
                </c:pt>
                <c:pt idx="11">
                  <c:v>2.8413086499999984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99136"/>
        <c:axId val="234077504"/>
      </c:lineChart>
      <c:catAx>
        <c:axId val="2334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4077504"/>
        <c:crosses val="autoZero"/>
        <c:auto val="1"/>
        <c:lblAlgn val="ctr"/>
        <c:lblOffset val="100"/>
        <c:noMultiLvlLbl val="0"/>
      </c:catAx>
      <c:valAx>
        <c:axId val="2340775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95888013999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49913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4570781474896279"/>
          <c:y val="2.2161373086791118E-2"/>
          <c:w val="0.45429218525103721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'13_g'!$AJ$85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'13_g'!$AK$85:$AV$85</c:f>
              <c:numCache>
                <c:formatCode>#,##0.00_ ;\-#,##0.00\ </c:formatCode>
                <c:ptCount val="12"/>
                <c:pt idx="0">
                  <c:v>2.7295685200000004</c:v>
                </c:pt>
                <c:pt idx="1">
                  <c:v>5.5429792100000004</c:v>
                </c:pt>
                <c:pt idx="2">
                  <c:v>8.5353673400000005</c:v>
                </c:pt>
                <c:pt idx="3">
                  <c:v>11.800809560000001</c:v>
                </c:pt>
                <c:pt idx="4">
                  <c:v>14.90861027</c:v>
                </c:pt>
                <c:pt idx="5">
                  <c:v>17.772238739999999</c:v>
                </c:pt>
                <c:pt idx="6">
                  <c:v>21.096036699999999</c:v>
                </c:pt>
                <c:pt idx="7">
                  <c:v>25.281819560000002</c:v>
                </c:pt>
                <c:pt idx="8">
                  <c:v>28.632051630000003</c:v>
                </c:pt>
                <c:pt idx="9">
                  <c:v>31.378363200000003</c:v>
                </c:pt>
                <c:pt idx="10">
                  <c:v>34.280919510000004</c:v>
                </c:pt>
                <c:pt idx="11">
                  <c:v>37.360783470000001</c:v>
                </c:pt>
              </c:numCache>
            </c:numRef>
          </c:val>
        </c:ser>
        <c:ser>
          <c:idx val="0"/>
          <c:order val="2"/>
          <c:tx>
            <c:strRef>
              <c:f>'13_g'!$AJ$87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'13_g'!$AK$83:$AV$83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'13_g'!$AK$87:$AV$87</c:f>
              <c:numCache>
                <c:formatCode>#,##0.00_ ;\-#,##0.00\ </c:formatCode>
                <c:ptCount val="12"/>
                <c:pt idx="0">
                  <c:v>2.6670290600000004</c:v>
                </c:pt>
                <c:pt idx="1">
                  <c:v>5.6559428700000005</c:v>
                </c:pt>
                <c:pt idx="2">
                  <c:v>8.4284958900000007</c:v>
                </c:pt>
                <c:pt idx="3">
                  <c:v>11.64879917</c:v>
                </c:pt>
                <c:pt idx="4">
                  <c:v>14.82487806</c:v>
                </c:pt>
                <c:pt idx="5">
                  <c:v>18.127685289999999</c:v>
                </c:pt>
                <c:pt idx="6">
                  <c:v>21.981407229999999</c:v>
                </c:pt>
                <c:pt idx="7">
                  <c:v>25.677182749999997</c:v>
                </c:pt>
                <c:pt idx="8">
                  <c:v>28.786929019999995</c:v>
                </c:pt>
                <c:pt idx="9">
                  <c:v>31.649297369999996</c:v>
                </c:pt>
                <c:pt idx="10">
                  <c:v>34.658743009999995</c:v>
                </c:pt>
                <c:pt idx="11">
                  <c:v>37.500051659999997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3499648"/>
        <c:axId val="233916096"/>
      </c:barChart>
      <c:lineChart>
        <c:grouping val="standard"/>
        <c:varyColors val="0"/>
        <c:ser>
          <c:idx val="3"/>
          <c:order val="1"/>
          <c:tx>
            <c:strRef>
              <c:f>'13_g'!$AJ$86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'13_g'!$AK$83:$AV$83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'13_g'!$AK$86:$AV$86</c:f>
              <c:numCache>
                <c:formatCode>#,##0.00_ ;\-#,##0.00\ </c:formatCode>
                <c:ptCount val="12"/>
                <c:pt idx="0">
                  <c:v>3.1056910000000002</c:v>
                </c:pt>
                <c:pt idx="1">
                  <c:v>6.3780910000000004</c:v>
                </c:pt>
                <c:pt idx="2">
                  <c:v>9.6451250000000002</c:v>
                </c:pt>
                <c:pt idx="3">
                  <c:v>13.133279</c:v>
                </c:pt>
                <c:pt idx="4">
                  <c:v>16.776612</c:v>
                </c:pt>
                <c:pt idx="5">
                  <c:v>19.975334</c:v>
                </c:pt>
                <c:pt idx="6">
                  <c:v>23.875011999999998</c:v>
                </c:pt>
                <c:pt idx="7">
                  <c:v>28.271166999999998</c:v>
                </c:pt>
                <c:pt idx="8">
                  <c:v>32.422969999999999</c:v>
                </c:pt>
                <c:pt idx="9">
                  <c:v>36.007359999999998</c:v>
                </c:pt>
                <c:pt idx="10">
                  <c:v>40.617297999999998</c:v>
                </c:pt>
                <c:pt idx="11">
                  <c:v>44.210097999999995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499648"/>
        <c:axId val="233916096"/>
      </c:lineChart>
      <c:catAx>
        <c:axId val="23349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916096"/>
        <c:crosses val="autoZero"/>
        <c:auto val="1"/>
        <c:lblAlgn val="ctr"/>
        <c:lblOffset val="100"/>
        <c:noMultiLvlLbl val="0"/>
      </c:catAx>
      <c:valAx>
        <c:axId val="2339160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5431646349498035E-2"/>
              <c:y val="1.2664779262142795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49964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34362546611"/>
          <c:y val="2.2161373086791118E-2"/>
          <c:w val="0.39103665637453389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r>
              <a:rPr lang="en-US" sz="2400" b="1" i="0" u="none" strike="noStrike" baseline="0">
                <a:solidFill>
                  <a:srgbClr val="000000"/>
                </a:solidFill>
                <a:latin typeface="TH SarabunPSK"/>
                <a:cs typeface="TH SarabunPSK"/>
              </a:rPr>
              <a:t>จำนวนผู้ใช้น้ำเพิ่ม : ราย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004252021230882E-2"/>
          <c:y val="0.12963977485318104"/>
          <c:w val="0.90075906440898423"/>
          <c:h val="0.7026078827243831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'13_g'!$T$21:$U$21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/>
          </c:spPr>
          <c:invertIfNegative val="0"/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pct40">
                <a:fgClr>
                  <a:schemeClr val="accent6"/>
                </a:fgClr>
                <a:bgClr>
                  <a:schemeClr val="bg1"/>
                </a:bgClr>
              </a:patt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'13_g'!$V$21:$AC$21</c:f>
              <c:numCache>
                <c:formatCode>#,##0</c:formatCode>
                <c:ptCount val="8"/>
                <c:pt idx="0">
                  <c:v>310.17707602339181</c:v>
                </c:pt>
                <c:pt idx="1">
                  <c:v>267</c:v>
                </c:pt>
                <c:pt idx="2">
                  <c:v>639.79204678362566</c:v>
                </c:pt>
                <c:pt idx="3">
                  <c:v>561</c:v>
                </c:pt>
                <c:pt idx="4">
                  <c:v>994.64374269005839</c:v>
                </c:pt>
                <c:pt idx="5">
                  <c:v>825</c:v>
                </c:pt>
                <c:pt idx="6">
                  <c:v>1271</c:v>
                </c:pt>
                <c:pt idx="7">
                  <c:v>1111</c:v>
                </c:pt>
              </c:numCache>
            </c:numRef>
          </c:val>
        </c:ser>
        <c:ser>
          <c:idx val="0"/>
          <c:order val="1"/>
          <c:tx>
            <c:strRef>
              <c:f>'13_g'!$T$22:$U$22</c:f>
              <c:strCache>
                <c:ptCount val="1"/>
                <c:pt idx="0">
                  <c:v>ขยายเขต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2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scene3d>
                <a:camera prst="orthographicFront"/>
                <a:lightRig rig="threePt" dir="t"/>
              </a:scene3d>
              <a:sp3d/>
            </c:spPr>
          </c:dPt>
          <c:dPt>
            <c:idx val="7"/>
            <c:invertIfNegative val="0"/>
            <c:bubble3D val="0"/>
            <c:spPr>
              <a:pattFill prst="ltUpDiag">
                <a:fgClr>
                  <a:srgbClr val="99CCFF"/>
                </a:fgClr>
                <a:bgClr>
                  <a:schemeClr val="bg1"/>
                </a:bgClr>
              </a:pattFill>
              <a:ln>
                <a:solidFill>
                  <a:srgbClr val="000099"/>
                </a:solidFill>
              </a:ln>
              <a:scene3d>
                <a:camera prst="orthographicFront"/>
                <a:lightRig rig="threePt" dir="t"/>
              </a:scene3d>
              <a:sp3d/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808080"/>
                      </a:solidFill>
                      <a:latin typeface="TH SarabunPSK"/>
                      <a:ea typeface="TH SarabunPSK"/>
                      <a:cs typeface="TH SarabunPSK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TH SarabunPSK"/>
                    <a:ea typeface="TH SarabunPSK"/>
                    <a:cs typeface="TH SarabunPSK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'13_g'!$V$20:$AC$20</c:f>
              <c:strCache>
                <c:ptCount val="8"/>
                <c:pt idx="0">
                  <c:v>เป้า</c:v>
                </c:pt>
                <c:pt idx="1">
                  <c:v>Q1</c:v>
                </c:pt>
                <c:pt idx="2">
                  <c:v>เป้า</c:v>
                </c:pt>
                <c:pt idx="3">
                  <c:v>Q2</c:v>
                </c:pt>
                <c:pt idx="4">
                  <c:v>เป้า</c:v>
                </c:pt>
                <c:pt idx="5">
                  <c:v>Q3</c:v>
                </c:pt>
                <c:pt idx="6">
                  <c:v>เป้า</c:v>
                </c:pt>
                <c:pt idx="7">
                  <c:v>Q4</c:v>
                </c:pt>
              </c:strCache>
            </c:strRef>
          </c:cat>
          <c:val>
            <c:numRef>
              <c:f>'13_g'!$V$22:$AC$22</c:f>
              <c:numCache>
                <c:formatCode>#,##0</c:formatCode>
                <c:ptCount val="8"/>
                <c:pt idx="0">
                  <c:v>7</c:v>
                </c:pt>
                <c:pt idx="1">
                  <c:v>40</c:v>
                </c:pt>
                <c:pt idx="2">
                  <c:v>14</c:v>
                </c:pt>
                <c:pt idx="3">
                  <c:v>50</c:v>
                </c:pt>
                <c:pt idx="4">
                  <c:v>26</c:v>
                </c:pt>
                <c:pt idx="5">
                  <c:v>60</c:v>
                </c:pt>
                <c:pt idx="6">
                  <c:v>48</c:v>
                </c:pt>
                <c:pt idx="7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33500160"/>
        <c:axId val="233918400"/>
      </c:barChart>
      <c:catAx>
        <c:axId val="233500160"/>
        <c:scaling>
          <c:orientation val="minMax"/>
        </c:scaling>
        <c:delete val="1"/>
        <c:axPos val="b"/>
        <c:majorTickMark val="out"/>
        <c:minorTickMark val="none"/>
        <c:tickLblPos val="nextTo"/>
        <c:crossAx val="233918400"/>
        <c:crosses val="autoZero"/>
        <c:auto val="1"/>
        <c:lblAlgn val="ctr"/>
        <c:lblOffset val="100"/>
        <c:noMultiLvlLbl val="0"/>
      </c:catAx>
      <c:valAx>
        <c:axId val="23391840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H SarabunPSK"/>
                <a:ea typeface="TH SarabunPSK"/>
                <a:cs typeface="TH SarabunPSK"/>
              </a:defRPr>
            </a:pPr>
            <a:endParaRPr lang="th-TH"/>
          </a:p>
        </c:txPr>
        <c:crossAx val="2335001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632956647930195"/>
          <c:y val="4.8388727724823874E-2"/>
          <c:w val="0.21673907006035575"/>
          <c:h val="0.10625113966017406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TH SarabunPSK"/>
              <a:ea typeface="TH SarabunPSK"/>
              <a:cs typeface="TH SarabunPSK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H SarabunPSK"/>
          <a:ea typeface="TH SarabunPSK"/>
          <a:cs typeface="TH SarabunPSK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505270204522779"/>
          <c:y val="0.27379635993071583"/>
          <c:w val="0.51181475668317633"/>
          <c:h val="0.6637866352112241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('14'!$A$9,'14'!$A$13,'14'!$A$17)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('14'!$B$9,'14'!$B$13,'14'!$B$17)</c:f>
              <c:numCache>
                <c:formatCode>_-* #,##0_-;\-* #,##0_-;_-* "-"??_-;_-@_-</c:formatCode>
                <c:ptCount val="3"/>
                <c:pt idx="0">
                  <c:v>16611</c:v>
                </c:pt>
                <c:pt idx="1">
                  <c:v>1595</c:v>
                </c:pt>
                <c:pt idx="2">
                  <c:v>549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ผู้ใช้น้ำ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979315914423165"/>
          <c:y val="0.27614190684094231"/>
          <c:w val="0.51462366938880655"/>
          <c:h val="0.68074755049130153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('14'!$A$9,'14'!$A$13,'14'!$A$17)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('14'!$G$9,'14'!$G$13,'14'!$G$17)</c:f>
              <c:numCache>
                <c:formatCode>_-* #,##0_-;\-* #,##0_-;_-* "-"??_-;_-@_-</c:formatCode>
                <c:ptCount val="3"/>
                <c:pt idx="0">
                  <c:v>17495</c:v>
                </c:pt>
                <c:pt idx="1">
                  <c:v>1653</c:v>
                </c:pt>
                <c:pt idx="2">
                  <c:v>554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011013747358041"/>
          <c:y val="0.26440953323496336"/>
          <c:w val="0.53931914862392361"/>
          <c:h val="0.68473240538822544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('14'!$A$9,'14'!$A$13,'14'!$A$17)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('14'!$C$9,'14'!$C$13,'14'!$C$17)</c:f>
              <c:numCache>
                <c:formatCode>_(* #,##0.00_);_(* \(#,##0.00\);_(* "-"??_);_(@_)</c:formatCode>
                <c:ptCount val="3"/>
                <c:pt idx="0">
                  <c:v>2.9054709999999999</c:v>
                </c:pt>
                <c:pt idx="1">
                  <c:v>1.3899429999999999</c:v>
                </c:pt>
                <c:pt idx="2">
                  <c:v>0.67452900000000005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น้ำผ่านมาตร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766383303860159"/>
          <c:y val="0.28731420939873681"/>
          <c:w val="0.50023372084981621"/>
          <c:h val="0.668156515771217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('14'!$A$9,'14'!$A$13,'14'!$A$17)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('14'!$H$9,'14'!$H$13,'14'!$H$17)</c:f>
              <c:numCache>
                <c:formatCode>_(* #,##0.00_);_(* \(#,##0.00\);_(* "-"??_);_(@_)</c:formatCode>
                <c:ptCount val="3"/>
                <c:pt idx="0">
                  <c:v>3.0042049999999998</c:v>
                </c:pt>
                <c:pt idx="1">
                  <c:v>1.4589909999999999</c:v>
                </c:pt>
                <c:pt idx="2">
                  <c:v>0.70253399999999999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- 2559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104001798263881"/>
          <c:y val="0.25191502444079278"/>
          <c:w val="0.51372379460124162"/>
          <c:h val="0.69606919241830201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('14'!$A$9,'14'!$A$13,'14'!$A$17)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('14'!$E$9,'14'!$E$13,'14'!$E$17)</c:f>
              <c:numCache>
                <c:formatCode>_(* #,##0.00_);_(* \(#,##0.00\);_(* "-"??_);_(@_)</c:formatCode>
                <c:ptCount val="3"/>
                <c:pt idx="0">
                  <c:v>39.092777030000001</c:v>
                </c:pt>
                <c:pt idx="1">
                  <c:v>31.28044629</c:v>
                </c:pt>
                <c:pt idx="2">
                  <c:v>18.890034699999998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18379774507620997"/>
          <c:y val="0.17221860919262225"/>
          <c:w val="0.82963571712918915"/>
          <c:h val="0.2545071797765893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'00_g'!$A$18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'00_g'!$B$16:$M$16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'00_g'!$B$18:$M$18</c:f>
              <c:numCache>
                <c:formatCode>#,##0_ ;\-#,##0\ </c:formatCode>
                <c:ptCount val="12"/>
                <c:pt idx="0">
                  <c:v>1185</c:v>
                </c:pt>
                <c:pt idx="1">
                  <c:v>1513</c:v>
                </c:pt>
                <c:pt idx="2">
                  <c:v>1477</c:v>
                </c:pt>
                <c:pt idx="3">
                  <c:v>1184</c:v>
                </c:pt>
                <c:pt idx="4">
                  <c:v>1682</c:v>
                </c:pt>
                <c:pt idx="5">
                  <c:v>2017</c:v>
                </c:pt>
                <c:pt idx="6">
                  <c:v>1778</c:v>
                </c:pt>
                <c:pt idx="7">
                  <c:v>2307</c:v>
                </c:pt>
                <c:pt idx="8">
                  <c:v>2464</c:v>
                </c:pt>
                <c:pt idx="9">
                  <c:v>1659</c:v>
                </c:pt>
                <c:pt idx="10">
                  <c:v>1975</c:v>
                </c:pt>
                <c:pt idx="11">
                  <c:v>2284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'00_g'!$A$19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'00_g'!$B$16:$M$16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'00_g'!$B$19:$M$19</c:f>
              <c:numCache>
                <c:formatCode>#,##0_ ;\-#,##0\ </c:formatCode>
                <c:ptCount val="12"/>
                <c:pt idx="0">
                  <c:v>1493.5236963601665</c:v>
                </c:pt>
                <c:pt idx="1">
                  <c:v>1600.5476583531117</c:v>
                </c:pt>
                <c:pt idx="2">
                  <c:v>1513.7758102981145</c:v>
                </c:pt>
                <c:pt idx="3">
                  <c:v>1467.2750300223981</c:v>
                </c:pt>
                <c:pt idx="4">
                  <c:v>1939.4170583833165</c:v>
                </c:pt>
                <c:pt idx="5">
                  <c:v>2069.4107403808753</c:v>
                </c:pt>
                <c:pt idx="6">
                  <c:v>1886.6372465131287</c:v>
                </c:pt>
                <c:pt idx="7">
                  <c:v>2039.3220987639236</c:v>
                </c:pt>
                <c:pt idx="8">
                  <c:v>2111.5110146156389</c:v>
                </c:pt>
                <c:pt idx="9">
                  <c:v>1720.1958038670077</c:v>
                </c:pt>
                <c:pt idx="10">
                  <c:v>1779.0919029958891</c:v>
                </c:pt>
                <c:pt idx="11">
                  <c:v>1879.2919394464295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'00_g'!$A$20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'00_g'!$B$16:$M$16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'00_g'!$B$20:$M$20</c:f>
              <c:numCache>
                <c:formatCode>#,##0_ ;\-#,##0\ </c:formatCode>
                <c:ptCount val="12"/>
                <c:pt idx="0">
                  <c:v>1846</c:v>
                </c:pt>
                <c:pt idx="1">
                  <c:v>1511</c:v>
                </c:pt>
                <c:pt idx="2">
                  <c:v>1450</c:v>
                </c:pt>
                <c:pt idx="3">
                  <c:v>1282</c:v>
                </c:pt>
                <c:pt idx="4">
                  <c:v>1405</c:v>
                </c:pt>
                <c:pt idx="5">
                  <c:v>1879</c:v>
                </c:pt>
                <c:pt idx="6">
                  <c:v>1201</c:v>
                </c:pt>
                <c:pt idx="7">
                  <c:v>1390</c:v>
                </c:pt>
                <c:pt idx="8">
                  <c:v>1480</c:v>
                </c:pt>
                <c:pt idx="9">
                  <c:v>1319</c:v>
                </c:pt>
                <c:pt idx="10">
                  <c:v>1868</c:v>
                </c:pt>
                <c:pt idx="11">
                  <c:v>2402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54880"/>
        <c:axId val="167445632"/>
      </c:lineChart>
      <c:catAx>
        <c:axId val="16735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7445632"/>
        <c:crosses val="autoZero"/>
        <c:auto val="1"/>
        <c:lblAlgn val="ctr"/>
        <c:lblOffset val="100"/>
        <c:noMultiLvlLbl val="0"/>
      </c:catAx>
      <c:valAx>
        <c:axId val="16744563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167354880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59971217254230891"/>
          <c:y val="2.2161373086791118E-2"/>
          <c:w val="0.4002878274576910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 - 2560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392739075554489"/>
          <c:y val="0.26119989471096311"/>
          <c:w val="0.51369678026887855"/>
          <c:h val="0.72619752117582315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Lbls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('14'!$A$9,'14'!$A$13,'14'!$A$17)</c:f>
              <c:strCache>
                <c:ptCount val="3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</c:strCache>
            </c:strRef>
          </c:cat>
          <c:val>
            <c:numRef>
              <c:f>('14'!$J$9,'14'!$J$13,'14'!$J$17)</c:f>
              <c:numCache>
                <c:formatCode>_(* #,##0.00_);_(* \(#,##0.00\);_(* "-"??_);_(@_)</c:formatCode>
                <c:ptCount val="3"/>
                <c:pt idx="0">
                  <c:v>40.213662490000004</c:v>
                </c:pt>
                <c:pt idx="1">
                  <c:v>33.01107786</c:v>
                </c:pt>
                <c:pt idx="2">
                  <c:v>19.895773980000001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อัตราการใช้น้ำ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454068241469816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('14'!$A$9,'14'!$A$13,'14'!$A$17,'14'!$A$20)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('14'!$D$9,'14'!$D$13,'14'!$D$17,'14'!$D$20)</c:f>
              <c:numCache>
                <c:formatCode>_-* #,##0.000_-;\-* #,##0.000_-;_-* "-"??_-;_-@_-</c:formatCode>
                <c:ptCount val="4"/>
                <c:pt idx="0">
                  <c:v>0.49155208846164905</c:v>
                </c:pt>
                <c:pt idx="1">
                  <c:v>2.5548896435415163</c:v>
                </c:pt>
                <c:pt idx="2">
                  <c:v>3.4574829888386276</c:v>
                </c:pt>
                <c:pt idx="3">
                  <c:v>0.7473671547165498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('14'!$A$9,'14'!$A$13,'14'!$A$17,'14'!$A$20)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('14'!$I$9,'14'!$I$13,'14'!$I$17,'14'!$I$20)</c:f>
              <c:numCache>
                <c:formatCode>_-* #,##0.000_-;\-* #,##0.000_-;_-* "-"??_-;_-@_-</c:formatCode>
                <c:ptCount val="4"/>
                <c:pt idx="0">
                  <c:v>0.48265399813153026</c:v>
                </c:pt>
                <c:pt idx="1">
                  <c:v>2.4613519805654902</c:v>
                </c:pt>
                <c:pt idx="2">
                  <c:v>3.4900284404923059</c:v>
                </c:pt>
                <c:pt idx="3">
                  <c:v>0.73602646756152845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33127936"/>
        <c:axId val="231928896"/>
      </c:barChart>
      <c:catAx>
        <c:axId val="2331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1928896"/>
        <c:crosses val="autoZero"/>
        <c:auto val="1"/>
        <c:lblAlgn val="ctr"/>
        <c:lblOffset val="100"/>
        <c:noMultiLvlLbl val="0"/>
      </c:catAx>
      <c:valAx>
        <c:axId val="2319288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ลบ.ม./ราย/วัน</a:t>
                </a:r>
              </a:p>
            </c:rich>
          </c:tx>
          <c:layout>
            <c:manualLayout>
              <c:xMode val="edge"/>
              <c:yMode val="edge"/>
              <c:x val="3.3333333333333333E-2"/>
              <c:y val="0.10149496937882764"/>
            </c:manualLayout>
          </c:layout>
          <c:overlay val="0"/>
        </c:title>
        <c:numFmt formatCode="_-* #,##0.000_-;\-* #,##0.000_-;_-* &quot;-&quot;??_-;_-@_-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127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70430124805827"/>
          <c:y val="1.305774278215223E-3"/>
          <c:w val="0.97537993465102568"/>
          <c:h val="0.17522382618839311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t>รายได้ค่าน้ำ/ลบ.ม.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72462817147857"/>
          <c:y val="0.193669072615923"/>
          <c:w val="0.85176290463692028"/>
          <c:h val="0.69097623213764947"/>
        </c:manualLayout>
      </c:layout>
      <c:barChart>
        <c:barDir val="col"/>
        <c:grouping val="clustered"/>
        <c:varyColors val="0"/>
        <c:ser>
          <c:idx val="0"/>
          <c:order val="0"/>
          <c:tx>
            <c:v>2559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8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('14'!$A$9,'14'!$A$13,'14'!$A$17,'14'!$A$20)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('14'!$F$9,'14'!$F$13,'14'!$F$17,'14'!$F$20)</c:f>
              <c:numCache>
                <c:formatCode>_(* #,##0.00_);_(* \(#,##0.00\);_(* "-"??_);_(@_)</c:formatCode>
                <c:ptCount val="4"/>
                <c:pt idx="0">
                  <c:v>13.454884605628486</c:v>
                </c:pt>
                <c:pt idx="1">
                  <c:v>22.504841054633179</c:v>
                </c:pt>
                <c:pt idx="2">
                  <c:v>28.004777704146147</c:v>
                </c:pt>
                <c:pt idx="3">
                  <c:v>17.960621886407957</c:v>
                </c:pt>
              </c:numCache>
            </c:numRef>
          </c:val>
        </c:ser>
        <c:ser>
          <c:idx val="1"/>
          <c:order val="1"/>
          <c:tx>
            <c:v>2560</c:v>
          </c:tx>
          <c:invertIfNegative val="0"/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('14'!$A$9,'14'!$A$13,'14'!$A$17,'14'!$A$20)</c:f>
              <c:strCache>
                <c:ptCount val="4"/>
                <c:pt idx="0">
                  <c:v>ประเภท 1 </c:v>
                </c:pt>
                <c:pt idx="1">
                  <c:v>ประเภท 2 </c:v>
                </c:pt>
                <c:pt idx="2">
                  <c:v>ประเภท 3</c:v>
                </c:pt>
                <c:pt idx="3">
                  <c:v>รวม</c:v>
                </c:pt>
              </c:strCache>
            </c:strRef>
          </c:cat>
          <c:val>
            <c:numRef>
              <c:f>('14'!$K$9,'14'!$K$13,'14'!$K$17,'14'!$K$20)</c:f>
              <c:numCache>
                <c:formatCode>_(* #,##0.00_);_(* \(#,##0.00\);_(* "-"??_);_(@_)</c:formatCode>
                <c:ptCount val="4"/>
                <c:pt idx="0">
                  <c:v>13.385791745237094</c:v>
                </c:pt>
                <c:pt idx="1">
                  <c:v>22.625964012115222</c:v>
                </c:pt>
                <c:pt idx="2">
                  <c:v>28.320015799947051</c:v>
                </c:pt>
                <c:pt idx="3">
                  <c:v>18.026593401126263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233128960"/>
        <c:axId val="231930624"/>
      </c:barChart>
      <c:catAx>
        <c:axId val="2331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1930624"/>
        <c:crosses val="autoZero"/>
        <c:auto val="1"/>
        <c:lblAlgn val="ctr"/>
        <c:lblOffset val="100"/>
        <c:noMultiLvlLbl val="0"/>
      </c:catAx>
      <c:valAx>
        <c:axId val="23193062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บาท/ลบ.ม.</a:t>
                </a:r>
              </a:p>
            </c:rich>
          </c:tx>
          <c:layout>
            <c:manualLayout>
              <c:xMode val="edge"/>
              <c:yMode val="edge"/>
              <c:x val="1.6666720783613389E-2"/>
              <c:y val="8.7606080489938759E-2"/>
            </c:manualLayout>
          </c:layout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128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87982076467245718"/>
          <c:y val="1.5194663167104112E-2"/>
          <c:w val="0.98333327921638658"/>
          <c:h val="0.1826290463692038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'14_g'!$A$18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4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/>
                </a:solidFill>
              </a:ln>
            </c:spPr>
          </c:marker>
          <c:cat>
            <c:strRef>
              <c:f>'14_g'!$B$16:$M$16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'14_g'!$B$18:$M$18</c:f>
              <c:numCache>
                <c:formatCode>#,##0_ ;\-#,##0\ </c:formatCode>
                <c:ptCount val="12"/>
                <c:pt idx="0">
                  <c:v>44</c:v>
                </c:pt>
                <c:pt idx="1">
                  <c:v>193</c:v>
                </c:pt>
                <c:pt idx="2">
                  <c:v>80</c:v>
                </c:pt>
                <c:pt idx="3">
                  <c:v>40</c:v>
                </c:pt>
                <c:pt idx="4">
                  <c:v>84</c:v>
                </c:pt>
                <c:pt idx="5">
                  <c:v>100</c:v>
                </c:pt>
                <c:pt idx="6">
                  <c:v>78</c:v>
                </c:pt>
                <c:pt idx="7">
                  <c:v>110</c:v>
                </c:pt>
                <c:pt idx="8">
                  <c:v>233</c:v>
                </c:pt>
                <c:pt idx="9">
                  <c:v>92</c:v>
                </c:pt>
                <c:pt idx="10">
                  <c:v>45</c:v>
                </c:pt>
                <c:pt idx="11">
                  <c:v>48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'14_g'!$A$19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'14_g'!$B$16:$M$16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'14_g'!$B$19:$M$19</c:f>
              <c:numCache>
                <c:formatCode>#,##0_ ;\-#,##0\ </c:formatCode>
                <c:ptCount val="12"/>
                <c:pt idx="0">
                  <c:v>72.95952023988005</c:v>
                </c:pt>
                <c:pt idx="1">
                  <c:v>115.74032983508245</c:v>
                </c:pt>
                <c:pt idx="2">
                  <c:v>79.260569715142424</c:v>
                </c:pt>
                <c:pt idx="3">
                  <c:v>66.326836581709145</c:v>
                </c:pt>
                <c:pt idx="4">
                  <c:v>77.934032983508246</c:v>
                </c:pt>
                <c:pt idx="5">
                  <c:v>85.229985007496254</c:v>
                </c:pt>
                <c:pt idx="6">
                  <c:v>107.78110944527735</c:v>
                </c:pt>
                <c:pt idx="7">
                  <c:v>99.49025487256371</c:v>
                </c:pt>
                <c:pt idx="8">
                  <c:v>133.31694152923538</c:v>
                </c:pt>
                <c:pt idx="9">
                  <c:v>97.500449775112429</c:v>
                </c:pt>
                <c:pt idx="10">
                  <c:v>80.918740629685146</c:v>
                </c:pt>
                <c:pt idx="11">
                  <c:v>89.541229385307332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'14_g'!$A$20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7030A0"/>
              </a:solidFill>
            </a:ln>
          </c:spPr>
          <c:marker>
            <c:symbol val="circle"/>
            <c:size val="7"/>
            <c:spPr>
              <a:solidFill>
                <a:srgbClr val="7030A0"/>
              </a:solidFill>
            </c:spPr>
          </c:marker>
          <c:cat>
            <c:strRef>
              <c:f>'14_g'!$B$16:$M$16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'14_g'!$B$20:$M$20</c:f>
              <c:numCache>
                <c:formatCode>#,##0_ ;\-#,##0\ </c:formatCode>
                <c:ptCount val="12"/>
                <c:pt idx="0">
                  <c:v>139</c:v>
                </c:pt>
                <c:pt idx="1">
                  <c:v>151</c:v>
                </c:pt>
                <c:pt idx="2">
                  <c:v>72</c:v>
                </c:pt>
                <c:pt idx="3">
                  <c:v>41</c:v>
                </c:pt>
                <c:pt idx="4">
                  <c:v>103</c:v>
                </c:pt>
                <c:pt idx="5">
                  <c:v>247</c:v>
                </c:pt>
                <c:pt idx="6">
                  <c:v>93</c:v>
                </c:pt>
                <c:pt idx="7">
                  <c:v>81</c:v>
                </c:pt>
                <c:pt idx="8">
                  <c:v>42</c:v>
                </c:pt>
                <c:pt idx="9">
                  <c:v>46</c:v>
                </c:pt>
                <c:pt idx="10">
                  <c:v>78</c:v>
                </c:pt>
                <c:pt idx="11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99968"/>
        <c:axId val="233185856"/>
      </c:lineChart>
      <c:catAx>
        <c:axId val="23329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185856"/>
        <c:crosses val="autoZero"/>
        <c:auto val="1"/>
        <c:lblAlgn val="ctr"/>
        <c:lblOffset val="100"/>
        <c:noMultiLvlLbl val="0"/>
      </c:catAx>
      <c:valAx>
        <c:axId val="2331858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299968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1514185176192182"/>
          <c:y val="2.2161373086791118E-2"/>
          <c:w val="0.38485814823807818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8.9260373352207378E-2"/>
          <c:w val="0.90677392046641947"/>
          <c:h val="0.809617800583915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'14_g'!$B$39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'14_g'!$C$39:$N$39</c:f>
              <c:numCache>
                <c:formatCode>#,##0_ ;\-#,##0\ </c:formatCode>
                <c:ptCount val="12"/>
                <c:pt idx="0">
                  <c:v>44</c:v>
                </c:pt>
                <c:pt idx="1">
                  <c:v>237</c:v>
                </c:pt>
                <c:pt idx="2">
                  <c:v>317</c:v>
                </c:pt>
                <c:pt idx="3">
                  <c:v>357</c:v>
                </c:pt>
                <c:pt idx="4">
                  <c:v>441</c:v>
                </c:pt>
                <c:pt idx="5">
                  <c:v>541</c:v>
                </c:pt>
                <c:pt idx="6">
                  <c:v>619</c:v>
                </c:pt>
                <c:pt idx="7">
                  <c:v>729</c:v>
                </c:pt>
                <c:pt idx="8">
                  <c:v>962</c:v>
                </c:pt>
                <c:pt idx="9">
                  <c:v>1054</c:v>
                </c:pt>
                <c:pt idx="10">
                  <c:v>1099</c:v>
                </c:pt>
                <c:pt idx="11">
                  <c:v>1147</c:v>
                </c:pt>
              </c:numCache>
            </c:numRef>
          </c:val>
        </c:ser>
        <c:ser>
          <c:idx val="0"/>
          <c:order val="2"/>
          <c:tx>
            <c:strRef>
              <c:f>'14_g'!$B$41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'14_g'!$C$41:$N$41</c:f>
              <c:numCache>
                <c:formatCode>#,##0_ ;\-#,##0\ </c:formatCode>
                <c:ptCount val="12"/>
                <c:pt idx="0">
                  <c:v>139</c:v>
                </c:pt>
                <c:pt idx="1">
                  <c:v>290</c:v>
                </c:pt>
                <c:pt idx="2">
                  <c:v>362</c:v>
                </c:pt>
                <c:pt idx="3">
                  <c:v>403</c:v>
                </c:pt>
                <c:pt idx="4">
                  <c:v>506</c:v>
                </c:pt>
                <c:pt idx="5">
                  <c:v>753</c:v>
                </c:pt>
                <c:pt idx="6">
                  <c:v>846</c:v>
                </c:pt>
                <c:pt idx="7">
                  <c:v>927</c:v>
                </c:pt>
                <c:pt idx="8">
                  <c:v>969</c:v>
                </c:pt>
                <c:pt idx="9">
                  <c:v>1015</c:v>
                </c:pt>
                <c:pt idx="10">
                  <c:v>1093</c:v>
                </c:pt>
                <c:pt idx="11">
                  <c:v>1123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3300992"/>
        <c:axId val="233188160"/>
      </c:barChart>
      <c:lineChart>
        <c:grouping val="standard"/>
        <c:varyColors val="0"/>
        <c:ser>
          <c:idx val="3"/>
          <c:order val="1"/>
          <c:tx>
            <c:strRef>
              <c:f>'14_g'!$B$40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'14_g'!$C$37:$N$37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'14_g'!$C$40:$N$40</c:f>
              <c:numCache>
                <c:formatCode>#,##0_ ;\-#,##0\ </c:formatCode>
                <c:ptCount val="12"/>
                <c:pt idx="0">
                  <c:v>72.95952023988005</c:v>
                </c:pt>
                <c:pt idx="1">
                  <c:v>188.69985007496251</c:v>
                </c:pt>
                <c:pt idx="2">
                  <c:v>267.96041979010494</c:v>
                </c:pt>
                <c:pt idx="3">
                  <c:v>334.28725637181407</c:v>
                </c:pt>
                <c:pt idx="4">
                  <c:v>412.22128935532231</c:v>
                </c:pt>
                <c:pt idx="5">
                  <c:v>497.45127436281859</c:v>
                </c:pt>
                <c:pt idx="6">
                  <c:v>605.23238380809596</c:v>
                </c:pt>
                <c:pt idx="7">
                  <c:v>704.72263868065966</c:v>
                </c:pt>
                <c:pt idx="8">
                  <c:v>838.03958020989501</c:v>
                </c:pt>
                <c:pt idx="9">
                  <c:v>935.54002998500744</c:v>
                </c:pt>
                <c:pt idx="10">
                  <c:v>1016.4587706146926</c:v>
                </c:pt>
                <c:pt idx="11">
                  <c:v>1106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00992"/>
        <c:axId val="233188160"/>
      </c:lineChart>
      <c:catAx>
        <c:axId val="23330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188160"/>
        <c:crosses val="autoZero"/>
        <c:auto val="1"/>
        <c:lblAlgn val="ctr"/>
        <c:lblOffset val="100"/>
        <c:noMultiLvlLbl val="0"/>
      </c:catAx>
      <c:valAx>
        <c:axId val="23318816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ราย</a:t>
                </a:r>
              </a:p>
            </c:rich>
          </c:tx>
          <c:layout>
            <c:manualLayout>
              <c:xMode val="edge"/>
              <c:yMode val="edge"/>
              <c:x val="1.5431526941485255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30099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089632545931758"/>
          <c:y val="2.2161373086791118E-2"/>
          <c:w val="0.3910367454068242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54328224772845E-2"/>
          <c:y val="9.3079234757423204E-2"/>
          <c:w val="0.88763994328520068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'14_g'!$AI$18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3">
                  <a:lumMod val="75000"/>
                </a:schemeClr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cat>
            <c:strRef>
              <c:f>'14_g'!$AJ$16:$AU$16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'14_g'!$AJ$18:$AU$18</c:f>
              <c:numCache>
                <c:formatCode>#,##0.000_ ;\-#,##0.000\ </c:formatCode>
                <c:ptCount val="12"/>
                <c:pt idx="0">
                  <c:v>0.38727200000000001</c:v>
                </c:pt>
                <c:pt idx="1">
                  <c:v>0.40864400000000001</c:v>
                </c:pt>
                <c:pt idx="2">
                  <c:v>0.40455000000000002</c:v>
                </c:pt>
                <c:pt idx="3">
                  <c:v>0.424205</c:v>
                </c:pt>
                <c:pt idx="4">
                  <c:v>0.40276600000000001</c:v>
                </c:pt>
                <c:pt idx="5">
                  <c:v>0.40003100000000003</c:v>
                </c:pt>
                <c:pt idx="6">
                  <c:v>0.44283</c:v>
                </c:pt>
                <c:pt idx="7">
                  <c:v>0.46995599999999998</c:v>
                </c:pt>
                <c:pt idx="8">
                  <c:v>0.428035</c:v>
                </c:pt>
                <c:pt idx="9">
                  <c:v>0.39705200000000002</c:v>
                </c:pt>
                <c:pt idx="10">
                  <c:v>0.40498000000000001</c:v>
                </c:pt>
                <c:pt idx="11">
                  <c:v>0.40474500000000002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'14_g'!$AI$19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'14_g'!$AJ$16:$AU$16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'14_g'!$AJ$19:$AU$19</c:f>
              <c:numCache>
                <c:formatCode>#,##0.000_ ;\-#,##0.000\ </c:formatCode>
                <c:ptCount val="12"/>
                <c:pt idx="0">
                  <c:v>0.42913899999999999</c:v>
                </c:pt>
                <c:pt idx="1">
                  <c:v>0.44989200000000001</c:v>
                </c:pt>
                <c:pt idx="2">
                  <c:v>0.43992500000000001</c:v>
                </c:pt>
                <c:pt idx="3">
                  <c:v>0.45133499999999999</c:v>
                </c:pt>
                <c:pt idx="4">
                  <c:v>0.43314900000000001</c:v>
                </c:pt>
                <c:pt idx="5">
                  <c:v>0.42931000000000002</c:v>
                </c:pt>
                <c:pt idx="6">
                  <c:v>0.47330499999999998</c:v>
                </c:pt>
                <c:pt idx="7">
                  <c:v>0.50051900000000005</c:v>
                </c:pt>
                <c:pt idx="8">
                  <c:v>0.47231600000000001</c:v>
                </c:pt>
                <c:pt idx="9">
                  <c:v>0.44744</c:v>
                </c:pt>
                <c:pt idx="10">
                  <c:v>0.44311400000000001</c:v>
                </c:pt>
                <c:pt idx="11">
                  <c:v>0.44884600000000002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'14_g'!$AI$20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6600"/>
              </a:solidFill>
            </a:ln>
          </c:spPr>
          <c:marker>
            <c:symbol val="circl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</c:spPr>
          </c:marker>
          <c:cat>
            <c:strRef>
              <c:f>'14_g'!$AJ$16:$AU$16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'14_g'!$AJ$20:$AU$20</c:f>
              <c:numCache>
                <c:formatCode>#,##0.000_ ;\-#,##0.000\ </c:formatCode>
                <c:ptCount val="12"/>
                <c:pt idx="0">
                  <c:v>0.38655400000000001</c:v>
                </c:pt>
                <c:pt idx="1">
                  <c:v>0.40917100000000001</c:v>
                </c:pt>
                <c:pt idx="2">
                  <c:v>0.41414299999999998</c:v>
                </c:pt>
                <c:pt idx="3">
                  <c:v>0.42419499999999999</c:v>
                </c:pt>
                <c:pt idx="4">
                  <c:v>0.43355900000000003</c:v>
                </c:pt>
                <c:pt idx="5">
                  <c:v>0.41814800000000002</c:v>
                </c:pt>
                <c:pt idx="6">
                  <c:v>0.48757699999999998</c:v>
                </c:pt>
                <c:pt idx="7">
                  <c:v>0.49199100000000001</c:v>
                </c:pt>
                <c:pt idx="8">
                  <c:v>0.44381900000000002</c:v>
                </c:pt>
                <c:pt idx="9">
                  <c:v>0.424286</c:v>
                </c:pt>
                <c:pt idx="10">
                  <c:v>0.42061500000000002</c:v>
                </c:pt>
                <c:pt idx="11">
                  <c:v>0.41854200000000003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01504"/>
        <c:axId val="233190464"/>
      </c:lineChart>
      <c:catAx>
        <c:axId val="2333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190464"/>
        <c:crosses val="autoZero"/>
        <c:auto val="1"/>
        <c:lblAlgn val="ctr"/>
        <c:lblOffset val="100"/>
        <c:noMultiLvlLbl val="0"/>
      </c:catAx>
      <c:valAx>
        <c:axId val="23319046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6506576180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30150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18285697707"/>
          <c:y val="2.2161373086791118E-2"/>
          <c:w val="0.3512889894288076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6717099511563306E-2"/>
          <c:w val="0.90677392046641947"/>
          <c:h val="0.802161122459104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'14_g'!$AJ$39</c:f>
              <c:strCache>
                <c:ptCount val="1"/>
                <c:pt idx="0">
                  <c:v>Y59</c:v>
                </c:pt>
              </c:strCache>
            </c:strRef>
          </c:tx>
          <c:spPr>
            <a:solidFill>
              <a:schemeClr val="accent3"/>
            </a:solidFill>
            <a:ln>
              <a:noFill/>
              <a:prstDash val="sysDash"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'14_g'!$AK$39:$AV$39</c:f>
              <c:numCache>
                <c:formatCode>#,##0.000_ ;\-#,##0.000\ </c:formatCode>
                <c:ptCount val="12"/>
                <c:pt idx="0">
                  <c:v>0.38727200000000001</c:v>
                </c:pt>
                <c:pt idx="1">
                  <c:v>0.79591600000000007</c:v>
                </c:pt>
                <c:pt idx="2">
                  <c:v>1.200466</c:v>
                </c:pt>
                <c:pt idx="3">
                  <c:v>1.624671</c:v>
                </c:pt>
                <c:pt idx="4">
                  <c:v>2.0274369999999999</c:v>
                </c:pt>
                <c:pt idx="5">
                  <c:v>2.4274680000000002</c:v>
                </c:pt>
                <c:pt idx="6">
                  <c:v>2.870298</c:v>
                </c:pt>
                <c:pt idx="7">
                  <c:v>3.3402539999999998</c:v>
                </c:pt>
                <c:pt idx="8">
                  <c:v>3.7682889999999998</c:v>
                </c:pt>
                <c:pt idx="9">
                  <c:v>4.1653409999999997</c:v>
                </c:pt>
                <c:pt idx="10">
                  <c:v>4.5703209999999999</c:v>
                </c:pt>
                <c:pt idx="11">
                  <c:v>4.975066</c:v>
                </c:pt>
              </c:numCache>
            </c:numRef>
          </c:val>
        </c:ser>
        <c:ser>
          <c:idx val="0"/>
          <c:order val="2"/>
          <c:tx>
            <c:strRef>
              <c:f>'14_g'!$AJ$41</c:f>
              <c:strCache>
                <c:ptCount val="1"/>
                <c:pt idx="0">
                  <c:v>Y60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'14_g'!$AK$37:$AV$37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'14_g'!$AK$41:$AV$41</c:f>
              <c:numCache>
                <c:formatCode>#,##0.000_ ;\-#,##0.000\ </c:formatCode>
                <c:ptCount val="12"/>
                <c:pt idx="0">
                  <c:v>0.38655400000000001</c:v>
                </c:pt>
                <c:pt idx="1">
                  <c:v>0.79572500000000002</c:v>
                </c:pt>
                <c:pt idx="2">
                  <c:v>1.2098679999999999</c:v>
                </c:pt>
                <c:pt idx="3">
                  <c:v>1.6340629999999998</c:v>
                </c:pt>
                <c:pt idx="4">
                  <c:v>2.0676220000000001</c:v>
                </c:pt>
                <c:pt idx="5">
                  <c:v>2.48577</c:v>
                </c:pt>
                <c:pt idx="6">
                  <c:v>2.973347</c:v>
                </c:pt>
                <c:pt idx="7">
                  <c:v>3.465338</c:v>
                </c:pt>
                <c:pt idx="8">
                  <c:v>3.909157</c:v>
                </c:pt>
                <c:pt idx="9">
                  <c:v>4.3334429999999999</c:v>
                </c:pt>
                <c:pt idx="10">
                  <c:v>4.7540579999999997</c:v>
                </c:pt>
                <c:pt idx="11">
                  <c:v>5.1726000000000001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44"/>
        <c:axId val="233302016"/>
        <c:axId val="233192768"/>
      </c:barChart>
      <c:lineChart>
        <c:grouping val="standard"/>
        <c:varyColors val="0"/>
        <c:ser>
          <c:idx val="3"/>
          <c:order val="1"/>
          <c:tx>
            <c:strRef>
              <c:f>'14_g'!$AJ$40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>
              <a:solidFill>
                <a:srgbClr val="C00000"/>
              </a:solidFill>
              <a:prstDash val="sysDash"/>
            </a:ln>
          </c:spPr>
          <c:marker>
            <c:symbol val="circl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'14_g'!$AK$37:$AV$37</c:f>
              <c:strCache>
                <c:ptCount val="12"/>
                <c:pt idx="0">
                  <c:v>1M</c:v>
                </c:pt>
                <c:pt idx="1">
                  <c:v>2M</c:v>
                </c:pt>
                <c:pt idx="2">
                  <c:v>3M</c:v>
                </c:pt>
                <c:pt idx="3">
                  <c:v>4M</c:v>
                </c:pt>
                <c:pt idx="4">
                  <c:v>5M</c:v>
                </c:pt>
                <c:pt idx="5">
                  <c:v>6M</c:v>
                </c:pt>
                <c:pt idx="6">
                  <c:v>7M</c:v>
                </c:pt>
                <c:pt idx="7">
                  <c:v>8M</c:v>
                </c:pt>
                <c:pt idx="8">
                  <c:v>9M</c:v>
                </c:pt>
                <c:pt idx="9">
                  <c:v>10M</c:v>
                </c:pt>
                <c:pt idx="10">
                  <c:v>11M</c:v>
                </c:pt>
                <c:pt idx="11">
                  <c:v>12M</c:v>
                </c:pt>
              </c:strCache>
            </c:strRef>
          </c:cat>
          <c:val>
            <c:numRef>
              <c:f>'14_g'!$AK$40:$AV$40</c:f>
              <c:numCache>
                <c:formatCode>#,##0.000_ ;\-#,##0.000\ </c:formatCode>
                <c:ptCount val="12"/>
                <c:pt idx="0">
                  <c:v>0.42913899999999999</c:v>
                </c:pt>
                <c:pt idx="1">
                  <c:v>0.87903100000000001</c:v>
                </c:pt>
                <c:pt idx="2">
                  <c:v>1.318956</c:v>
                </c:pt>
                <c:pt idx="3">
                  <c:v>1.7702910000000001</c:v>
                </c:pt>
                <c:pt idx="4">
                  <c:v>2.2034400000000001</c:v>
                </c:pt>
                <c:pt idx="5">
                  <c:v>2.6327500000000001</c:v>
                </c:pt>
                <c:pt idx="6">
                  <c:v>3.106055</c:v>
                </c:pt>
                <c:pt idx="7">
                  <c:v>3.6065740000000002</c:v>
                </c:pt>
                <c:pt idx="8">
                  <c:v>4.0788900000000003</c:v>
                </c:pt>
                <c:pt idx="9">
                  <c:v>4.5263300000000006</c:v>
                </c:pt>
                <c:pt idx="10">
                  <c:v>4.9694440000000011</c:v>
                </c:pt>
                <c:pt idx="11">
                  <c:v>5.4182900000000007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02016"/>
        <c:axId val="233192768"/>
      </c:lineChart>
      <c:catAx>
        <c:axId val="23330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192768"/>
        <c:crosses val="autoZero"/>
        <c:auto val="1"/>
        <c:lblAlgn val="ctr"/>
        <c:lblOffset val="100"/>
        <c:noMultiLvlLbl val="0"/>
      </c:catAx>
      <c:valAx>
        <c:axId val="2331927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5431632689749397E-2"/>
              <c:y val="1.2664779262142795E-2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30201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41455434514"/>
          <c:y val="2.2161373086791118E-2"/>
          <c:w val="0.33180958544565486"/>
          <c:h val="6.905629773806364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20332883490772E-2"/>
          <c:y val="9.3079234757423204E-2"/>
          <c:w val="0.90677392046641947"/>
          <c:h val="0.8057990381244089"/>
        </c:manualLayout>
      </c:layout>
      <c:lineChart>
        <c:grouping val="standard"/>
        <c:varyColors val="0"/>
        <c:ser>
          <c:idx val="2"/>
          <c:order val="0"/>
          <c:tx>
            <c:strRef>
              <c:f>'14_g'!$AY$18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6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'14_g'!$AZ$16:$BK$16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'14_g'!$AZ$18:$BK$18</c:f>
              <c:numCache>
                <c:formatCode>#,##0.000_ ;\-#,##0.000\ </c:formatCode>
                <c:ptCount val="12"/>
                <c:pt idx="0">
                  <c:v>0.143097</c:v>
                </c:pt>
                <c:pt idx="1">
                  <c:v>0.154581</c:v>
                </c:pt>
                <c:pt idx="2">
                  <c:v>0.16043399999999999</c:v>
                </c:pt>
                <c:pt idx="3">
                  <c:v>0.26965099999999997</c:v>
                </c:pt>
                <c:pt idx="4">
                  <c:v>0.25317699999999999</c:v>
                </c:pt>
                <c:pt idx="5">
                  <c:v>0.18129799999999999</c:v>
                </c:pt>
                <c:pt idx="6">
                  <c:v>0.152943</c:v>
                </c:pt>
                <c:pt idx="7">
                  <c:v>0.143204</c:v>
                </c:pt>
                <c:pt idx="8">
                  <c:v>0.13439699999999999</c:v>
                </c:pt>
                <c:pt idx="9">
                  <c:v>0.13882</c:v>
                </c:pt>
                <c:pt idx="10">
                  <c:v>0.21374899999999999</c:v>
                </c:pt>
                <c:pt idx="11">
                  <c:v>0.192136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'14_g'!$AY$19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rgbClr val="C00000"/>
                </a:solidFill>
              </a:ln>
            </c:spPr>
          </c:marker>
          <c:cat>
            <c:strRef>
              <c:f>'14_g'!$AZ$16:$BK$16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'14_g'!$AZ$19:$BK$19</c:f>
              <c:numCache>
                <c:formatCode>#,##0.000_ ;\-#,##0.000\ </c:formatCode>
                <c:ptCount val="12"/>
                <c:pt idx="0">
                  <c:v>0.14910000000000001</c:v>
                </c:pt>
                <c:pt idx="1">
                  <c:v>0.14675199999999999</c:v>
                </c:pt>
                <c:pt idx="2">
                  <c:v>0.13867499999999999</c:v>
                </c:pt>
                <c:pt idx="3">
                  <c:v>0.179845</c:v>
                </c:pt>
                <c:pt idx="4">
                  <c:v>0.166384</c:v>
                </c:pt>
                <c:pt idx="5">
                  <c:v>0.15819800000000001</c:v>
                </c:pt>
                <c:pt idx="6">
                  <c:v>0.13650399999999999</c:v>
                </c:pt>
                <c:pt idx="7">
                  <c:v>0.13964199999999999</c:v>
                </c:pt>
                <c:pt idx="8">
                  <c:v>0.133073</c:v>
                </c:pt>
                <c:pt idx="9">
                  <c:v>0.129413</c:v>
                </c:pt>
                <c:pt idx="10">
                  <c:v>0.15951399999999999</c:v>
                </c:pt>
                <c:pt idx="11">
                  <c:v>0.16900000000000001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'14_g'!$AY$20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000099"/>
              </a:solidFill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'14_g'!$AZ$16:$BK$16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'14_g'!$AZ$20:$BK$20</c:f>
              <c:numCache>
                <c:formatCode>#,##0.000_ ;\-#,##0.000\ </c:formatCode>
                <c:ptCount val="12"/>
                <c:pt idx="0">
                  <c:v>0.15474299999999999</c:v>
                </c:pt>
                <c:pt idx="1">
                  <c:v>0.145035</c:v>
                </c:pt>
                <c:pt idx="2">
                  <c:v>0.14882999999999999</c:v>
                </c:pt>
                <c:pt idx="3">
                  <c:v>0.132296</c:v>
                </c:pt>
                <c:pt idx="4">
                  <c:v>0.11222699999999999</c:v>
                </c:pt>
                <c:pt idx="5">
                  <c:v>0.16031300000000001</c:v>
                </c:pt>
                <c:pt idx="6">
                  <c:v>0.125718</c:v>
                </c:pt>
                <c:pt idx="7">
                  <c:v>0.110085</c:v>
                </c:pt>
                <c:pt idx="8">
                  <c:v>0.16154199999999999</c:v>
                </c:pt>
                <c:pt idx="9">
                  <c:v>0.181503</c:v>
                </c:pt>
                <c:pt idx="10">
                  <c:v>0.160694</c:v>
                </c:pt>
                <c:pt idx="11">
                  <c:v>0.122505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03552"/>
        <c:axId val="235947712"/>
      </c:lineChart>
      <c:catAx>
        <c:axId val="23330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947712"/>
        <c:crosses val="autoZero"/>
        <c:auto val="1"/>
        <c:lblAlgn val="ctr"/>
        <c:lblOffset val="100"/>
        <c:noMultiLvlLbl val="0"/>
      </c:catAx>
      <c:valAx>
        <c:axId val="2359477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rPr lang="th-TH"/>
                  <a:t>ล้าน ลบ.ม.</a:t>
                </a:r>
              </a:p>
            </c:rich>
          </c:tx>
          <c:layout>
            <c:manualLayout>
              <c:xMode val="edge"/>
              <c:yMode val="edge"/>
              <c:x val="1.1833017223212061E-2"/>
              <c:y val="8.919460910082869E-3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3303552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469901335325785"/>
          <c:y val="2.2161373086791118E-2"/>
          <c:w val="0.3530098664674215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413649074832179E-2"/>
          <c:y val="0.10417370004151037"/>
          <c:w val="0.90677392046641947"/>
          <c:h val="0.79470452192915764"/>
        </c:manualLayout>
      </c:layout>
      <c:lineChart>
        <c:grouping val="standard"/>
        <c:varyColors val="0"/>
        <c:ser>
          <c:idx val="2"/>
          <c:order val="0"/>
          <c:tx>
            <c:strRef>
              <c:f>'14_g'!$AY$39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ysDash"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'14_g'!$AZ$37:$BO$37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'14_g'!$AZ$39:$BO$39</c:f>
              <c:numCache>
                <c:formatCode>_(* #,##0.00_);_(* \(#,##0.00\);_(* "-"??_);_(@_)</c:formatCode>
                <c:ptCount val="16"/>
                <c:pt idx="0">
                  <c:v>26.980649321510121</c:v>
                </c:pt>
                <c:pt idx="1">
                  <c:v>27.445692218917838</c:v>
                </c:pt>
                <c:pt idx="2">
                  <c:v>28.396202370332613</c:v>
                </c:pt>
                <c:pt idx="3">
                  <c:v>27.620769116677057</c:v>
                </c:pt>
                <c:pt idx="4">
                  <c:v>38.862674676013462</c:v>
                </c:pt>
                <c:pt idx="5">
                  <c:v>38.59740861629745</c:v>
                </c:pt>
                <c:pt idx="6">
                  <c:v>31.186278574119402</c:v>
                </c:pt>
                <c:pt idx="7">
                  <c:v>32.376878839440224</c:v>
                </c:pt>
                <c:pt idx="8">
                  <c:v>25.659467594107195</c:v>
                </c:pt>
                <c:pt idx="9">
                  <c:v>23.353060029712353</c:v>
                </c:pt>
                <c:pt idx="10">
                  <c:v>23.894669094115805</c:v>
                </c:pt>
                <c:pt idx="11">
                  <c:v>29.708134055180015</c:v>
                </c:pt>
                <c:pt idx="12">
                  <c:v>25.905440105099725</c:v>
                </c:pt>
                <c:pt idx="13">
                  <c:v>34.546465415391872</c:v>
                </c:pt>
                <c:pt idx="14">
                  <c:v>32.190001021979256</c:v>
                </c:pt>
                <c:pt idx="15">
                  <c:v>30.050783672969004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'14_g'!$AY$40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17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'14_g'!$AZ$37:$BO$37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'14_g'!$AZ$40:$BO$40</c:f>
              <c:numCache>
                <c:formatCode>_(* #,##0.00_);_(* \(#,##0.00\);_(* "-"??_);_(@_)</c:formatCode>
                <c:ptCount val="16"/>
                <c:pt idx="0">
                  <c:v>25.00003460499779</c:v>
                </c:pt>
                <c:pt idx="1">
                  <c:v>25.00003460499779</c:v>
                </c:pt>
                <c:pt idx="2">
                  <c:v>25.00003460499779</c:v>
                </c:pt>
                <c:pt idx="3">
                  <c:v>25.00003460499779</c:v>
                </c:pt>
                <c:pt idx="4">
                  <c:v>25.00003460499779</c:v>
                </c:pt>
                <c:pt idx="5">
                  <c:v>25.00003460499779</c:v>
                </c:pt>
                <c:pt idx="6">
                  <c:v>25.00003460499779</c:v>
                </c:pt>
                <c:pt idx="7">
                  <c:v>25.00003460499779</c:v>
                </c:pt>
                <c:pt idx="8">
                  <c:v>25.00003460499779</c:v>
                </c:pt>
                <c:pt idx="9">
                  <c:v>25.00003460499779</c:v>
                </c:pt>
                <c:pt idx="10">
                  <c:v>25.00003460499779</c:v>
                </c:pt>
                <c:pt idx="11">
                  <c:v>25.00003460499779</c:v>
                </c:pt>
                <c:pt idx="12">
                  <c:v>25.00003460499779</c:v>
                </c:pt>
                <c:pt idx="13">
                  <c:v>25.00003460499779</c:v>
                </c:pt>
                <c:pt idx="14">
                  <c:v>25.00003460499779</c:v>
                </c:pt>
                <c:pt idx="15">
                  <c:v>25.00003460499779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'14_g'!$AY$41</c:f>
              <c:strCache>
                <c:ptCount val="1"/>
                <c:pt idx="0">
                  <c:v>Y60</c:v>
                </c:pt>
              </c:strCache>
            </c:strRef>
          </c:tx>
          <c:spPr>
            <a:ln w="41275" cmpd="sng">
              <a:solidFill>
                <a:srgbClr val="000099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Ref>
              <c:f>'14_g'!$AZ$37:$BO$37</c:f>
              <c:strCache>
                <c:ptCount val="16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Q1</c:v>
                </c:pt>
                <c:pt idx="4">
                  <c:v>ม.ค.</c:v>
                </c:pt>
                <c:pt idx="5">
                  <c:v>ก.พ.</c:v>
                </c:pt>
                <c:pt idx="6">
                  <c:v>มี.ค.</c:v>
                </c:pt>
                <c:pt idx="7">
                  <c:v>Q2</c:v>
                </c:pt>
                <c:pt idx="8">
                  <c:v>เม.ย.</c:v>
                </c:pt>
                <c:pt idx="9">
                  <c:v>พ.ค.</c:v>
                </c:pt>
                <c:pt idx="10">
                  <c:v>มิ.ย.</c:v>
                </c:pt>
                <c:pt idx="11">
                  <c:v>Q3</c:v>
                </c:pt>
                <c:pt idx="12">
                  <c:v>ก.ค.</c:v>
                </c:pt>
                <c:pt idx="13">
                  <c:v>ส.ค.</c:v>
                </c:pt>
                <c:pt idx="14">
                  <c:v>ก.ย.</c:v>
                </c:pt>
                <c:pt idx="15">
                  <c:v>Q4</c:v>
                </c:pt>
              </c:strCache>
            </c:strRef>
          </c:cat>
          <c:val>
            <c:numRef>
              <c:f>'14_g'!$AZ$41:$BO$41</c:f>
              <c:numCache>
                <c:formatCode>_(* #,##0.00_);_(* \(#,##0.00\);_(* "-"??_);_(@_)</c:formatCode>
                <c:ptCount val="16"/>
                <c:pt idx="0">
                  <c:v>28.587448295482886</c:v>
                </c:pt>
                <c:pt idx="1">
                  <c:v>26.169871852704592</c:v>
                </c:pt>
                <c:pt idx="2">
                  <c:v>26.436436560900788</c:v>
                </c:pt>
                <c:pt idx="3">
                  <c:v>27.049411628507137</c:v>
                </c:pt>
                <c:pt idx="4">
                  <c:v>23.773250600638647</c:v>
                </c:pt>
                <c:pt idx="5">
                  <c:v>20.562454881583626</c:v>
                </c:pt>
                <c:pt idx="6">
                  <c:v>27.713709307974089</c:v>
                </c:pt>
                <c:pt idx="7">
                  <c:v>25.558230170333495</c:v>
                </c:pt>
                <c:pt idx="8">
                  <c:v>20.498547208389994</c:v>
                </c:pt>
                <c:pt idx="9">
                  <c:v>18.283720289058337</c:v>
                </c:pt>
                <c:pt idx="10">
                  <c:v>26.685234099983319</c:v>
                </c:pt>
                <c:pt idx="11">
                  <c:v>24.240237830840101</c:v>
                </c:pt>
                <c:pt idx="12">
                  <c:v>29.961422211364024</c:v>
                </c:pt>
                <c:pt idx="13">
                  <c:v>27.643473608700365</c:v>
                </c:pt>
                <c:pt idx="14">
                  <c:v>22.642210380983538</c:v>
                </c:pt>
                <c:pt idx="15">
                  <c:v>24.905086514960914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61664"/>
        <c:axId val="235950016"/>
      </c:lineChart>
      <c:catAx>
        <c:axId val="23576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950016"/>
        <c:crosses val="autoZero"/>
        <c:auto val="1"/>
        <c:lblAlgn val="ctr"/>
        <c:lblOffset val="100"/>
        <c:noMultiLvlLbl val="0"/>
      </c:catAx>
      <c:valAx>
        <c:axId val="2359500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1.5431737314590873E-2"/>
              <c:y val="1.2664779262142795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761664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66819055239342195"/>
          <c:y val="2.2161373086791118E-2"/>
          <c:w val="0.28303079897922689"/>
          <c:h val="6.8530773540947831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278177242617E-2"/>
          <c:y val="8.9260373352207378E-2"/>
          <c:w val="0.88515751605789184"/>
          <c:h val="0.80961780058391564"/>
        </c:manualLayout>
      </c:layout>
      <c:lineChart>
        <c:grouping val="standard"/>
        <c:varyColors val="0"/>
        <c:ser>
          <c:idx val="1"/>
          <c:order val="0"/>
          <c:tx>
            <c:strRef>
              <c:f>'14_g'!$A$64</c:f>
              <c:strCache>
                <c:ptCount val="1"/>
                <c:pt idx="0">
                  <c:v>Y59</c:v>
                </c:pt>
              </c:strCache>
            </c:strRef>
          </c:tx>
          <c:spPr>
            <a:ln w="38100">
              <a:solidFill>
                <a:srgbClr val="FF99CC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</c:spPr>
          </c:marker>
          <c:cat>
            <c:strRef>
              <c:f>'14_g'!$B$62:$M$62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'14_g'!$B$64:$M$64</c:f>
              <c:numCache>
                <c:formatCode>#,##0.00_ ;\-#,##0.00\ </c:formatCode>
                <c:ptCount val="12"/>
                <c:pt idx="0">
                  <c:v>7.4560674799999997</c:v>
                </c:pt>
                <c:pt idx="1">
                  <c:v>8.7829819199999992</c:v>
                </c:pt>
                <c:pt idx="2">
                  <c:v>7.8804949000000004</c:v>
                </c:pt>
                <c:pt idx="3">
                  <c:v>8.3616838799999993</c:v>
                </c:pt>
                <c:pt idx="4">
                  <c:v>7.9255115500000004</c:v>
                </c:pt>
                <c:pt idx="5">
                  <c:v>7.8781358100000007</c:v>
                </c:pt>
                <c:pt idx="6">
                  <c:v>8.6558303500000005</c:v>
                </c:pt>
                <c:pt idx="7">
                  <c:v>9.1523136799999989</c:v>
                </c:pt>
                <c:pt idx="8">
                  <c:v>8.5747778199999996</c:v>
                </c:pt>
                <c:pt idx="9">
                  <c:v>8.3066584700000003</c:v>
                </c:pt>
                <c:pt idx="10">
                  <c:v>7.8305983899999996</c:v>
                </c:pt>
                <c:pt idx="11">
                  <c:v>8.6393313000000003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'14_g'!$A$65</c:f>
              <c:strCache>
                <c:ptCount val="1"/>
                <c:pt idx="0">
                  <c:v>เป้า 60</c:v>
                </c:pt>
              </c:strCache>
            </c:strRef>
          </c:tx>
          <c:spPr>
            <a:ln w="34925">
              <a:solidFill>
                <a:srgbClr val="C00000"/>
              </a:solidFill>
              <a:prstDash val="sysDash"/>
            </a:ln>
          </c:spPr>
          <c:marker>
            <c:symbol val="plus"/>
            <c:size val="7"/>
            <c:spPr>
              <a:noFill/>
              <a:ln>
                <a:solidFill>
                  <a:schemeClr val="accent2"/>
                </a:solidFill>
              </a:ln>
            </c:spPr>
          </c:marker>
          <c:cat>
            <c:strRef>
              <c:f>'14_g'!$B$62:$M$62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'14_g'!$B$65:$M$65</c:f>
              <c:numCache>
                <c:formatCode>#,##0.00_ ;\-#,##0.00\ </c:formatCode>
                <c:ptCount val="12"/>
                <c:pt idx="0">
                  <c:v>8.5410389999999996</c:v>
                </c:pt>
                <c:pt idx="1">
                  <c:v>9.9776570000000007</c:v>
                </c:pt>
                <c:pt idx="2">
                  <c:v>8.9951799999999995</c:v>
                </c:pt>
                <c:pt idx="3">
                  <c:v>9.0408500000000007</c:v>
                </c:pt>
                <c:pt idx="4">
                  <c:v>8.6222539999999999</c:v>
                </c:pt>
                <c:pt idx="5">
                  <c:v>8.8016559999999995</c:v>
                </c:pt>
                <c:pt idx="6">
                  <c:v>10.168262</c:v>
                </c:pt>
                <c:pt idx="7">
                  <c:v>9.7644479999999998</c:v>
                </c:pt>
                <c:pt idx="8">
                  <c:v>9.732742</c:v>
                </c:pt>
                <c:pt idx="9">
                  <c:v>9.5269940000000002</c:v>
                </c:pt>
                <c:pt idx="10">
                  <c:v>8.855105</c:v>
                </c:pt>
                <c:pt idx="11">
                  <c:v>10.65137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'14_g'!$A$66</c:f>
              <c:strCache>
                <c:ptCount val="1"/>
                <c:pt idx="0">
                  <c:v>Y60</c:v>
                </c:pt>
              </c:strCache>
            </c:strRef>
          </c:tx>
          <c:spPr>
            <a:ln w="41275">
              <a:solidFill>
                <a:srgbClr val="FF00FF"/>
              </a:solidFill>
            </a:ln>
          </c:spPr>
          <c:marker>
            <c:symbol val="circ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</a:ln>
            </c:spPr>
          </c:marker>
          <c:cat>
            <c:strRef>
              <c:f>'14_g'!$B$62:$M$62</c:f>
              <c:strCache>
                <c:ptCount val="12"/>
                <c:pt idx="0">
                  <c:v>ต.ค.</c:v>
                </c:pt>
                <c:pt idx="1">
                  <c:v>พ.ย.</c:v>
                </c:pt>
                <c:pt idx="2">
                  <c:v>ธ.ค.</c:v>
                </c:pt>
                <c:pt idx="3">
                  <c:v>ม.ค.</c:v>
                </c:pt>
                <c:pt idx="4">
                  <c:v>ก.พ.</c:v>
                </c:pt>
                <c:pt idx="5">
                  <c:v>มี.ค.</c:v>
                </c:pt>
                <c:pt idx="6">
                  <c:v>เม.ย.</c:v>
                </c:pt>
                <c:pt idx="7">
                  <c:v>พ.ค.</c:v>
                </c:pt>
                <c:pt idx="8">
                  <c:v>มิ.ย.</c:v>
                </c:pt>
                <c:pt idx="9">
                  <c:v>ก.ค.</c:v>
                </c:pt>
                <c:pt idx="10">
                  <c:v>ส.ค.</c:v>
                </c:pt>
                <c:pt idx="11">
                  <c:v>ก.ย.</c:v>
                </c:pt>
              </c:strCache>
            </c:strRef>
          </c:cat>
          <c:val>
            <c:numRef>
              <c:f>'14_g'!$B$66:$M$66</c:f>
              <c:numCache>
                <c:formatCode>#,##0.00_ ;\-#,##0.00\ </c:formatCode>
                <c:ptCount val="12"/>
                <c:pt idx="0">
                  <c:v>8.0680252299999999</c:v>
                </c:pt>
                <c:pt idx="1">
                  <c:v>8.1125517299999998</c:v>
                </c:pt>
                <c:pt idx="2">
                  <c:v>8.1309493799999988</c:v>
                </c:pt>
                <c:pt idx="3">
                  <c:v>8.31012123</c:v>
                </c:pt>
                <c:pt idx="4">
                  <c:v>9.2361784200000017</c:v>
                </c:pt>
                <c:pt idx="5">
                  <c:v>8.3939050799999997</c:v>
                </c:pt>
                <c:pt idx="6">
                  <c:v>9.6922896200000004</c:v>
                </c:pt>
                <c:pt idx="7">
                  <c:v>9.7105611099999987</c:v>
                </c:pt>
                <c:pt idx="8">
                  <c:v>8.9191697899999998</c:v>
                </c:pt>
                <c:pt idx="9">
                  <c:v>8.3310734399999991</c:v>
                </c:pt>
                <c:pt idx="10">
                  <c:v>8.9128980099999993</c:v>
                </c:pt>
                <c:pt idx="11">
                  <c:v>8.4403754700000011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762176"/>
        <c:axId val="235952320"/>
      </c:lineChart>
      <c:catAx>
        <c:axId val="23576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952320"/>
        <c:crosses val="autoZero"/>
        <c:auto val="1"/>
        <c:lblAlgn val="ctr"/>
        <c:lblOffset val="100"/>
        <c:noMultiLvlLbl val="0"/>
      </c:catAx>
      <c:valAx>
        <c:axId val="2359523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Tahoma"/>
                    <a:ea typeface="Tahoma"/>
                    <a:cs typeface="Tahoma"/>
                  </a:defRPr>
                </a:pPr>
                <a:r>
                  <a:t>ล้านบาท</a:t>
                </a:r>
              </a:p>
            </c:rich>
          </c:tx>
          <c:layout>
            <c:manualLayout>
              <c:xMode val="edge"/>
              <c:yMode val="edge"/>
              <c:x val="1.1832838075857258E-2"/>
              <c:y val="8.919460910082869E-3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th-TH"/>
          </a:p>
        </c:txPr>
        <c:crossAx val="235762176"/>
        <c:crosses val="autoZero"/>
        <c:crossBetween val="between"/>
      </c:valAx>
      <c:spPr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54570790985928519"/>
          <c:y val="2.2161373086791118E-2"/>
          <c:w val="1"/>
          <c:h val="9.0692146627738945E-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th-TH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13" Type="http://schemas.openxmlformats.org/officeDocument/2006/relationships/chart" Target="../charts/chart84.xml"/><Relationship Id="rId3" Type="http://schemas.openxmlformats.org/officeDocument/2006/relationships/chart" Target="../charts/chart74.xml"/><Relationship Id="rId7" Type="http://schemas.openxmlformats.org/officeDocument/2006/relationships/chart" Target="../charts/chart78.xml"/><Relationship Id="rId12" Type="http://schemas.openxmlformats.org/officeDocument/2006/relationships/chart" Target="../charts/chart83.xml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chart" Target="../charts/chart77.xml"/><Relationship Id="rId11" Type="http://schemas.openxmlformats.org/officeDocument/2006/relationships/chart" Target="../charts/chart82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openxmlformats.org/officeDocument/2006/relationships/chart" Target="../charts/chart75.xml"/><Relationship Id="rId9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5" Type="http://schemas.openxmlformats.org/officeDocument/2006/relationships/chart" Target="../charts/chart97.xml"/><Relationship Id="rId10" Type="http://schemas.openxmlformats.org/officeDocument/2006/relationships/chart" Target="../charts/chart102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5" Type="http://schemas.openxmlformats.org/officeDocument/2006/relationships/chart" Target="../charts/chart110.xml"/><Relationship Id="rId4" Type="http://schemas.openxmlformats.org/officeDocument/2006/relationships/chart" Target="../charts/chart10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13" Type="http://schemas.openxmlformats.org/officeDocument/2006/relationships/chart" Target="../charts/chart126.xml"/><Relationship Id="rId3" Type="http://schemas.openxmlformats.org/officeDocument/2006/relationships/chart" Target="../charts/chart116.xml"/><Relationship Id="rId7" Type="http://schemas.openxmlformats.org/officeDocument/2006/relationships/chart" Target="../charts/chart120.xml"/><Relationship Id="rId12" Type="http://schemas.openxmlformats.org/officeDocument/2006/relationships/chart" Target="../charts/chart125.xml"/><Relationship Id="rId2" Type="http://schemas.openxmlformats.org/officeDocument/2006/relationships/chart" Target="../charts/chart115.xml"/><Relationship Id="rId1" Type="http://schemas.openxmlformats.org/officeDocument/2006/relationships/chart" Target="../charts/chart114.xml"/><Relationship Id="rId6" Type="http://schemas.openxmlformats.org/officeDocument/2006/relationships/chart" Target="../charts/chart119.xml"/><Relationship Id="rId11" Type="http://schemas.openxmlformats.org/officeDocument/2006/relationships/chart" Target="../charts/chart124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openxmlformats.org/officeDocument/2006/relationships/chart" Target="../charts/chart117.xml"/><Relationship Id="rId9" Type="http://schemas.openxmlformats.org/officeDocument/2006/relationships/chart" Target="../charts/chart122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4.xml"/><Relationship Id="rId3" Type="http://schemas.openxmlformats.org/officeDocument/2006/relationships/chart" Target="../charts/chart129.xml"/><Relationship Id="rId7" Type="http://schemas.openxmlformats.org/officeDocument/2006/relationships/chart" Target="../charts/chart133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4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13" Type="http://schemas.openxmlformats.org/officeDocument/2006/relationships/chart" Target="../charts/chart147.xml"/><Relationship Id="rId3" Type="http://schemas.openxmlformats.org/officeDocument/2006/relationships/chart" Target="../charts/chart137.xml"/><Relationship Id="rId7" Type="http://schemas.openxmlformats.org/officeDocument/2006/relationships/chart" Target="../charts/chart141.xml"/><Relationship Id="rId12" Type="http://schemas.openxmlformats.org/officeDocument/2006/relationships/chart" Target="../charts/chart146.xml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Relationship Id="rId6" Type="http://schemas.openxmlformats.org/officeDocument/2006/relationships/chart" Target="../charts/chart140.xml"/><Relationship Id="rId11" Type="http://schemas.openxmlformats.org/officeDocument/2006/relationships/chart" Target="../charts/chart145.xml"/><Relationship Id="rId5" Type="http://schemas.openxmlformats.org/officeDocument/2006/relationships/chart" Target="../charts/chart139.xml"/><Relationship Id="rId10" Type="http://schemas.openxmlformats.org/officeDocument/2006/relationships/chart" Target="../charts/chart144.xml"/><Relationship Id="rId4" Type="http://schemas.openxmlformats.org/officeDocument/2006/relationships/chart" Target="../charts/chart138.xml"/><Relationship Id="rId9" Type="http://schemas.openxmlformats.org/officeDocument/2006/relationships/chart" Target="../charts/chart143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5.xml"/><Relationship Id="rId3" Type="http://schemas.openxmlformats.org/officeDocument/2006/relationships/chart" Target="../charts/chart150.xml"/><Relationship Id="rId7" Type="http://schemas.openxmlformats.org/officeDocument/2006/relationships/chart" Target="../charts/chart154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Relationship Id="rId6" Type="http://schemas.openxmlformats.org/officeDocument/2006/relationships/chart" Target="../charts/chart153.xml"/><Relationship Id="rId5" Type="http://schemas.openxmlformats.org/officeDocument/2006/relationships/chart" Target="../charts/chart152.xml"/><Relationship Id="rId4" Type="http://schemas.openxmlformats.org/officeDocument/2006/relationships/chart" Target="../charts/chart151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3.xml"/><Relationship Id="rId13" Type="http://schemas.openxmlformats.org/officeDocument/2006/relationships/chart" Target="../charts/chart168.xml"/><Relationship Id="rId3" Type="http://schemas.openxmlformats.org/officeDocument/2006/relationships/chart" Target="../charts/chart158.xml"/><Relationship Id="rId7" Type="http://schemas.openxmlformats.org/officeDocument/2006/relationships/chart" Target="../charts/chart162.xml"/><Relationship Id="rId12" Type="http://schemas.openxmlformats.org/officeDocument/2006/relationships/chart" Target="../charts/chart167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1.xml"/><Relationship Id="rId11" Type="http://schemas.openxmlformats.org/officeDocument/2006/relationships/chart" Target="../charts/chart166.xml"/><Relationship Id="rId5" Type="http://schemas.openxmlformats.org/officeDocument/2006/relationships/chart" Target="../charts/chart160.xml"/><Relationship Id="rId10" Type="http://schemas.openxmlformats.org/officeDocument/2006/relationships/chart" Target="../charts/chart165.xml"/><Relationship Id="rId4" Type="http://schemas.openxmlformats.org/officeDocument/2006/relationships/chart" Target="../charts/chart159.xml"/><Relationship Id="rId9" Type="http://schemas.openxmlformats.org/officeDocument/2006/relationships/chart" Target="../charts/chart164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3" Type="http://schemas.openxmlformats.org/officeDocument/2006/relationships/chart" Target="../charts/chart171.xml"/><Relationship Id="rId7" Type="http://schemas.openxmlformats.org/officeDocument/2006/relationships/chart" Target="../charts/chart175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4.xml"/><Relationship Id="rId13" Type="http://schemas.openxmlformats.org/officeDocument/2006/relationships/chart" Target="../charts/chart189.xml"/><Relationship Id="rId3" Type="http://schemas.openxmlformats.org/officeDocument/2006/relationships/chart" Target="../charts/chart179.xml"/><Relationship Id="rId7" Type="http://schemas.openxmlformats.org/officeDocument/2006/relationships/chart" Target="../charts/chart183.xml"/><Relationship Id="rId12" Type="http://schemas.openxmlformats.org/officeDocument/2006/relationships/chart" Target="../charts/chart188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Relationship Id="rId6" Type="http://schemas.openxmlformats.org/officeDocument/2006/relationships/chart" Target="../charts/chart182.xml"/><Relationship Id="rId11" Type="http://schemas.openxmlformats.org/officeDocument/2006/relationships/chart" Target="../charts/chart187.xml"/><Relationship Id="rId5" Type="http://schemas.openxmlformats.org/officeDocument/2006/relationships/chart" Target="../charts/chart181.xml"/><Relationship Id="rId10" Type="http://schemas.openxmlformats.org/officeDocument/2006/relationships/chart" Target="../charts/chart186.xml"/><Relationship Id="rId4" Type="http://schemas.openxmlformats.org/officeDocument/2006/relationships/chart" Target="../charts/chart180.xml"/><Relationship Id="rId9" Type="http://schemas.openxmlformats.org/officeDocument/2006/relationships/chart" Target="../charts/chart185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2.xml"/><Relationship Id="rId7" Type="http://schemas.openxmlformats.org/officeDocument/2006/relationships/chart" Target="../charts/chart196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5" Type="http://schemas.openxmlformats.org/officeDocument/2006/relationships/chart" Target="../charts/chart194.xml"/><Relationship Id="rId4" Type="http://schemas.openxmlformats.org/officeDocument/2006/relationships/chart" Target="../charts/chart193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5.xml"/><Relationship Id="rId13" Type="http://schemas.openxmlformats.org/officeDocument/2006/relationships/chart" Target="../charts/chart210.xml"/><Relationship Id="rId3" Type="http://schemas.openxmlformats.org/officeDocument/2006/relationships/chart" Target="../charts/chart200.xml"/><Relationship Id="rId7" Type="http://schemas.openxmlformats.org/officeDocument/2006/relationships/chart" Target="../charts/chart204.xml"/><Relationship Id="rId12" Type="http://schemas.openxmlformats.org/officeDocument/2006/relationships/chart" Target="../charts/chart209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Relationship Id="rId6" Type="http://schemas.openxmlformats.org/officeDocument/2006/relationships/chart" Target="../charts/chart203.xml"/><Relationship Id="rId11" Type="http://schemas.openxmlformats.org/officeDocument/2006/relationships/chart" Target="../charts/chart208.xml"/><Relationship Id="rId5" Type="http://schemas.openxmlformats.org/officeDocument/2006/relationships/chart" Target="../charts/chart202.xml"/><Relationship Id="rId10" Type="http://schemas.openxmlformats.org/officeDocument/2006/relationships/chart" Target="../charts/chart207.xml"/><Relationship Id="rId4" Type="http://schemas.openxmlformats.org/officeDocument/2006/relationships/chart" Target="../charts/chart201.xml"/><Relationship Id="rId9" Type="http://schemas.openxmlformats.org/officeDocument/2006/relationships/chart" Target="../charts/chart206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8.xml"/><Relationship Id="rId3" Type="http://schemas.openxmlformats.org/officeDocument/2006/relationships/chart" Target="../charts/chart213.xml"/><Relationship Id="rId7" Type="http://schemas.openxmlformats.org/officeDocument/2006/relationships/chart" Target="../charts/chart217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chart" Target="../charts/chart216.xml"/><Relationship Id="rId5" Type="http://schemas.openxmlformats.org/officeDocument/2006/relationships/chart" Target="../charts/chart215.xml"/><Relationship Id="rId4" Type="http://schemas.openxmlformats.org/officeDocument/2006/relationships/chart" Target="../charts/chart214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6.xml"/><Relationship Id="rId13" Type="http://schemas.openxmlformats.org/officeDocument/2006/relationships/chart" Target="../charts/chart231.xml"/><Relationship Id="rId3" Type="http://schemas.openxmlformats.org/officeDocument/2006/relationships/chart" Target="../charts/chart221.xml"/><Relationship Id="rId7" Type="http://schemas.openxmlformats.org/officeDocument/2006/relationships/chart" Target="../charts/chart225.xml"/><Relationship Id="rId12" Type="http://schemas.openxmlformats.org/officeDocument/2006/relationships/chart" Target="../charts/chart230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Relationship Id="rId6" Type="http://schemas.openxmlformats.org/officeDocument/2006/relationships/chart" Target="../charts/chart224.xml"/><Relationship Id="rId11" Type="http://schemas.openxmlformats.org/officeDocument/2006/relationships/chart" Target="../charts/chart229.xml"/><Relationship Id="rId5" Type="http://schemas.openxmlformats.org/officeDocument/2006/relationships/chart" Target="../charts/chart223.xml"/><Relationship Id="rId10" Type="http://schemas.openxmlformats.org/officeDocument/2006/relationships/chart" Target="../charts/chart228.xml"/><Relationship Id="rId4" Type="http://schemas.openxmlformats.org/officeDocument/2006/relationships/chart" Target="../charts/chart222.xml"/><Relationship Id="rId9" Type="http://schemas.openxmlformats.org/officeDocument/2006/relationships/chart" Target="../charts/chart227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9.xml"/><Relationship Id="rId3" Type="http://schemas.openxmlformats.org/officeDocument/2006/relationships/chart" Target="../charts/chart234.xml"/><Relationship Id="rId7" Type="http://schemas.openxmlformats.org/officeDocument/2006/relationships/chart" Target="../charts/chart238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Relationship Id="rId6" Type="http://schemas.openxmlformats.org/officeDocument/2006/relationships/chart" Target="../charts/chart237.xml"/><Relationship Id="rId5" Type="http://schemas.openxmlformats.org/officeDocument/2006/relationships/chart" Target="../charts/chart236.xml"/><Relationship Id="rId4" Type="http://schemas.openxmlformats.org/officeDocument/2006/relationships/chart" Target="../charts/chart235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13" Type="http://schemas.openxmlformats.org/officeDocument/2006/relationships/chart" Target="../charts/chart252.xml"/><Relationship Id="rId3" Type="http://schemas.openxmlformats.org/officeDocument/2006/relationships/chart" Target="../charts/chart242.xml"/><Relationship Id="rId7" Type="http://schemas.openxmlformats.org/officeDocument/2006/relationships/chart" Target="../charts/chart246.xml"/><Relationship Id="rId12" Type="http://schemas.openxmlformats.org/officeDocument/2006/relationships/chart" Target="../charts/chart251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Relationship Id="rId6" Type="http://schemas.openxmlformats.org/officeDocument/2006/relationships/chart" Target="../charts/chart245.xml"/><Relationship Id="rId11" Type="http://schemas.openxmlformats.org/officeDocument/2006/relationships/chart" Target="../charts/chart250.xml"/><Relationship Id="rId5" Type="http://schemas.openxmlformats.org/officeDocument/2006/relationships/chart" Target="../charts/chart244.xml"/><Relationship Id="rId10" Type="http://schemas.openxmlformats.org/officeDocument/2006/relationships/chart" Target="../charts/chart249.xml"/><Relationship Id="rId4" Type="http://schemas.openxmlformats.org/officeDocument/2006/relationships/chart" Target="../charts/chart243.xml"/><Relationship Id="rId9" Type="http://schemas.openxmlformats.org/officeDocument/2006/relationships/chart" Target="../charts/chart248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3" Type="http://schemas.openxmlformats.org/officeDocument/2006/relationships/chart" Target="../charts/chart255.xml"/><Relationship Id="rId7" Type="http://schemas.openxmlformats.org/officeDocument/2006/relationships/chart" Target="../charts/chart259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5" Type="http://schemas.openxmlformats.org/officeDocument/2006/relationships/chart" Target="../charts/chart257.xml"/><Relationship Id="rId4" Type="http://schemas.openxmlformats.org/officeDocument/2006/relationships/chart" Target="../charts/chart256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8.xml"/><Relationship Id="rId13" Type="http://schemas.openxmlformats.org/officeDocument/2006/relationships/chart" Target="../charts/chart273.xml"/><Relationship Id="rId3" Type="http://schemas.openxmlformats.org/officeDocument/2006/relationships/chart" Target="../charts/chart263.xml"/><Relationship Id="rId7" Type="http://schemas.openxmlformats.org/officeDocument/2006/relationships/chart" Target="../charts/chart267.xml"/><Relationship Id="rId12" Type="http://schemas.openxmlformats.org/officeDocument/2006/relationships/chart" Target="../charts/chart272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chart" Target="../charts/chart266.xml"/><Relationship Id="rId11" Type="http://schemas.openxmlformats.org/officeDocument/2006/relationships/chart" Target="../charts/chart271.xml"/><Relationship Id="rId5" Type="http://schemas.openxmlformats.org/officeDocument/2006/relationships/chart" Target="../charts/chart265.xml"/><Relationship Id="rId10" Type="http://schemas.openxmlformats.org/officeDocument/2006/relationships/chart" Target="../charts/chart270.xml"/><Relationship Id="rId4" Type="http://schemas.openxmlformats.org/officeDocument/2006/relationships/chart" Target="../charts/chart264.xml"/><Relationship Id="rId9" Type="http://schemas.openxmlformats.org/officeDocument/2006/relationships/chart" Target="../charts/chart26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1.xml"/><Relationship Id="rId3" Type="http://schemas.openxmlformats.org/officeDocument/2006/relationships/chart" Target="../charts/chart276.xml"/><Relationship Id="rId7" Type="http://schemas.openxmlformats.org/officeDocument/2006/relationships/chart" Target="../charts/chart280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5" Type="http://schemas.openxmlformats.org/officeDocument/2006/relationships/chart" Target="../charts/chart278.xml"/><Relationship Id="rId4" Type="http://schemas.openxmlformats.org/officeDocument/2006/relationships/chart" Target="../charts/chart277.xml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9.xml"/><Relationship Id="rId13" Type="http://schemas.openxmlformats.org/officeDocument/2006/relationships/chart" Target="../charts/chart294.xml"/><Relationship Id="rId3" Type="http://schemas.openxmlformats.org/officeDocument/2006/relationships/chart" Target="../charts/chart284.xml"/><Relationship Id="rId7" Type="http://schemas.openxmlformats.org/officeDocument/2006/relationships/chart" Target="../charts/chart288.xml"/><Relationship Id="rId12" Type="http://schemas.openxmlformats.org/officeDocument/2006/relationships/chart" Target="../charts/chart293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Relationship Id="rId6" Type="http://schemas.openxmlformats.org/officeDocument/2006/relationships/chart" Target="../charts/chart287.xml"/><Relationship Id="rId11" Type="http://schemas.openxmlformats.org/officeDocument/2006/relationships/chart" Target="../charts/chart292.xml"/><Relationship Id="rId5" Type="http://schemas.openxmlformats.org/officeDocument/2006/relationships/chart" Target="../charts/chart286.xml"/><Relationship Id="rId10" Type="http://schemas.openxmlformats.org/officeDocument/2006/relationships/chart" Target="../charts/chart291.xml"/><Relationship Id="rId4" Type="http://schemas.openxmlformats.org/officeDocument/2006/relationships/chart" Target="../charts/chart285.xml"/><Relationship Id="rId9" Type="http://schemas.openxmlformats.org/officeDocument/2006/relationships/chart" Target="../charts/chart290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2.xml"/><Relationship Id="rId3" Type="http://schemas.openxmlformats.org/officeDocument/2006/relationships/chart" Target="../charts/chart297.xml"/><Relationship Id="rId7" Type="http://schemas.openxmlformats.org/officeDocument/2006/relationships/chart" Target="../charts/chart301.xml"/><Relationship Id="rId2" Type="http://schemas.openxmlformats.org/officeDocument/2006/relationships/chart" Target="../charts/chart296.xml"/><Relationship Id="rId1" Type="http://schemas.openxmlformats.org/officeDocument/2006/relationships/chart" Target="../charts/chart295.xml"/><Relationship Id="rId6" Type="http://schemas.openxmlformats.org/officeDocument/2006/relationships/chart" Target="../charts/chart300.xml"/><Relationship Id="rId5" Type="http://schemas.openxmlformats.org/officeDocument/2006/relationships/chart" Target="../charts/chart299.xml"/><Relationship Id="rId4" Type="http://schemas.openxmlformats.org/officeDocument/2006/relationships/chart" Target="../charts/chart29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0.xml"/><Relationship Id="rId13" Type="http://schemas.openxmlformats.org/officeDocument/2006/relationships/chart" Target="../charts/chart315.xml"/><Relationship Id="rId3" Type="http://schemas.openxmlformats.org/officeDocument/2006/relationships/chart" Target="../charts/chart305.xml"/><Relationship Id="rId7" Type="http://schemas.openxmlformats.org/officeDocument/2006/relationships/chart" Target="../charts/chart309.xml"/><Relationship Id="rId12" Type="http://schemas.openxmlformats.org/officeDocument/2006/relationships/chart" Target="../charts/chart314.xml"/><Relationship Id="rId2" Type="http://schemas.openxmlformats.org/officeDocument/2006/relationships/chart" Target="../charts/chart304.xml"/><Relationship Id="rId1" Type="http://schemas.openxmlformats.org/officeDocument/2006/relationships/chart" Target="../charts/chart303.xml"/><Relationship Id="rId6" Type="http://schemas.openxmlformats.org/officeDocument/2006/relationships/chart" Target="../charts/chart308.xml"/><Relationship Id="rId11" Type="http://schemas.openxmlformats.org/officeDocument/2006/relationships/chart" Target="../charts/chart313.xml"/><Relationship Id="rId5" Type="http://schemas.openxmlformats.org/officeDocument/2006/relationships/chart" Target="../charts/chart307.xml"/><Relationship Id="rId10" Type="http://schemas.openxmlformats.org/officeDocument/2006/relationships/chart" Target="../charts/chart312.xml"/><Relationship Id="rId4" Type="http://schemas.openxmlformats.org/officeDocument/2006/relationships/chart" Target="../charts/chart306.xml"/><Relationship Id="rId9" Type="http://schemas.openxmlformats.org/officeDocument/2006/relationships/chart" Target="../charts/chart311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3.xml"/><Relationship Id="rId3" Type="http://schemas.openxmlformats.org/officeDocument/2006/relationships/chart" Target="../charts/chart318.xml"/><Relationship Id="rId7" Type="http://schemas.openxmlformats.org/officeDocument/2006/relationships/chart" Target="../charts/chart322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6" Type="http://schemas.openxmlformats.org/officeDocument/2006/relationships/chart" Target="../charts/chart321.xml"/><Relationship Id="rId5" Type="http://schemas.openxmlformats.org/officeDocument/2006/relationships/chart" Target="../charts/chart320.xml"/><Relationship Id="rId4" Type="http://schemas.openxmlformats.org/officeDocument/2006/relationships/chart" Target="../charts/chart319.xml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1.xml"/><Relationship Id="rId13" Type="http://schemas.openxmlformats.org/officeDocument/2006/relationships/chart" Target="../charts/chart336.xml"/><Relationship Id="rId3" Type="http://schemas.openxmlformats.org/officeDocument/2006/relationships/chart" Target="../charts/chart326.xml"/><Relationship Id="rId7" Type="http://schemas.openxmlformats.org/officeDocument/2006/relationships/chart" Target="../charts/chart330.xml"/><Relationship Id="rId12" Type="http://schemas.openxmlformats.org/officeDocument/2006/relationships/chart" Target="../charts/chart335.xml"/><Relationship Id="rId2" Type="http://schemas.openxmlformats.org/officeDocument/2006/relationships/chart" Target="../charts/chart325.xml"/><Relationship Id="rId1" Type="http://schemas.openxmlformats.org/officeDocument/2006/relationships/chart" Target="../charts/chart324.xml"/><Relationship Id="rId6" Type="http://schemas.openxmlformats.org/officeDocument/2006/relationships/chart" Target="../charts/chart329.xml"/><Relationship Id="rId11" Type="http://schemas.openxmlformats.org/officeDocument/2006/relationships/chart" Target="../charts/chart334.xml"/><Relationship Id="rId5" Type="http://schemas.openxmlformats.org/officeDocument/2006/relationships/chart" Target="../charts/chart328.xml"/><Relationship Id="rId10" Type="http://schemas.openxmlformats.org/officeDocument/2006/relationships/chart" Target="../charts/chart333.xml"/><Relationship Id="rId4" Type="http://schemas.openxmlformats.org/officeDocument/2006/relationships/chart" Target="../charts/chart327.xml"/><Relationship Id="rId9" Type="http://schemas.openxmlformats.org/officeDocument/2006/relationships/chart" Target="../charts/chart332.xml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4.xml"/><Relationship Id="rId3" Type="http://schemas.openxmlformats.org/officeDocument/2006/relationships/chart" Target="../charts/chart339.xml"/><Relationship Id="rId7" Type="http://schemas.openxmlformats.org/officeDocument/2006/relationships/chart" Target="../charts/chart343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Relationship Id="rId6" Type="http://schemas.openxmlformats.org/officeDocument/2006/relationships/chart" Target="../charts/chart342.xml"/><Relationship Id="rId5" Type="http://schemas.openxmlformats.org/officeDocument/2006/relationships/chart" Target="../charts/chart341.xml"/><Relationship Id="rId4" Type="http://schemas.openxmlformats.org/officeDocument/2006/relationships/chart" Target="../charts/chart340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2.xml"/><Relationship Id="rId13" Type="http://schemas.openxmlformats.org/officeDocument/2006/relationships/chart" Target="../charts/chart357.xml"/><Relationship Id="rId3" Type="http://schemas.openxmlformats.org/officeDocument/2006/relationships/chart" Target="../charts/chart347.xml"/><Relationship Id="rId7" Type="http://schemas.openxmlformats.org/officeDocument/2006/relationships/chart" Target="../charts/chart351.xml"/><Relationship Id="rId12" Type="http://schemas.openxmlformats.org/officeDocument/2006/relationships/chart" Target="../charts/chart356.xml"/><Relationship Id="rId2" Type="http://schemas.openxmlformats.org/officeDocument/2006/relationships/chart" Target="../charts/chart346.xml"/><Relationship Id="rId1" Type="http://schemas.openxmlformats.org/officeDocument/2006/relationships/chart" Target="../charts/chart345.xml"/><Relationship Id="rId6" Type="http://schemas.openxmlformats.org/officeDocument/2006/relationships/chart" Target="../charts/chart350.xml"/><Relationship Id="rId11" Type="http://schemas.openxmlformats.org/officeDocument/2006/relationships/chart" Target="../charts/chart355.xml"/><Relationship Id="rId5" Type="http://schemas.openxmlformats.org/officeDocument/2006/relationships/chart" Target="../charts/chart349.xml"/><Relationship Id="rId10" Type="http://schemas.openxmlformats.org/officeDocument/2006/relationships/chart" Target="../charts/chart354.xml"/><Relationship Id="rId4" Type="http://schemas.openxmlformats.org/officeDocument/2006/relationships/chart" Target="../charts/chart348.xml"/><Relationship Id="rId9" Type="http://schemas.openxmlformats.org/officeDocument/2006/relationships/chart" Target="../charts/chart353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5.xml"/><Relationship Id="rId3" Type="http://schemas.openxmlformats.org/officeDocument/2006/relationships/chart" Target="../charts/chart360.xml"/><Relationship Id="rId7" Type="http://schemas.openxmlformats.org/officeDocument/2006/relationships/chart" Target="../charts/chart364.xml"/><Relationship Id="rId2" Type="http://schemas.openxmlformats.org/officeDocument/2006/relationships/chart" Target="../charts/chart359.xml"/><Relationship Id="rId1" Type="http://schemas.openxmlformats.org/officeDocument/2006/relationships/chart" Target="../charts/chart358.xml"/><Relationship Id="rId6" Type="http://schemas.openxmlformats.org/officeDocument/2006/relationships/chart" Target="../charts/chart363.xml"/><Relationship Id="rId5" Type="http://schemas.openxmlformats.org/officeDocument/2006/relationships/chart" Target="../charts/chart362.xml"/><Relationship Id="rId4" Type="http://schemas.openxmlformats.org/officeDocument/2006/relationships/chart" Target="../charts/chart361.xml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3.xml"/><Relationship Id="rId13" Type="http://schemas.openxmlformats.org/officeDocument/2006/relationships/chart" Target="../charts/chart378.xml"/><Relationship Id="rId3" Type="http://schemas.openxmlformats.org/officeDocument/2006/relationships/chart" Target="../charts/chart368.xml"/><Relationship Id="rId7" Type="http://schemas.openxmlformats.org/officeDocument/2006/relationships/chart" Target="../charts/chart372.xml"/><Relationship Id="rId12" Type="http://schemas.openxmlformats.org/officeDocument/2006/relationships/chart" Target="../charts/chart377.xml"/><Relationship Id="rId2" Type="http://schemas.openxmlformats.org/officeDocument/2006/relationships/chart" Target="../charts/chart367.xml"/><Relationship Id="rId1" Type="http://schemas.openxmlformats.org/officeDocument/2006/relationships/chart" Target="../charts/chart366.xml"/><Relationship Id="rId6" Type="http://schemas.openxmlformats.org/officeDocument/2006/relationships/chart" Target="../charts/chart371.xml"/><Relationship Id="rId11" Type="http://schemas.openxmlformats.org/officeDocument/2006/relationships/chart" Target="../charts/chart376.xml"/><Relationship Id="rId5" Type="http://schemas.openxmlformats.org/officeDocument/2006/relationships/chart" Target="../charts/chart370.xml"/><Relationship Id="rId10" Type="http://schemas.openxmlformats.org/officeDocument/2006/relationships/chart" Target="../charts/chart375.xml"/><Relationship Id="rId4" Type="http://schemas.openxmlformats.org/officeDocument/2006/relationships/chart" Target="../charts/chart369.xml"/><Relationship Id="rId9" Type="http://schemas.openxmlformats.org/officeDocument/2006/relationships/chart" Target="../charts/chart374.xml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6.xml"/><Relationship Id="rId3" Type="http://schemas.openxmlformats.org/officeDocument/2006/relationships/chart" Target="../charts/chart381.xml"/><Relationship Id="rId7" Type="http://schemas.openxmlformats.org/officeDocument/2006/relationships/chart" Target="../charts/chart385.xml"/><Relationship Id="rId2" Type="http://schemas.openxmlformats.org/officeDocument/2006/relationships/chart" Target="../charts/chart380.xml"/><Relationship Id="rId1" Type="http://schemas.openxmlformats.org/officeDocument/2006/relationships/chart" Target="../charts/chart379.xml"/><Relationship Id="rId6" Type="http://schemas.openxmlformats.org/officeDocument/2006/relationships/chart" Target="../charts/chart384.xml"/><Relationship Id="rId5" Type="http://schemas.openxmlformats.org/officeDocument/2006/relationships/chart" Target="../charts/chart383.xml"/><Relationship Id="rId4" Type="http://schemas.openxmlformats.org/officeDocument/2006/relationships/chart" Target="../charts/chart382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4.xml"/><Relationship Id="rId13" Type="http://schemas.openxmlformats.org/officeDocument/2006/relationships/chart" Target="../charts/chart399.xml"/><Relationship Id="rId3" Type="http://schemas.openxmlformats.org/officeDocument/2006/relationships/chart" Target="../charts/chart389.xml"/><Relationship Id="rId7" Type="http://schemas.openxmlformats.org/officeDocument/2006/relationships/chart" Target="../charts/chart393.xml"/><Relationship Id="rId12" Type="http://schemas.openxmlformats.org/officeDocument/2006/relationships/chart" Target="../charts/chart398.xml"/><Relationship Id="rId2" Type="http://schemas.openxmlformats.org/officeDocument/2006/relationships/chart" Target="../charts/chart388.xml"/><Relationship Id="rId1" Type="http://schemas.openxmlformats.org/officeDocument/2006/relationships/chart" Target="../charts/chart387.xml"/><Relationship Id="rId6" Type="http://schemas.openxmlformats.org/officeDocument/2006/relationships/chart" Target="../charts/chart392.xml"/><Relationship Id="rId11" Type="http://schemas.openxmlformats.org/officeDocument/2006/relationships/chart" Target="../charts/chart397.xml"/><Relationship Id="rId5" Type="http://schemas.openxmlformats.org/officeDocument/2006/relationships/chart" Target="../charts/chart391.xml"/><Relationship Id="rId10" Type="http://schemas.openxmlformats.org/officeDocument/2006/relationships/chart" Target="../charts/chart396.xml"/><Relationship Id="rId4" Type="http://schemas.openxmlformats.org/officeDocument/2006/relationships/chart" Target="../charts/chart390.xml"/><Relationship Id="rId9" Type="http://schemas.openxmlformats.org/officeDocument/2006/relationships/chart" Target="../charts/chart395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2.xml"/><Relationship Id="rId7" Type="http://schemas.openxmlformats.org/officeDocument/2006/relationships/chart" Target="../charts/chart406.xml"/><Relationship Id="rId2" Type="http://schemas.openxmlformats.org/officeDocument/2006/relationships/chart" Target="../charts/chart401.xml"/><Relationship Id="rId1" Type="http://schemas.openxmlformats.org/officeDocument/2006/relationships/chart" Target="../charts/chart400.xml"/><Relationship Id="rId6" Type="http://schemas.openxmlformats.org/officeDocument/2006/relationships/chart" Target="../charts/chart405.xml"/><Relationship Id="rId5" Type="http://schemas.openxmlformats.org/officeDocument/2006/relationships/chart" Target="../charts/chart404.xml"/><Relationship Id="rId4" Type="http://schemas.openxmlformats.org/officeDocument/2006/relationships/chart" Target="../charts/chart403.xml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5.xml"/><Relationship Id="rId13" Type="http://schemas.openxmlformats.org/officeDocument/2006/relationships/chart" Target="../charts/chart420.xml"/><Relationship Id="rId3" Type="http://schemas.openxmlformats.org/officeDocument/2006/relationships/chart" Target="../charts/chart410.xml"/><Relationship Id="rId7" Type="http://schemas.openxmlformats.org/officeDocument/2006/relationships/chart" Target="../charts/chart414.xml"/><Relationship Id="rId12" Type="http://schemas.openxmlformats.org/officeDocument/2006/relationships/chart" Target="../charts/chart419.xml"/><Relationship Id="rId2" Type="http://schemas.openxmlformats.org/officeDocument/2006/relationships/chart" Target="../charts/chart409.xml"/><Relationship Id="rId1" Type="http://schemas.openxmlformats.org/officeDocument/2006/relationships/chart" Target="../charts/chart408.xml"/><Relationship Id="rId6" Type="http://schemas.openxmlformats.org/officeDocument/2006/relationships/chart" Target="../charts/chart413.xml"/><Relationship Id="rId11" Type="http://schemas.openxmlformats.org/officeDocument/2006/relationships/chart" Target="../charts/chart418.xml"/><Relationship Id="rId5" Type="http://schemas.openxmlformats.org/officeDocument/2006/relationships/chart" Target="../charts/chart412.xml"/><Relationship Id="rId10" Type="http://schemas.openxmlformats.org/officeDocument/2006/relationships/chart" Target="../charts/chart417.xml"/><Relationship Id="rId4" Type="http://schemas.openxmlformats.org/officeDocument/2006/relationships/chart" Target="../charts/chart411.xml"/><Relationship Id="rId9" Type="http://schemas.openxmlformats.org/officeDocument/2006/relationships/chart" Target="../charts/chart416.xml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8.xml"/><Relationship Id="rId3" Type="http://schemas.openxmlformats.org/officeDocument/2006/relationships/chart" Target="../charts/chart423.xml"/><Relationship Id="rId7" Type="http://schemas.openxmlformats.org/officeDocument/2006/relationships/chart" Target="../charts/chart427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chart" Target="../charts/chart426.xml"/><Relationship Id="rId5" Type="http://schemas.openxmlformats.org/officeDocument/2006/relationships/chart" Target="../charts/chart425.xml"/><Relationship Id="rId4" Type="http://schemas.openxmlformats.org/officeDocument/2006/relationships/chart" Target="../charts/chart424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6.xml"/><Relationship Id="rId13" Type="http://schemas.openxmlformats.org/officeDocument/2006/relationships/chart" Target="../charts/chart441.xml"/><Relationship Id="rId3" Type="http://schemas.openxmlformats.org/officeDocument/2006/relationships/chart" Target="../charts/chart431.xml"/><Relationship Id="rId7" Type="http://schemas.openxmlformats.org/officeDocument/2006/relationships/chart" Target="../charts/chart435.xml"/><Relationship Id="rId12" Type="http://schemas.openxmlformats.org/officeDocument/2006/relationships/chart" Target="../charts/chart440.xml"/><Relationship Id="rId2" Type="http://schemas.openxmlformats.org/officeDocument/2006/relationships/chart" Target="../charts/chart430.xml"/><Relationship Id="rId1" Type="http://schemas.openxmlformats.org/officeDocument/2006/relationships/chart" Target="../charts/chart429.xml"/><Relationship Id="rId6" Type="http://schemas.openxmlformats.org/officeDocument/2006/relationships/chart" Target="../charts/chart434.xml"/><Relationship Id="rId11" Type="http://schemas.openxmlformats.org/officeDocument/2006/relationships/chart" Target="../charts/chart439.xml"/><Relationship Id="rId5" Type="http://schemas.openxmlformats.org/officeDocument/2006/relationships/chart" Target="../charts/chart433.xml"/><Relationship Id="rId10" Type="http://schemas.openxmlformats.org/officeDocument/2006/relationships/chart" Target="../charts/chart438.xml"/><Relationship Id="rId4" Type="http://schemas.openxmlformats.org/officeDocument/2006/relationships/chart" Target="../charts/chart432.xml"/><Relationship Id="rId9" Type="http://schemas.openxmlformats.org/officeDocument/2006/relationships/chart" Target="../charts/chart437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9.xml"/><Relationship Id="rId3" Type="http://schemas.openxmlformats.org/officeDocument/2006/relationships/chart" Target="../charts/chart444.xml"/><Relationship Id="rId7" Type="http://schemas.openxmlformats.org/officeDocument/2006/relationships/chart" Target="../charts/chart448.xml"/><Relationship Id="rId2" Type="http://schemas.openxmlformats.org/officeDocument/2006/relationships/chart" Target="../charts/chart443.xml"/><Relationship Id="rId1" Type="http://schemas.openxmlformats.org/officeDocument/2006/relationships/chart" Target="../charts/chart442.xml"/><Relationship Id="rId6" Type="http://schemas.openxmlformats.org/officeDocument/2006/relationships/chart" Target="../charts/chart447.xml"/><Relationship Id="rId5" Type="http://schemas.openxmlformats.org/officeDocument/2006/relationships/chart" Target="../charts/chart446.xml"/><Relationship Id="rId4" Type="http://schemas.openxmlformats.org/officeDocument/2006/relationships/chart" Target="../charts/chart445.xml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13" Type="http://schemas.openxmlformats.org/officeDocument/2006/relationships/chart" Target="../charts/chart462.xml"/><Relationship Id="rId3" Type="http://schemas.openxmlformats.org/officeDocument/2006/relationships/chart" Target="../charts/chart452.xml"/><Relationship Id="rId7" Type="http://schemas.openxmlformats.org/officeDocument/2006/relationships/chart" Target="../charts/chart456.xml"/><Relationship Id="rId12" Type="http://schemas.openxmlformats.org/officeDocument/2006/relationships/chart" Target="../charts/chart461.xml"/><Relationship Id="rId2" Type="http://schemas.openxmlformats.org/officeDocument/2006/relationships/chart" Target="../charts/chart451.xml"/><Relationship Id="rId1" Type="http://schemas.openxmlformats.org/officeDocument/2006/relationships/chart" Target="../charts/chart450.xml"/><Relationship Id="rId6" Type="http://schemas.openxmlformats.org/officeDocument/2006/relationships/chart" Target="../charts/chart455.xml"/><Relationship Id="rId11" Type="http://schemas.openxmlformats.org/officeDocument/2006/relationships/chart" Target="../charts/chart460.xml"/><Relationship Id="rId5" Type="http://schemas.openxmlformats.org/officeDocument/2006/relationships/chart" Target="../charts/chart454.xml"/><Relationship Id="rId10" Type="http://schemas.openxmlformats.org/officeDocument/2006/relationships/chart" Target="../charts/chart459.xml"/><Relationship Id="rId4" Type="http://schemas.openxmlformats.org/officeDocument/2006/relationships/chart" Target="../charts/chart453.xml"/><Relationship Id="rId9" Type="http://schemas.openxmlformats.org/officeDocument/2006/relationships/chart" Target="../charts/chart458.xml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0.xml"/><Relationship Id="rId3" Type="http://schemas.openxmlformats.org/officeDocument/2006/relationships/chart" Target="../charts/chart465.xml"/><Relationship Id="rId7" Type="http://schemas.openxmlformats.org/officeDocument/2006/relationships/chart" Target="../charts/chart469.xml"/><Relationship Id="rId2" Type="http://schemas.openxmlformats.org/officeDocument/2006/relationships/chart" Target="../charts/chart464.xml"/><Relationship Id="rId1" Type="http://schemas.openxmlformats.org/officeDocument/2006/relationships/chart" Target="../charts/chart463.xml"/><Relationship Id="rId6" Type="http://schemas.openxmlformats.org/officeDocument/2006/relationships/chart" Target="../charts/chart468.xml"/><Relationship Id="rId5" Type="http://schemas.openxmlformats.org/officeDocument/2006/relationships/chart" Target="../charts/chart467.xml"/><Relationship Id="rId4" Type="http://schemas.openxmlformats.org/officeDocument/2006/relationships/chart" Target="../charts/chart466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8.xml"/><Relationship Id="rId13" Type="http://schemas.openxmlformats.org/officeDocument/2006/relationships/chart" Target="../charts/chart483.xml"/><Relationship Id="rId3" Type="http://schemas.openxmlformats.org/officeDocument/2006/relationships/chart" Target="../charts/chart473.xml"/><Relationship Id="rId7" Type="http://schemas.openxmlformats.org/officeDocument/2006/relationships/chart" Target="../charts/chart477.xml"/><Relationship Id="rId12" Type="http://schemas.openxmlformats.org/officeDocument/2006/relationships/chart" Target="../charts/chart482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chart" Target="../charts/chart476.xml"/><Relationship Id="rId11" Type="http://schemas.openxmlformats.org/officeDocument/2006/relationships/chart" Target="../charts/chart481.xml"/><Relationship Id="rId5" Type="http://schemas.openxmlformats.org/officeDocument/2006/relationships/chart" Target="../charts/chart475.xml"/><Relationship Id="rId10" Type="http://schemas.openxmlformats.org/officeDocument/2006/relationships/chart" Target="../charts/chart480.xml"/><Relationship Id="rId4" Type="http://schemas.openxmlformats.org/officeDocument/2006/relationships/chart" Target="../charts/chart474.xml"/><Relationship Id="rId9" Type="http://schemas.openxmlformats.org/officeDocument/2006/relationships/chart" Target="../charts/chart47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chart" Target="../charts/chart45.xml"/><Relationship Id="rId7" Type="http://schemas.openxmlformats.org/officeDocument/2006/relationships/chart" Target="../charts/chart49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1.xml"/><Relationship Id="rId3" Type="http://schemas.openxmlformats.org/officeDocument/2006/relationships/chart" Target="../charts/chart486.xml"/><Relationship Id="rId7" Type="http://schemas.openxmlformats.org/officeDocument/2006/relationships/chart" Target="../charts/chart490.xml"/><Relationship Id="rId2" Type="http://schemas.openxmlformats.org/officeDocument/2006/relationships/chart" Target="../charts/chart485.xml"/><Relationship Id="rId1" Type="http://schemas.openxmlformats.org/officeDocument/2006/relationships/chart" Target="../charts/chart484.xml"/><Relationship Id="rId6" Type="http://schemas.openxmlformats.org/officeDocument/2006/relationships/chart" Target="../charts/chart489.xml"/><Relationship Id="rId5" Type="http://schemas.openxmlformats.org/officeDocument/2006/relationships/chart" Target="../charts/chart488.xml"/><Relationship Id="rId4" Type="http://schemas.openxmlformats.org/officeDocument/2006/relationships/chart" Target="../charts/chart487.xml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9.xml"/><Relationship Id="rId13" Type="http://schemas.openxmlformats.org/officeDocument/2006/relationships/chart" Target="../charts/chart504.xml"/><Relationship Id="rId3" Type="http://schemas.openxmlformats.org/officeDocument/2006/relationships/chart" Target="../charts/chart494.xml"/><Relationship Id="rId7" Type="http://schemas.openxmlformats.org/officeDocument/2006/relationships/chart" Target="../charts/chart498.xml"/><Relationship Id="rId12" Type="http://schemas.openxmlformats.org/officeDocument/2006/relationships/chart" Target="../charts/chart503.xml"/><Relationship Id="rId2" Type="http://schemas.openxmlformats.org/officeDocument/2006/relationships/chart" Target="../charts/chart493.xml"/><Relationship Id="rId1" Type="http://schemas.openxmlformats.org/officeDocument/2006/relationships/chart" Target="../charts/chart492.xml"/><Relationship Id="rId6" Type="http://schemas.openxmlformats.org/officeDocument/2006/relationships/chart" Target="../charts/chart497.xml"/><Relationship Id="rId11" Type="http://schemas.openxmlformats.org/officeDocument/2006/relationships/chart" Target="../charts/chart502.xml"/><Relationship Id="rId5" Type="http://schemas.openxmlformats.org/officeDocument/2006/relationships/chart" Target="../charts/chart496.xml"/><Relationship Id="rId10" Type="http://schemas.openxmlformats.org/officeDocument/2006/relationships/chart" Target="../charts/chart501.xml"/><Relationship Id="rId4" Type="http://schemas.openxmlformats.org/officeDocument/2006/relationships/chart" Target="../charts/chart495.xml"/><Relationship Id="rId9" Type="http://schemas.openxmlformats.org/officeDocument/2006/relationships/chart" Target="../charts/chart500.xml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2.xml"/><Relationship Id="rId3" Type="http://schemas.openxmlformats.org/officeDocument/2006/relationships/chart" Target="../charts/chart507.xml"/><Relationship Id="rId7" Type="http://schemas.openxmlformats.org/officeDocument/2006/relationships/chart" Target="../charts/chart511.xml"/><Relationship Id="rId2" Type="http://schemas.openxmlformats.org/officeDocument/2006/relationships/chart" Target="../charts/chart506.xml"/><Relationship Id="rId1" Type="http://schemas.openxmlformats.org/officeDocument/2006/relationships/chart" Target="../charts/chart505.xml"/><Relationship Id="rId6" Type="http://schemas.openxmlformats.org/officeDocument/2006/relationships/chart" Target="../charts/chart510.xml"/><Relationship Id="rId5" Type="http://schemas.openxmlformats.org/officeDocument/2006/relationships/chart" Target="../charts/chart509.xml"/><Relationship Id="rId4" Type="http://schemas.openxmlformats.org/officeDocument/2006/relationships/chart" Target="../charts/chart50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0.xml"/><Relationship Id="rId13" Type="http://schemas.openxmlformats.org/officeDocument/2006/relationships/chart" Target="../charts/chart525.xml"/><Relationship Id="rId3" Type="http://schemas.openxmlformats.org/officeDocument/2006/relationships/chart" Target="../charts/chart515.xml"/><Relationship Id="rId7" Type="http://schemas.openxmlformats.org/officeDocument/2006/relationships/chart" Target="../charts/chart519.xml"/><Relationship Id="rId12" Type="http://schemas.openxmlformats.org/officeDocument/2006/relationships/chart" Target="../charts/chart524.xml"/><Relationship Id="rId2" Type="http://schemas.openxmlformats.org/officeDocument/2006/relationships/chart" Target="../charts/chart514.xml"/><Relationship Id="rId1" Type="http://schemas.openxmlformats.org/officeDocument/2006/relationships/chart" Target="../charts/chart513.xml"/><Relationship Id="rId6" Type="http://schemas.openxmlformats.org/officeDocument/2006/relationships/chart" Target="../charts/chart518.xml"/><Relationship Id="rId11" Type="http://schemas.openxmlformats.org/officeDocument/2006/relationships/chart" Target="../charts/chart523.xml"/><Relationship Id="rId5" Type="http://schemas.openxmlformats.org/officeDocument/2006/relationships/chart" Target="../charts/chart517.xml"/><Relationship Id="rId10" Type="http://schemas.openxmlformats.org/officeDocument/2006/relationships/chart" Target="../charts/chart522.xml"/><Relationship Id="rId4" Type="http://schemas.openxmlformats.org/officeDocument/2006/relationships/chart" Target="../charts/chart516.xml"/><Relationship Id="rId9" Type="http://schemas.openxmlformats.org/officeDocument/2006/relationships/chart" Target="../charts/chart521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3.xml"/><Relationship Id="rId3" Type="http://schemas.openxmlformats.org/officeDocument/2006/relationships/chart" Target="../charts/chart528.xml"/><Relationship Id="rId7" Type="http://schemas.openxmlformats.org/officeDocument/2006/relationships/chart" Target="../charts/chart532.xml"/><Relationship Id="rId2" Type="http://schemas.openxmlformats.org/officeDocument/2006/relationships/chart" Target="../charts/chart527.xml"/><Relationship Id="rId1" Type="http://schemas.openxmlformats.org/officeDocument/2006/relationships/chart" Target="../charts/chart526.xml"/><Relationship Id="rId6" Type="http://schemas.openxmlformats.org/officeDocument/2006/relationships/chart" Target="../charts/chart531.xml"/><Relationship Id="rId5" Type="http://schemas.openxmlformats.org/officeDocument/2006/relationships/chart" Target="../charts/chart530.xml"/><Relationship Id="rId4" Type="http://schemas.openxmlformats.org/officeDocument/2006/relationships/chart" Target="../charts/chart529.xml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1.xml"/><Relationship Id="rId13" Type="http://schemas.openxmlformats.org/officeDocument/2006/relationships/chart" Target="../charts/chart546.xml"/><Relationship Id="rId3" Type="http://schemas.openxmlformats.org/officeDocument/2006/relationships/chart" Target="../charts/chart536.xml"/><Relationship Id="rId7" Type="http://schemas.openxmlformats.org/officeDocument/2006/relationships/chart" Target="../charts/chart540.xml"/><Relationship Id="rId12" Type="http://schemas.openxmlformats.org/officeDocument/2006/relationships/chart" Target="../charts/chart545.xml"/><Relationship Id="rId2" Type="http://schemas.openxmlformats.org/officeDocument/2006/relationships/chart" Target="../charts/chart535.xml"/><Relationship Id="rId1" Type="http://schemas.openxmlformats.org/officeDocument/2006/relationships/chart" Target="../charts/chart534.xml"/><Relationship Id="rId6" Type="http://schemas.openxmlformats.org/officeDocument/2006/relationships/chart" Target="../charts/chart539.xml"/><Relationship Id="rId11" Type="http://schemas.openxmlformats.org/officeDocument/2006/relationships/chart" Target="../charts/chart544.xml"/><Relationship Id="rId5" Type="http://schemas.openxmlformats.org/officeDocument/2006/relationships/chart" Target="../charts/chart538.xml"/><Relationship Id="rId10" Type="http://schemas.openxmlformats.org/officeDocument/2006/relationships/chart" Target="../charts/chart543.xml"/><Relationship Id="rId4" Type="http://schemas.openxmlformats.org/officeDocument/2006/relationships/chart" Target="../charts/chart537.xml"/><Relationship Id="rId9" Type="http://schemas.openxmlformats.org/officeDocument/2006/relationships/chart" Target="../charts/chart542.xml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4.xml"/><Relationship Id="rId3" Type="http://schemas.openxmlformats.org/officeDocument/2006/relationships/chart" Target="../charts/chart549.xml"/><Relationship Id="rId7" Type="http://schemas.openxmlformats.org/officeDocument/2006/relationships/chart" Target="../charts/chart553.xml"/><Relationship Id="rId2" Type="http://schemas.openxmlformats.org/officeDocument/2006/relationships/chart" Target="../charts/chart548.xml"/><Relationship Id="rId1" Type="http://schemas.openxmlformats.org/officeDocument/2006/relationships/chart" Target="../charts/chart547.xml"/><Relationship Id="rId6" Type="http://schemas.openxmlformats.org/officeDocument/2006/relationships/chart" Target="../charts/chart552.xml"/><Relationship Id="rId5" Type="http://schemas.openxmlformats.org/officeDocument/2006/relationships/chart" Target="../charts/chart551.xml"/><Relationship Id="rId4" Type="http://schemas.openxmlformats.org/officeDocument/2006/relationships/chart" Target="../charts/chart55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13" Type="http://schemas.openxmlformats.org/officeDocument/2006/relationships/chart" Target="../charts/chart63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12" Type="http://schemas.openxmlformats.org/officeDocument/2006/relationships/chart" Target="../charts/chart62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11" Type="http://schemas.openxmlformats.org/officeDocument/2006/relationships/chart" Target="../charts/chart61.xml"/><Relationship Id="rId5" Type="http://schemas.openxmlformats.org/officeDocument/2006/relationships/chart" Target="../charts/chart5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2.xml"/><Relationship Id="rId13" Type="http://schemas.openxmlformats.org/officeDocument/2006/relationships/chart" Target="../charts/chart567.xml"/><Relationship Id="rId3" Type="http://schemas.openxmlformats.org/officeDocument/2006/relationships/chart" Target="../charts/chart557.xml"/><Relationship Id="rId7" Type="http://schemas.openxmlformats.org/officeDocument/2006/relationships/chart" Target="../charts/chart561.xml"/><Relationship Id="rId12" Type="http://schemas.openxmlformats.org/officeDocument/2006/relationships/chart" Target="../charts/chart566.xml"/><Relationship Id="rId2" Type="http://schemas.openxmlformats.org/officeDocument/2006/relationships/chart" Target="../charts/chart556.xml"/><Relationship Id="rId1" Type="http://schemas.openxmlformats.org/officeDocument/2006/relationships/chart" Target="../charts/chart555.xml"/><Relationship Id="rId6" Type="http://schemas.openxmlformats.org/officeDocument/2006/relationships/chart" Target="../charts/chart560.xml"/><Relationship Id="rId11" Type="http://schemas.openxmlformats.org/officeDocument/2006/relationships/chart" Target="../charts/chart565.xml"/><Relationship Id="rId5" Type="http://schemas.openxmlformats.org/officeDocument/2006/relationships/chart" Target="../charts/chart559.xml"/><Relationship Id="rId10" Type="http://schemas.openxmlformats.org/officeDocument/2006/relationships/chart" Target="../charts/chart564.xml"/><Relationship Id="rId4" Type="http://schemas.openxmlformats.org/officeDocument/2006/relationships/chart" Target="../charts/chart558.xml"/><Relationship Id="rId9" Type="http://schemas.openxmlformats.org/officeDocument/2006/relationships/chart" Target="../charts/chart563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5.xml"/><Relationship Id="rId3" Type="http://schemas.openxmlformats.org/officeDocument/2006/relationships/chart" Target="../charts/chart570.xml"/><Relationship Id="rId7" Type="http://schemas.openxmlformats.org/officeDocument/2006/relationships/chart" Target="../charts/chart574.xml"/><Relationship Id="rId2" Type="http://schemas.openxmlformats.org/officeDocument/2006/relationships/chart" Target="../charts/chart569.xml"/><Relationship Id="rId1" Type="http://schemas.openxmlformats.org/officeDocument/2006/relationships/chart" Target="../charts/chart568.xml"/><Relationship Id="rId6" Type="http://schemas.openxmlformats.org/officeDocument/2006/relationships/chart" Target="../charts/chart573.xml"/><Relationship Id="rId5" Type="http://schemas.openxmlformats.org/officeDocument/2006/relationships/chart" Target="../charts/chart572.xml"/><Relationship Id="rId4" Type="http://schemas.openxmlformats.org/officeDocument/2006/relationships/chart" Target="../charts/chart571.xml"/></Relationships>
</file>

<file path=xl/drawings/_rels/drawing8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3.xml"/><Relationship Id="rId13" Type="http://schemas.openxmlformats.org/officeDocument/2006/relationships/chart" Target="../charts/chart588.xml"/><Relationship Id="rId3" Type="http://schemas.openxmlformats.org/officeDocument/2006/relationships/chart" Target="../charts/chart578.xml"/><Relationship Id="rId7" Type="http://schemas.openxmlformats.org/officeDocument/2006/relationships/chart" Target="../charts/chart582.xml"/><Relationship Id="rId12" Type="http://schemas.openxmlformats.org/officeDocument/2006/relationships/chart" Target="../charts/chart587.xml"/><Relationship Id="rId2" Type="http://schemas.openxmlformats.org/officeDocument/2006/relationships/chart" Target="../charts/chart577.xml"/><Relationship Id="rId1" Type="http://schemas.openxmlformats.org/officeDocument/2006/relationships/chart" Target="../charts/chart576.xml"/><Relationship Id="rId6" Type="http://schemas.openxmlformats.org/officeDocument/2006/relationships/chart" Target="../charts/chart581.xml"/><Relationship Id="rId11" Type="http://schemas.openxmlformats.org/officeDocument/2006/relationships/chart" Target="../charts/chart586.xml"/><Relationship Id="rId5" Type="http://schemas.openxmlformats.org/officeDocument/2006/relationships/chart" Target="../charts/chart580.xml"/><Relationship Id="rId10" Type="http://schemas.openxmlformats.org/officeDocument/2006/relationships/chart" Target="../charts/chart585.xml"/><Relationship Id="rId4" Type="http://schemas.openxmlformats.org/officeDocument/2006/relationships/chart" Target="../charts/chart579.xml"/><Relationship Id="rId9" Type="http://schemas.openxmlformats.org/officeDocument/2006/relationships/chart" Target="../charts/chart58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30</xdr:row>
      <xdr:rowOff>47625</xdr:rowOff>
    </xdr:from>
    <xdr:to>
      <xdr:col>3</xdr:col>
      <xdr:colOff>190500</xdr:colOff>
      <xdr:row>40</xdr:row>
      <xdr:rowOff>171450</xdr:rowOff>
    </xdr:to>
    <xdr:graphicFrame macro="">
      <xdr:nvGraphicFramePr>
        <xdr:cNvPr id="1625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40</xdr:row>
      <xdr:rowOff>247650</xdr:rowOff>
    </xdr:from>
    <xdr:to>
      <xdr:col>3</xdr:col>
      <xdr:colOff>180975</xdr:colOff>
      <xdr:row>51</xdr:row>
      <xdr:rowOff>28575</xdr:rowOff>
    </xdr:to>
    <xdr:graphicFrame macro="">
      <xdr:nvGraphicFramePr>
        <xdr:cNvPr id="1626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30</xdr:row>
      <xdr:rowOff>57150</xdr:rowOff>
    </xdr:from>
    <xdr:to>
      <xdr:col>7</xdr:col>
      <xdr:colOff>295275</xdr:colOff>
      <xdr:row>40</xdr:row>
      <xdr:rowOff>180975</xdr:rowOff>
    </xdr:to>
    <xdr:graphicFrame macro="">
      <xdr:nvGraphicFramePr>
        <xdr:cNvPr id="1627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40</xdr:row>
      <xdr:rowOff>247650</xdr:rowOff>
    </xdr:from>
    <xdr:to>
      <xdr:col>7</xdr:col>
      <xdr:colOff>342900</xdr:colOff>
      <xdr:row>51</xdr:row>
      <xdr:rowOff>9525</xdr:rowOff>
    </xdr:to>
    <xdr:graphicFrame macro="">
      <xdr:nvGraphicFramePr>
        <xdr:cNvPr id="1628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30</xdr:row>
      <xdr:rowOff>66675</xdr:rowOff>
    </xdr:from>
    <xdr:to>
      <xdr:col>10</xdr:col>
      <xdr:colOff>981075</xdr:colOff>
      <xdr:row>40</xdr:row>
      <xdr:rowOff>190500</xdr:rowOff>
    </xdr:to>
    <xdr:graphicFrame macro="">
      <xdr:nvGraphicFramePr>
        <xdr:cNvPr id="1629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41</xdr:row>
      <xdr:rowOff>19050</xdr:rowOff>
    </xdr:from>
    <xdr:to>
      <xdr:col>10</xdr:col>
      <xdr:colOff>962025</xdr:colOff>
      <xdr:row>51</xdr:row>
      <xdr:rowOff>0</xdr:rowOff>
    </xdr:to>
    <xdr:graphicFrame macro="">
      <xdr:nvGraphicFramePr>
        <xdr:cNvPr id="1630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51</xdr:row>
      <xdr:rowOff>114300</xdr:rowOff>
    </xdr:from>
    <xdr:to>
      <xdr:col>5</xdr:col>
      <xdr:colOff>28575</xdr:colOff>
      <xdr:row>61</xdr:row>
      <xdr:rowOff>190500</xdr:rowOff>
    </xdr:to>
    <xdr:graphicFrame macro="">
      <xdr:nvGraphicFramePr>
        <xdr:cNvPr id="1631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51</xdr:row>
      <xdr:rowOff>95250</xdr:rowOff>
    </xdr:from>
    <xdr:to>
      <xdr:col>10</xdr:col>
      <xdr:colOff>438150</xdr:colOff>
      <xdr:row>61</xdr:row>
      <xdr:rowOff>171450</xdr:rowOff>
    </xdr:to>
    <xdr:graphicFrame macro="">
      <xdr:nvGraphicFramePr>
        <xdr:cNvPr id="1632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7769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7770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7771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7772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7773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7774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7775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7776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914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914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914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914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914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914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914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914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915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915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915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915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915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0.31846</cdr:x>
      <cdr:y>0.11806</cdr:y>
    </cdr:from>
    <cdr:to>
      <cdr:x>0.31846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0.53551</cdr:x>
      <cdr:y>0.12075</cdr:y>
    </cdr:from>
    <cdr:to>
      <cdr:x>0.53551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0.13608</cdr:x>
      <cdr:y>0.91524</cdr:y>
    </cdr:from>
    <cdr:to>
      <cdr:x>0.28822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0.34858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0.72516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0.77826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0.12133</cdr:x>
      <cdr:y>0.85066</cdr:y>
    </cdr:from>
    <cdr:to>
      <cdr:x>0.19419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0.22543</cdr:x>
      <cdr:y>0.85066</cdr:y>
    </cdr:from>
    <cdr:to>
      <cdr:x>0.29965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0.40981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0.44088</cdr:x>
      <cdr:y>0.85234</cdr:y>
    </cdr:from>
    <cdr:to>
      <cdr:x>0.51389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0.55137</cdr:x>
      <cdr:y>0.85234</cdr:y>
    </cdr:from>
    <cdr:to>
      <cdr:x>0.6245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0.65854</cdr:x>
      <cdr:y>0.85637</cdr:y>
    </cdr:from>
    <cdr:to>
      <cdr:x>0.73328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0.76696</cdr:x>
      <cdr:y>0.85839</cdr:y>
    </cdr:from>
    <cdr:to>
      <cdr:x>0.84182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0.94862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9817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981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9819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9820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9821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9822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9823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9824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11189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11190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11191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11192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11193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11194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11195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11196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11197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11198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11199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11200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1120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0.13583</cdr:x>
      <cdr:y>0.91524</cdr:y>
    </cdr:from>
    <cdr:to>
      <cdr:x>0.28846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0.34858</cdr:x>
      <cdr:y>0.9149</cdr:y>
    </cdr:from>
    <cdr:to>
      <cdr:x>0.50074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0.57324</cdr:x>
      <cdr:y>0.91662</cdr:y>
    </cdr:from>
    <cdr:to>
      <cdr:x>0.72541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0.77998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0.1942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0.22592</cdr:x>
      <cdr:y>0.85066</cdr:y>
    </cdr:from>
    <cdr:to>
      <cdr:x>0.29965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0.3369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0.44089</cdr:x>
      <cdr:y>0.85234</cdr:y>
    </cdr:from>
    <cdr:to>
      <cdr:x>0.51438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0.55186</cdr:x>
      <cdr:y>0.85234</cdr:y>
    </cdr:from>
    <cdr:to>
      <cdr:x>0.62499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0.65879</cdr:x>
      <cdr:y>0.85637</cdr:y>
    </cdr:from>
    <cdr:to>
      <cdr:x>0.73352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0.76916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0.94862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11865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11866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11867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11868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11869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11870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11871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11872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13237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1323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13239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13240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13241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13242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13243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13244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13245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13246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13247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13248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1324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1391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1391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1391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13916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13917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1391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13919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13920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3006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3007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3008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3009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3010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200025</xdr:colOff>
      <xdr:row>22</xdr:row>
      <xdr:rowOff>152400</xdr:rowOff>
    </xdr:from>
    <xdr:to>
      <xdr:col>66</xdr:col>
      <xdr:colOff>228600</xdr:colOff>
      <xdr:row>35</xdr:row>
      <xdr:rowOff>76200</xdr:rowOff>
    </xdr:to>
    <xdr:graphicFrame macro="">
      <xdr:nvGraphicFramePr>
        <xdr:cNvPr id="3011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3012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3013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3014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3015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3016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3017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301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1528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1528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1528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15286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15287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1528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15289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15290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15291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15292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15293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15294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1529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0.13633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0.34858</cdr:x>
      <cdr:y>0.9149</cdr:y>
    </cdr:from>
    <cdr:to>
      <cdr:x>0.5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0.57275</cdr:x>
      <cdr:y>0.91662</cdr:y>
    </cdr:from>
    <cdr:to>
      <cdr:x>0.72492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0.77924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0.19395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0.22592</cdr:x>
      <cdr:y>0.85066</cdr:y>
    </cdr:from>
    <cdr:to>
      <cdr:x>0.29965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0.33641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0.44113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0.55162</cdr:x>
      <cdr:y>0.85234</cdr:y>
    </cdr:from>
    <cdr:to>
      <cdr:x>0.62451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0.65805</cdr:x>
      <cdr:y>0.85637</cdr:y>
    </cdr:from>
    <cdr:to>
      <cdr:x>0.73303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0.76892</cdr:x>
      <cdr:y>0.85839</cdr:y>
    </cdr:from>
    <cdr:to>
      <cdr:x>0.84256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15961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15962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15963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15964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15965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15966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15967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15968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17330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17331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17332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17333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17334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17335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17336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17337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17338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17339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17340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17341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1734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0.31896</cdr:x>
      <cdr:y>0.11806</cdr:y>
    </cdr:from>
    <cdr:to>
      <cdr:x>0.31896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0.53576</cdr:x>
      <cdr:y>0.12075</cdr:y>
    </cdr:from>
    <cdr:to>
      <cdr:x>0.53576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0.75343</cdr:x>
      <cdr:y>0.12479</cdr:y>
    </cdr:from>
    <cdr:to>
      <cdr:x>0.75343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0.13755</cdr:x>
      <cdr:y>0.91524</cdr:y>
    </cdr:from>
    <cdr:to>
      <cdr:x>0.28945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0.34957</cdr:x>
      <cdr:y>0.9149</cdr:y>
    </cdr:from>
    <cdr:to>
      <cdr:x>0.50123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0.5735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0.93363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0.12255</cdr:x>
      <cdr:y>0.85066</cdr:y>
    </cdr:from>
    <cdr:to>
      <cdr:x>0.19568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0.22715</cdr:x>
      <cdr:y>0.85066</cdr:y>
    </cdr:from>
    <cdr:to>
      <cdr:x>0.30063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0.3374</cdr:x>
      <cdr:y>0.85032</cdr:y>
    </cdr:from>
    <cdr:to>
      <cdr:x>0.41054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0.44188</cdr:x>
      <cdr:y>0.85234</cdr:y>
    </cdr:from>
    <cdr:to>
      <cdr:x>0.51462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0.55212</cdr:x>
      <cdr:y>0.85234</cdr:y>
    </cdr:from>
    <cdr:to>
      <cdr:x>0.62501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0.65806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0.76892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18009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18010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18011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18012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18013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18014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18015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18016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19378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19379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19380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19381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19382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19383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19384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19385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19386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19387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19388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19389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1939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20057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2005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20059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20060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20061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20062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20063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20064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21424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21425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21426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21427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21428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21429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21430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21431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21432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21433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21434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21435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214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0.317</cdr:x>
      <cdr:y>0.11806</cdr:y>
    </cdr:from>
    <cdr:to>
      <cdr:x>0.317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0.53504</cdr:x>
      <cdr:y>0.12075</cdr:y>
    </cdr:from>
    <cdr:to>
      <cdr:x>0.53504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0.75147</cdr:x>
      <cdr:y>0.12479</cdr:y>
    </cdr:from>
    <cdr:to>
      <cdr:x>0.75147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0.1351</cdr:x>
      <cdr:y>0.91524</cdr:y>
    </cdr:from>
    <cdr:to>
      <cdr:x>0.28749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0.34761</cdr:x>
      <cdr:y>0.9149</cdr:y>
    </cdr:from>
    <cdr:to>
      <cdr:x>0.50001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0.57154</cdr:x>
      <cdr:y>0.91662</cdr:y>
    </cdr:from>
    <cdr:to>
      <cdr:x>0.72468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0.77753</cdr:x>
      <cdr:y>0.92095</cdr:y>
    </cdr:from>
    <cdr:to>
      <cdr:x>0.9356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0.11986</cdr:x>
      <cdr:y>0.85066</cdr:y>
    </cdr:from>
    <cdr:to>
      <cdr:x>0.19324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/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0.22496</cdr:x>
      <cdr:y>0.85066</cdr:y>
    </cdr:from>
    <cdr:to>
      <cdr:x>0.29843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0.33544</cdr:x>
      <cdr:y>0.85032</cdr:y>
    </cdr:from>
    <cdr:to>
      <cdr:x>0.40883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0.43942</cdr:x>
      <cdr:y>0.85234</cdr:y>
    </cdr:from>
    <cdr:to>
      <cdr:x>0.51316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0.5509</cdr:x>
      <cdr:y>0.85234</cdr:y>
    </cdr:from>
    <cdr:to>
      <cdr:x>0.62378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0.6588</cdr:x>
      <cdr:y>0.85637</cdr:y>
    </cdr:from>
    <cdr:to>
      <cdr:x>0.73255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0.76647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0.87364</cdr:x>
      <cdr:y>0.86075</cdr:y>
    </cdr:from>
    <cdr:to>
      <cdr:x>0.94936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22105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22106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22107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22108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22109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22110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22111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22112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2347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2347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2347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2347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2347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2347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2347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2347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2348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2348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2348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2348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234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0.13583</cdr:x>
      <cdr:y>0.91524</cdr:y>
    </cdr:from>
    <cdr:to>
      <cdr:x>0.28846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0.34858</cdr:x>
      <cdr:y>0.9149</cdr:y>
    </cdr:from>
    <cdr:to>
      <cdr:x>0.50074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0.57324</cdr:x>
      <cdr:y>0.91662</cdr:y>
    </cdr:from>
    <cdr:to>
      <cdr:x>0.72541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0.77998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0.1942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0.22592</cdr:x>
      <cdr:y>0.85066</cdr:y>
    </cdr:from>
    <cdr:to>
      <cdr:x>0.29965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0.3369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0.44089</cdr:x>
      <cdr:y>0.85234</cdr:y>
    </cdr:from>
    <cdr:to>
      <cdr:x>0.51438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0.55186</cdr:x>
      <cdr:y>0.85234</cdr:y>
    </cdr:from>
    <cdr:to>
      <cdr:x>0.62499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0.65879</cdr:x>
      <cdr:y>0.85637</cdr:y>
    </cdr:from>
    <cdr:to>
      <cdr:x>0.73352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0.76916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0.94862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2415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2415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2415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24156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24157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2415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24159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24160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25518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25519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25520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25521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25522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25523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25524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25525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25526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25527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25528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25529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2553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0.316</cdr:x>
      <cdr:y>0.11806</cdr:y>
    </cdr:from>
    <cdr:to>
      <cdr:x>0.316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0.53256</cdr:x>
      <cdr:y>0.12075</cdr:y>
    </cdr:from>
    <cdr:to>
      <cdr:x>0.53256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0.75343</cdr:x>
      <cdr:y>0.12479</cdr:y>
    </cdr:from>
    <cdr:to>
      <cdr:x>0.75343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0.13313</cdr:x>
      <cdr:y>0.91524</cdr:y>
    </cdr:from>
    <cdr:to>
      <cdr:x>0.28601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0.34612</cdr:x>
      <cdr:y>0.9149</cdr:y>
    </cdr:from>
    <cdr:to>
      <cdr:x>0.49877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0.57103</cdr:x>
      <cdr:y>0.91662</cdr:y>
    </cdr:from>
    <cdr:to>
      <cdr:x>0.72517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0.77777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0.11837</cdr:x>
      <cdr:y>0.85066</cdr:y>
    </cdr:from>
    <cdr:to>
      <cdr:x>0.191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0.22297</cdr:x>
      <cdr:y>0.85066</cdr:y>
    </cdr:from>
    <cdr:to>
      <cdr:x>0.2972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0.33444</cdr:x>
      <cdr:y>0.85032</cdr:y>
    </cdr:from>
    <cdr:to>
      <cdr:x>0.40759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0.43892</cdr:x>
      <cdr:y>0.85234</cdr:y>
    </cdr:from>
    <cdr:to>
      <cdr:x>0.51241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0.5494</cdr:x>
      <cdr:y>0.85234</cdr:y>
    </cdr:from>
    <cdr:to>
      <cdr:x>0.62302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0.65829</cdr:x>
      <cdr:y>0.85637</cdr:y>
    </cdr:from>
    <cdr:to>
      <cdr:x>0.73303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0.76671</cdr:x>
      <cdr:y>0.85839</cdr:y>
    </cdr:from>
    <cdr:to>
      <cdr:x>0.84157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26201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26202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26203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26204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26205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26206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26207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26208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27565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27566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27567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27568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27569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27570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27571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27572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27573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27574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27575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27576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2757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0.13583</cdr:x>
      <cdr:y>0.91524</cdr:y>
    </cdr:from>
    <cdr:to>
      <cdr:x>0.28846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0.34858</cdr:x>
      <cdr:y>0.9149</cdr:y>
    </cdr:from>
    <cdr:to>
      <cdr:x>0.50074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0.57324</cdr:x>
      <cdr:y>0.91662</cdr:y>
    </cdr:from>
    <cdr:to>
      <cdr:x>0.72541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0.77998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0.1942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0.22592</cdr:x>
      <cdr:y>0.85066</cdr:y>
    </cdr:from>
    <cdr:to>
      <cdr:x>0.29965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0.3369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0.44089</cdr:x>
      <cdr:y>0.85234</cdr:y>
    </cdr:from>
    <cdr:to>
      <cdr:x>0.51438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0.55186</cdr:x>
      <cdr:y>0.85234</cdr:y>
    </cdr:from>
    <cdr:to>
      <cdr:x>0.62499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0.65879</cdr:x>
      <cdr:y>0.85637</cdr:y>
    </cdr:from>
    <cdr:to>
      <cdr:x>0.73352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0.76916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0.94862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367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367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367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3676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3677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367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3679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3680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28249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28250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28251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28252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28253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28254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28255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28256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29610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29611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29612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29613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29614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29615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29616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29617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29618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29619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29620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29621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2962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30297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3029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30299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30300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30301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30302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30303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30304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31656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31657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31658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31659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31660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31661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31662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31663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31664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31665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31666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31667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316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32345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32346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32347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32348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32349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32350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32351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32352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3370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3370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3370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33706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33707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3370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33709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33710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33711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33712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33713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33714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337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3439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3439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3439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34396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34397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3439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34399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34400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5047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504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5049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5050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323850</xdr:colOff>
      <xdr:row>1</xdr:row>
      <xdr:rowOff>142875</xdr:rowOff>
    </xdr:from>
    <xdr:to>
      <xdr:col>64</xdr:col>
      <xdr:colOff>114300</xdr:colOff>
      <xdr:row>14</xdr:row>
      <xdr:rowOff>66675</xdr:rowOff>
    </xdr:to>
    <xdr:graphicFrame macro="">
      <xdr:nvGraphicFramePr>
        <xdr:cNvPr id="5051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352425</xdr:colOff>
      <xdr:row>22</xdr:row>
      <xdr:rowOff>152400</xdr:rowOff>
    </xdr:from>
    <xdr:to>
      <xdr:col>67</xdr:col>
      <xdr:colOff>381000</xdr:colOff>
      <xdr:row>35</xdr:row>
      <xdr:rowOff>76200</xdr:rowOff>
    </xdr:to>
    <xdr:graphicFrame macro="">
      <xdr:nvGraphicFramePr>
        <xdr:cNvPr id="5052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46</xdr:row>
      <xdr:rowOff>142875</xdr:rowOff>
    </xdr:from>
    <xdr:to>
      <xdr:col>13</xdr:col>
      <xdr:colOff>171450</xdr:colOff>
      <xdr:row>59</xdr:row>
      <xdr:rowOff>66675</xdr:rowOff>
    </xdr:to>
    <xdr:graphicFrame macro="">
      <xdr:nvGraphicFramePr>
        <xdr:cNvPr id="5053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67</xdr:row>
      <xdr:rowOff>190500</xdr:rowOff>
    </xdr:from>
    <xdr:to>
      <xdr:col>14</xdr:col>
      <xdr:colOff>57150</xdr:colOff>
      <xdr:row>80</xdr:row>
      <xdr:rowOff>114300</xdr:rowOff>
    </xdr:to>
    <xdr:graphicFrame macro="">
      <xdr:nvGraphicFramePr>
        <xdr:cNvPr id="5054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46</xdr:row>
      <xdr:rowOff>142875</xdr:rowOff>
    </xdr:from>
    <xdr:to>
      <xdr:col>31</xdr:col>
      <xdr:colOff>171450</xdr:colOff>
      <xdr:row>59</xdr:row>
      <xdr:rowOff>66675</xdr:rowOff>
    </xdr:to>
    <xdr:graphicFrame macro="">
      <xdr:nvGraphicFramePr>
        <xdr:cNvPr id="5055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67</xdr:row>
      <xdr:rowOff>190500</xdr:rowOff>
    </xdr:from>
    <xdr:to>
      <xdr:col>32</xdr:col>
      <xdr:colOff>57150</xdr:colOff>
      <xdr:row>80</xdr:row>
      <xdr:rowOff>114300</xdr:rowOff>
    </xdr:to>
    <xdr:graphicFrame macro="">
      <xdr:nvGraphicFramePr>
        <xdr:cNvPr id="5056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46</xdr:row>
      <xdr:rowOff>142875</xdr:rowOff>
    </xdr:from>
    <xdr:to>
      <xdr:col>47</xdr:col>
      <xdr:colOff>171450</xdr:colOff>
      <xdr:row>59</xdr:row>
      <xdr:rowOff>66675</xdr:rowOff>
    </xdr:to>
    <xdr:graphicFrame macro="">
      <xdr:nvGraphicFramePr>
        <xdr:cNvPr id="5057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67</xdr:row>
      <xdr:rowOff>190500</xdr:rowOff>
    </xdr:from>
    <xdr:to>
      <xdr:col>48</xdr:col>
      <xdr:colOff>57150</xdr:colOff>
      <xdr:row>80</xdr:row>
      <xdr:rowOff>114300</xdr:rowOff>
    </xdr:to>
    <xdr:graphicFrame macro="">
      <xdr:nvGraphicFramePr>
        <xdr:cNvPr id="5058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505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35751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35752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35753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35754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35755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35756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35757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35758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35759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35760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35761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35762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3576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36441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36442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36443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36444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36445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36446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36447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36448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37798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37799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37800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37801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37802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37803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37804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37805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37806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37807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37808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37809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378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38489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38490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38491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38492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38493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38494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38495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38496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39844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39845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39846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39847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39848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39849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39850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39851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39852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39853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39854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39855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398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40537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4053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40539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40540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40541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40542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40543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40544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4189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4189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4189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4189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4189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4189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4189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4189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4190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4190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4190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4190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419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0.31846</cdr:x>
      <cdr:y>0.11806</cdr:y>
    </cdr:from>
    <cdr:to>
      <cdr:x>0.31846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0.53551</cdr:x>
      <cdr:y>0.12075</cdr:y>
    </cdr:from>
    <cdr:to>
      <cdr:x>0.53551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0.13608</cdr:x>
      <cdr:y>0.91524</cdr:y>
    </cdr:from>
    <cdr:to>
      <cdr:x>0.28822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0.34858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0.72516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0.77826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0.12133</cdr:x>
      <cdr:y>0.85066</cdr:y>
    </cdr:from>
    <cdr:to>
      <cdr:x>0.19419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0.22543</cdr:x>
      <cdr:y>0.85066</cdr:y>
    </cdr:from>
    <cdr:to>
      <cdr:x>0.29965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0.40981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0.44088</cdr:x>
      <cdr:y>0.85234</cdr:y>
    </cdr:from>
    <cdr:to>
      <cdr:x>0.51389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0.55137</cdr:x>
      <cdr:y>0.85234</cdr:y>
    </cdr:from>
    <cdr:to>
      <cdr:x>0.6245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0.65854</cdr:x>
      <cdr:y>0.85637</cdr:y>
    </cdr:from>
    <cdr:to>
      <cdr:x>0.73328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0.76696</cdr:x>
      <cdr:y>0.85839</cdr:y>
    </cdr:from>
    <cdr:to>
      <cdr:x>0.84182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0.94862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42585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42586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42587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42588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42589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42590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42591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42592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43939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43940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43941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43942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43943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43944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43945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43946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43947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43948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43949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43950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439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0.13583</cdr:x>
      <cdr:y>0.91524</cdr:y>
    </cdr:from>
    <cdr:to>
      <cdr:x>0.28846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0.34858</cdr:x>
      <cdr:y>0.9149</cdr:y>
    </cdr:from>
    <cdr:to>
      <cdr:x>0.50074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0.57324</cdr:x>
      <cdr:y>0.91662</cdr:y>
    </cdr:from>
    <cdr:to>
      <cdr:x>0.72541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0.77998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0.1942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0.22592</cdr:x>
      <cdr:y>0.85066</cdr:y>
    </cdr:from>
    <cdr:to>
      <cdr:x>0.29965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0.3369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0.44089</cdr:x>
      <cdr:y>0.85234</cdr:y>
    </cdr:from>
    <cdr:to>
      <cdr:x>0.51438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0.55186</cdr:x>
      <cdr:y>0.85234</cdr:y>
    </cdr:from>
    <cdr:to>
      <cdr:x>0.62499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0.65879</cdr:x>
      <cdr:y>0.85637</cdr:y>
    </cdr:from>
    <cdr:to>
      <cdr:x>0.73352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0.76916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0.94862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4463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4463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4463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44636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44637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4463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44639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44640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45986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45987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45988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45989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45990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45991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45992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45993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45994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45995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45996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45997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4599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0.13632</cdr:x>
      <cdr:y>0.91524</cdr:y>
    </cdr:from>
    <cdr:to>
      <cdr:x>0.28872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</cdr:x>
      <cdr:y>0.91662</cdr:y>
    </cdr:from>
    <cdr:to>
      <cdr:x>0.72542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0.78022</cdr:x>
      <cdr:y>0.92095</cdr:y>
    </cdr:from>
    <cdr:to>
      <cdr:x>0.93413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0.12132</cdr:x>
      <cdr:y>0.85066</cdr:y>
    </cdr:from>
    <cdr:to>
      <cdr:x>0.19469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0.33666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0.44139</cdr:x>
      <cdr:y>0.85234</cdr:y>
    </cdr:from>
    <cdr:to>
      <cdr:x>0.51413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0.55187</cdr:x>
      <cdr:y>0.85234</cdr:y>
    </cdr:from>
    <cdr:to>
      <cdr:x>0.62475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0.76794</cdr:x>
      <cdr:y>0.85839</cdr:y>
    </cdr:from>
    <cdr:to>
      <cdr:x>0.84231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46681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46682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46683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46684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46685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46686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46687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46688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4803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4803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4803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48036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48037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4803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48039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48040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48041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48042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48043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48044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4804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0.13583</cdr:x>
      <cdr:y>0.91524</cdr:y>
    </cdr:from>
    <cdr:to>
      <cdr:x>0.28846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0.34858</cdr:x>
      <cdr:y>0.9149</cdr:y>
    </cdr:from>
    <cdr:to>
      <cdr:x>0.50074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0.57324</cdr:x>
      <cdr:y>0.91662</cdr:y>
    </cdr:from>
    <cdr:to>
      <cdr:x>0.72541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0.77998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0.1942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0.22592</cdr:x>
      <cdr:y>0.85066</cdr:y>
    </cdr:from>
    <cdr:to>
      <cdr:x>0.29965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0.3369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0.44089</cdr:x>
      <cdr:y>0.85234</cdr:y>
    </cdr:from>
    <cdr:to>
      <cdr:x>0.51438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0.55186</cdr:x>
      <cdr:y>0.85234</cdr:y>
    </cdr:from>
    <cdr:to>
      <cdr:x>0.62499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0.65879</cdr:x>
      <cdr:y>0.85637</cdr:y>
    </cdr:from>
    <cdr:to>
      <cdr:x>0.73352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0.76916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0.94862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5721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5722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5723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5724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5725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5726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5727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5728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48729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48730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48731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48732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48733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48734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48735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48736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50080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50081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50082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50083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50084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50085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50086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50087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50088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50089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50090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50091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500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0.53526</cdr:x>
      <cdr:y>0.12075</cdr:y>
    </cdr:from>
    <cdr:to>
      <cdr:x>0.53526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0.13583</cdr:x>
      <cdr:y>0.91524</cdr:y>
    </cdr:from>
    <cdr:to>
      <cdr:x>0.28846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0.34858</cdr:x>
      <cdr:y>0.9149</cdr:y>
    </cdr:from>
    <cdr:to>
      <cdr:x>0.50074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0.57324</cdr:x>
      <cdr:y>0.91662</cdr:y>
    </cdr:from>
    <cdr:to>
      <cdr:x>0.72541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0.77998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0.1942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0.22592</cdr:x>
      <cdr:y>0.85066</cdr:y>
    </cdr:from>
    <cdr:to>
      <cdr:x>0.29965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0.3369</cdr:x>
      <cdr:y>0.85032</cdr:y>
    </cdr:from>
    <cdr:to>
      <cdr:x>0.4098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0.44089</cdr:x>
      <cdr:y>0.85234</cdr:y>
    </cdr:from>
    <cdr:to>
      <cdr:x>0.51438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0.55186</cdr:x>
      <cdr:y>0.85234</cdr:y>
    </cdr:from>
    <cdr:to>
      <cdr:x>0.62499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0.65879</cdr:x>
      <cdr:y>0.85637</cdr:y>
    </cdr:from>
    <cdr:to>
      <cdr:x>0.73352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0.76916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0.94862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50777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5077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50779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50780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50781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50782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50783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50784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52127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52128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52129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52130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52131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52132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52133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52134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52135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52136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52137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52138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5213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0.31773</cdr:x>
      <cdr:y>0.11806</cdr:y>
    </cdr:from>
    <cdr:to>
      <cdr:x>0.31773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0.53477</cdr:x>
      <cdr:y>0.12075</cdr:y>
    </cdr:from>
    <cdr:to>
      <cdr:x>0.53477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0.75466</cdr:x>
      <cdr:y>0.12479</cdr:y>
    </cdr:from>
    <cdr:to>
      <cdr:x>0.75466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0.13583</cdr:x>
      <cdr:y>0.91524</cdr:y>
    </cdr:from>
    <cdr:to>
      <cdr:x>0.28797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0.34834</cdr:x>
      <cdr:y>0.9149</cdr:y>
    </cdr:from>
    <cdr:to>
      <cdr:x>0.49976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0.5725</cdr:x>
      <cdr:y>0.91662</cdr:y>
    </cdr:from>
    <cdr:to>
      <cdr:x>0.72443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0.77949</cdr:x>
      <cdr:y>0.92095</cdr:y>
    </cdr:from>
    <cdr:to>
      <cdr:x>0.93241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0.19396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0.22591</cdr:x>
      <cdr:y>0.85066</cdr:y>
    </cdr:from>
    <cdr:to>
      <cdr:x>0.2994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0.33642</cdr:x>
      <cdr:y>0.85032</cdr:y>
    </cdr:from>
    <cdr:to>
      <cdr:x>0.40956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0.4404</cdr:x>
      <cdr:y>0.85234</cdr:y>
    </cdr:from>
    <cdr:to>
      <cdr:x>0.51338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0.55014</cdr:x>
      <cdr:y>0.85234</cdr:y>
    </cdr:from>
    <cdr:to>
      <cdr:x>0.62378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0.76916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0.87143</cdr:x>
      <cdr:y>0.86075</cdr:y>
    </cdr:from>
    <cdr:to>
      <cdr:x>0.9469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52825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52826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52827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52828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52829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52830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52831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52832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54175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54176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54177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54178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54179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54180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48</xdr:row>
      <xdr:rowOff>142875</xdr:rowOff>
    </xdr:from>
    <xdr:to>
      <xdr:col>13</xdr:col>
      <xdr:colOff>171450</xdr:colOff>
      <xdr:row>61</xdr:row>
      <xdr:rowOff>66675</xdr:rowOff>
    </xdr:to>
    <xdr:graphicFrame macro="">
      <xdr:nvGraphicFramePr>
        <xdr:cNvPr id="54181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69</xdr:row>
      <xdr:rowOff>190500</xdr:rowOff>
    </xdr:from>
    <xdr:to>
      <xdr:col>14</xdr:col>
      <xdr:colOff>57150</xdr:colOff>
      <xdr:row>82</xdr:row>
      <xdr:rowOff>114300</xdr:rowOff>
    </xdr:to>
    <xdr:graphicFrame macro="">
      <xdr:nvGraphicFramePr>
        <xdr:cNvPr id="54182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48</xdr:row>
      <xdr:rowOff>142875</xdr:rowOff>
    </xdr:from>
    <xdr:to>
      <xdr:col>31</xdr:col>
      <xdr:colOff>171450</xdr:colOff>
      <xdr:row>61</xdr:row>
      <xdr:rowOff>66675</xdr:rowOff>
    </xdr:to>
    <xdr:graphicFrame macro="">
      <xdr:nvGraphicFramePr>
        <xdr:cNvPr id="54183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69</xdr:row>
      <xdr:rowOff>190500</xdr:rowOff>
    </xdr:from>
    <xdr:to>
      <xdr:col>32</xdr:col>
      <xdr:colOff>57150</xdr:colOff>
      <xdr:row>82</xdr:row>
      <xdr:rowOff>114300</xdr:rowOff>
    </xdr:to>
    <xdr:graphicFrame macro="">
      <xdr:nvGraphicFramePr>
        <xdr:cNvPr id="54184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48</xdr:row>
      <xdr:rowOff>142875</xdr:rowOff>
    </xdr:from>
    <xdr:to>
      <xdr:col>47</xdr:col>
      <xdr:colOff>171450</xdr:colOff>
      <xdr:row>61</xdr:row>
      <xdr:rowOff>66675</xdr:rowOff>
    </xdr:to>
    <xdr:graphicFrame macro="">
      <xdr:nvGraphicFramePr>
        <xdr:cNvPr id="54185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69</xdr:row>
      <xdr:rowOff>190500</xdr:rowOff>
    </xdr:from>
    <xdr:to>
      <xdr:col>48</xdr:col>
      <xdr:colOff>57150</xdr:colOff>
      <xdr:row>82</xdr:row>
      <xdr:rowOff>114300</xdr:rowOff>
    </xdr:to>
    <xdr:graphicFrame macro="">
      <xdr:nvGraphicFramePr>
        <xdr:cNvPr id="54186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541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0.31773</cdr:x>
      <cdr:y>0.11806</cdr:y>
    </cdr:from>
    <cdr:to>
      <cdr:x>0.31773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0.53477</cdr:x>
      <cdr:y>0.12075</cdr:y>
    </cdr:from>
    <cdr:to>
      <cdr:x>0.53477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0.75466</cdr:x>
      <cdr:y>0.12479</cdr:y>
    </cdr:from>
    <cdr:to>
      <cdr:x>0.75466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0.13583</cdr:x>
      <cdr:y>0.91524</cdr:y>
    </cdr:from>
    <cdr:to>
      <cdr:x>0.28797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0.34834</cdr:x>
      <cdr:y>0.9149</cdr:y>
    </cdr:from>
    <cdr:to>
      <cdr:x>0.49976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0.5725</cdr:x>
      <cdr:y>0.91662</cdr:y>
    </cdr:from>
    <cdr:to>
      <cdr:x>0.72443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0.77949</cdr:x>
      <cdr:y>0.92095</cdr:y>
    </cdr:from>
    <cdr:to>
      <cdr:x>0.93241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0.19396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0.22591</cdr:x>
      <cdr:y>0.85066</cdr:y>
    </cdr:from>
    <cdr:to>
      <cdr:x>0.2994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0.33642</cdr:x>
      <cdr:y>0.85032</cdr:y>
    </cdr:from>
    <cdr:to>
      <cdr:x>0.40956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0.4404</cdr:x>
      <cdr:y>0.85234</cdr:y>
    </cdr:from>
    <cdr:to>
      <cdr:x>0.51338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0.55014</cdr:x>
      <cdr:y>0.85234</cdr:y>
    </cdr:from>
    <cdr:to>
      <cdr:x>0.62378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0.76916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0.87143</cdr:x>
      <cdr:y>0.86075</cdr:y>
    </cdr:from>
    <cdr:to>
      <cdr:x>0.9469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54873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5487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54875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54876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54877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54878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54879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54880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7095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7096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7097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7098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7099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7100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7101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7102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7103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7104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7105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7106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710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5622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5622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56224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56225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56226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56227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56228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56229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56230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56231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56232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56233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5623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0.31773</cdr:x>
      <cdr:y>0.11806</cdr:y>
    </cdr:from>
    <cdr:to>
      <cdr:x>0.31773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0.53452</cdr:x>
      <cdr:y>0.12075</cdr:y>
    </cdr:from>
    <cdr:to>
      <cdr:x>0.53452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0.75466</cdr:x>
      <cdr:y>0.12479</cdr:y>
    </cdr:from>
    <cdr:to>
      <cdr:x>0.75466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0.13558</cdr:x>
      <cdr:y>0.91524</cdr:y>
    </cdr:from>
    <cdr:to>
      <cdr:x>0.28846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0.34834</cdr:x>
      <cdr:y>0.9149</cdr:y>
    </cdr:from>
    <cdr:to>
      <cdr:x>0.5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0.57152</cdr:x>
      <cdr:y>0.91662</cdr:y>
    </cdr:from>
    <cdr:to>
      <cdr:x>0.72468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0.77949</cdr:x>
      <cdr:y>0.92095</cdr:y>
    </cdr:from>
    <cdr:to>
      <cdr:x>0.93241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0.12083</cdr:x>
      <cdr:y>0.85066</cdr:y>
    </cdr:from>
    <cdr:to>
      <cdr:x>0.19396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0.2994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0.33642</cdr:x>
      <cdr:y>0.85032</cdr:y>
    </cdr:from>
    <cdr:to>
      <cdr:x>0.40956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0.4404</cdr:x>
      <cdr:y>0.85234</cdr:y>
    </cdr:from>
    <cdr:to>
      <cdr:x>0.51363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0.55112</cdr:x>
      <cdr:y>0.85234</cdr:y>
    </cdr:from>
    <cdr:to>
      <cdr:x>0.62427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0.73304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0.76941</cdr:x>
      <cdr:y>0.85839</cdr:y>
    </cdr:from>
    <cdr:to>
      <cdr:x>0.84378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0.87168</cdr:x>
      <cdr:y>0.86075</cdr:y>
    </cdr:from>
    <cdr:to>
      <cdr:x>0.94739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28</xdr:row>
      <xdr:rowOff>47625</xdr:rowOff>
    </xdr:from>
    <xdr:to>
      <xdr:col>3</xdr:col>
      <xdr:colOff>190500</xdr:colOff>
      <xdr:row>38</xdr:row>
      <xdr:rowOff>171450</xdr:rowOff>
    </xdr:to>
    <xdr:graphicFrame macro="">
      <xdr:nvGraphicFramePr>
        <xdr:cNvPr id="56921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38</xdr:row>
      <xdr:rowOff>247650</xdr:rowOff>
    </xdr:from>
    <xdr:to>
      <xdr:col>3</xdr:col>
      <xdr:colOff>180975</xdr:colOff>
      <xdr:row>49</xdr:row>
      <xdr:rowOff>28575</xdr:rowOff>
    </xdr:to>
    <xdr:graphicFrame macro="">
      <xdr:nvGraphicFramePr>
        <xdr:cNvPr id="56922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361950</xdr:colOff>
      <xdr:row>28</xdr:row>
      <xdr:rowOff>57150</xdr:rowOff>
    </xdr:from>
    <xdr:to>
      <xdr:col>7</xdr:col>
      <xdr:colOff>295275</xdr:colOff>
      <xdr:row>38</xdr:row>
      <xdr:rowOff>180975</xdr:rowOff>
    </xdr:to>
    <xdr:graphicFrame macro="">
      <xdr:nvGraphicFramePr>
        <xdr:cNvPr id="56923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361950</xdr:colOff>
      <xdr:row>38</xdr:row>
      <xdr:rowOff>247650</xdr:rowOff>
    </xdr:from>
    <xdr:to>
      <xdr:col>7</xdr:col>
      <xdr:colOff>342900</xdr:colOff>
      <xdr:row>49</xdr:row>
      <xdr:rowOff>9525</xdr:rowOff>
    </xdr:to>
    <xdr:graphicFrame macro="">
      <xdr:nvGraphicFramePr>
        <xdr:cNvPr id="56924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428625</xdr:colOff>
      <xdr:row>28</xdr:row>
      <xdr:rowOff>66675</xdr:rowOff>
    </xdr:from>
    <xdr:to>
      <xdr:col>10</xdr:col>
      <xdr:colOff>981075</xdr:colOff>
      <xdr:row>38</xdr:row>
      <xdr:rowOff>190500</xdr:rowOff>
    </xdr:to>
    <xdr:graphicFrame macro="">
      <xdr:nvGraphicFramePr>
        <xdr:cNvPr id="56925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447675</xdr:colOff>
      <xdr:row>39</xdr:row>
      <xdr:rowOff>19050</xdr:rowOff>
    </xdr:from>
    <xdr:to>
      <xdr:col>10</xdr:col>
      <xdr:colOff>962025</xdr:colOff>
      <xdr:row>49</xdr:row>
      <xdr:rowOff>0</xdr:rowOff>
    </xdr:to>
    <xdr:graphicFrame macro="">
      <xdr:nvGraphicFramePr>
        <xdr:cNvPr id="56926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666750</xdr:colOff>
      <xdr:row>49</xdr:row>
      <xdr:rowOff>114300</xdr:rowOff>
    </xdr:from>
    <xdr:to>
      <xdr:col>5</xdr:col>
      <xdr:colOff>28575</xdr:colOff>
      <xdr:row>59</xdr:row>
      <xdr:rowOff>190500</xdr:rowOff>
    </xdr:to>
    <xdr:graphicFrame macro="">
      <xdr:nvGraphicFramePr>
        <xdr:cNvPr id="56927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828675</xdr:colOff>
      <xdr:row>49</xdr:row>
      <xdr:rowOff>95250</xdr:rowOff>
    </xdr:from>
    <xdr:to>
      <xdr:col>10</xdr:col>
      <xdr:colOff>438150</xdr:colOff>
      <xdr:row>59</xdr:row>
      <xdr:rowOff>171450</xdr:rowOff>
    </xdr:to>
    <xdr:graphicFrame macro="">
      <xdr:nvGraphicFramePr>
        <xdr:cNvPr id="56928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142875</xdr:rowOff>
    </xdr:from>
    <xdr:to>
      <xdr:col>13</xdr:col>
      <xdr:colOff>171450</xdr:colOff>
      <xdr:row>14</xdr:row>
      <xdr:rowOff>66675</xdr:rowOff>
    </xdr:to>
    <xdr:graphicFrame macro="">
      <xdr:nvGraphicFramePr>
        <xdr:cNvPr id="58270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514350</xdr:colOff>
      <xdr:row>22</xdr:row>
      <xdr:rowOff>190500</xdr:rowOff>
    </xdr:from>
    <xdr:to>
      <xdr:col>14</xdr:col>
      <xdr:colOff>57150</xdr:colOff>
      <xdr:row>35</xdr:row>
      <xdr:rowOff>114300</xdr:rowOff>
    </xdr:to>
    <xdr:graphicFrame macro="">
      <xdr:nvGraphicFramePr>
        <xdr:cNvPr id="58271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38100</xdr:colOff>
      <xdr:row>1</xdr:row>
      <xdr:rowOff>142875</xdr:rowOff>
    </xdr:from>
    <xdr:to>
      <xdr:col>47</xdr:col>
      <xdr:colOff>66675</xdr:colOff>
      <xdr:row>14</xdr:row>
      <xdr:rowOff>66675</xdr:rowOff>
    </xdr:to>
    <xdr:graphicFrame macro="">
      <xdr:nvGraphicFramePr>
        <xdr:cNvPr id="58272" name="แผนภูมิ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561975</xdr:colOff>
      <xdr:row>22</xdr:row>
      <xdr:rowOff>190500</xdr:rowOff>
    </xdr:from>
    <xdr:to>
      <xdr:col>48</xdr:col>
      <xdr:colOff>142875</xdr:colOff>
      <xdr:row>35</xdr:row>
      <xdr:rowOff>114300</xdr:rowOff>
    </xdr:to>
    <xdr:graphicFrame macro="">
      <xdr:nvGraphicFramePr>
        <xdr:cNvPr id="58273" name="แผนภูมิ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323850</xdr:colOff>
      <xdr:row>1</xdr:row>
      <xdr:rowOff>142875</xdr:rowOff>
    </xdr:from>
    <xdr:to>
      <xdr:col>63</xdr:col>
      <xdr:colOff>114300</xdr:colOff>
      <xdr:row>14</xdr:row>
      <xdr:rowOff>66675</xdr:rowOff>
    </xdr:to>
    <xdr:graphicFrame macro="">
      <xdr:nvGraphicFramePr>
        <xdr:cNvPr id="58274" name="แผนภูมิ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352425</xdr:colOff>
      <xdr:row>22</xdr:row>
      <xdr:rowOff>152400</xdr:rowOff>
    </xdr:from>
    <xdr:to>
      <xdr:col>66</xdr:col>
      <xdr:colOff>381000</xdr:colOff>
      <xdr:row>35</xdr:row>
      <xdr:rowOff>76200</xdr:rowOff>
    </xdr:to>
    <xdr:graphicFrame macro="">
      <xdr:nvGraphicFramePr>
        <xdr:cNvPr id="58275" name="แผนภูมิ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95250</xdr:colOff>
      <xdr:row>47</xdr:row>
      <xdr:rowOff>142875</xdr:rowOff>
    </xdr:from>
    <xdr:to>
      <xdr:col>13</xdr:col>
      <xdr:colOff>171450</xdr:colOff>
      <xdr:row>60</xdr:row>
      <xdr:rowOff>66675</xdr:rowOff>
    </xdr:to>
    <xdr:graphicFrame macro="">
      <xdr:nvGraphicFramePr>
        <xdr:cNvPr id="58276" name="แผนภูมิ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514350</xdr:colOff>
      <xdr:row>68</xdr:row>
      <xdr:rowOff>190500</xdr:rowOff>
    </xdr:from>
    <xdr:to>
      <xdr:col>14</xdr:col>
      <xdr:colOff>57150</xdr:colOff>
      <xdr:row>81</xdr:row>
      <xdr:rowOff>114300</xdr:rowOff>
    </xdr:to>
    <xdr:graphicFrame macro="">
      <xdr:nvGraphicFramePr>
        <xdr:cNvPr id="58277" name="แผนภูมิ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95250</xdr:colOff>
      <xdr:row>47</xdr:row>
      <xdr:rowOff>142875</xdr:rowOff>
    </xdr:from>
    <xdr:to>
      <xdr:col>31</xdr:col>
      <xdr:colOff>171450</xdr:colOff>
      <xdr:row>60</xdr:row>
      <xdr:rowOff>66675</xdr:rowOff>
    </xdr:to>
    <xdr:graphicFrame macro="">
      <xdr:nvGraphicFramePr>
        <xdr:cNvPr id="58278" name="แผนภูมิ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514350</xdr:colOff>
      <xdr:row>68</xdr:row>
      <xdr:rowOff>190500</xdr:rowOff>
    </xdr:from>
    <xdr:to>
      <xdr:col>32</xdr:col>
      <xdr:colOff>57150</xdr:colOff>
      <xdr:row>81</xdr:row>
      <xdr:rowOff>114300</xdr:rowOff>
    </xdr:to>
    <xdr:graphicFrame macro="">
      <xdr:nvGraphicFramePr>
        <xdr:cNvPr id="58279" name="แผนภูมิ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95250</xdr:colOff>
      <xdr:row>47</xdr:row>
      <xdr:rowOff>142875</xdr:rowOff>
    </xdr:from>
    <xdr:to>
      <xdr:col>47</xdr:col>
      <xdr:colOff>171450</xdr:colOff>
      <xdr:row>60</xdr:row>
      <xdr:rowOff>66675</xdr:rowOff>
    </xdr:to>
    <xdr:graphicFrame macro="">
      <xdr:nvGraphicFramePr>
        <xdr:cNvPr id="58280" name="แผนภูมิ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514350</xdr:colOff>
      <xdr:row>68</xdr:row>
      <xdr:rowOff>190500</xdr:rowOff>
    </xdr:from>
    <xdr:to>
      <xdr:col>48</xdr:col>
      <xdr:colOff>57150</xdr:colOff>
      <xdr:row>81</xdr:row>
      <xdr:rowOff>114300</xdr:rowOff>
    </xdr:to>
    <xdr:graphicFrame macro="">
      <xdr:nvGraphicFramePr>
        <xdr:cNvPr id="58281" name="แผนภูมิ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19</xdr:col>
      <xdr:colOff>76200</xdr:colOff>
      <xdr:row>2</xdr:row>
      <xdr:rowOff>123825</xdr:rowOff>
    </xdr:from>
    <xdr:to>
      <xdr:col>31</xdr:col>
      <xdr:colOff>523875</xdr:colOff>
      <xdr:row>15</xdr:row>
      <xdr:rowOff>295275</xdr:rowOff>
    </xdr:to>
    <xdr:graphicFrame macro="">
      <xdr:nvGraphicFramePr>
        <xdr:cNvPr id="5828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0.31773</cdr:x>
      <cdr:y>0.11806</cdr:y>
    </cdr:from>
    <cdr:to>
      <cdr:x>0.31773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0.53477</cdr:x>
      <cdr:y>0.12075</cdr:y>
    </cdr:from>
    <cdr:to>
      <cdr:x>0.53477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0.75466</cdr:x>
      <cdr:y>0.12479</cdr:y>
    </cdr:from>
    <cdr:to>
      <cdr:x>0.75466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0.13583</cdr:x>
      <cdr:y>0.91524</cdr:y>
    </cdr:from>
    <cdr:to>
      <cdr:x>0.28797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0.34834</cdr:x>
      <cdr:y>0.9149</cdr:y>
    </cdr:from>
    <cdr:to>
      <cdr:x>0.49976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0.5725</cdr:x>
      <cdr:y>0.91662</cdr:y>
    </cdr:from>
    <cdr:to>
      <cdr:x>0.72443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0.77949</cdr:x>
      <cdr:y>0.92095</cdr:y>
    </cdr:from>
    <cdr:to>
      <cdr:x>0.93241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0.12108</cdr:x>
      <cdr:y>0.85066</cdr:y>
    </cdr:from>
    <cdr:to>
      <cdr:x>0.19396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0.22591</cdr:x>
      <cdr:y>0.85066</cdr:y>
    </cdr:from>
    <cdr:to>
      <cdr:x>0.2994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0.33642</cdr:x>
      <cdr:y>0.85032</cdr:y>
    </cdr:from>
    <cdr:to>
      <cdr:x>0.40956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0.4404</cdr:x>
      <cdr:y>0.85234</cdr:y>
    </cdr:from>
    <cdr:to>
      <cdr:x>0.51338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0.55014</cdr:x>
      <cdr:y>0.85234</cdr:y>
    </cdr:from>
    <cdr:to>
      <cdr:x>0.62378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0.65781</cdr:x>
      <cdr:y>0.85637</cdr:y>
    </cdr:from>
    <cdr:to>
      <cdr:x>0.73279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0.76916</cdr:x>
      <cdr:y>0.85839</cdr:y>
    </cdr:from>
    <cdr:to>
      <cdr:x>0.8428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0.87143</cdr:x>
      <cdr:y>0.86075</cdr:y>
    </cdr:from>
    <cdr:to>
      <cdr:x>0.9469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0.31822</cdr:x>
      <cdr:y>0.11806</cdr:y>
    </cdr:from>
    <cdr:to>
      <cdr:x>0.31822</cdr:x>
      <cdr:y>0.97578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543175" y="5572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0.53576</cdr:x>
      <cdr:y>0.12075</cdr:y>
    </cdr:from>
    <cdr:to>
      <cdr:x>0.53576</cdr:x>
      <cdr:y>0.97847</cdr:y>
    </cdr:to>
    <cdr:cxnSp macro="">
      <cdr:nvCxnSpPr>
        <cdr:cNvPr id="6" name="Straight Connector 5"/>
        <cdr:cNvCxnSpPr/>
      </cdr:nvCxnSpPr>
      <cdr:spPr>
        <a:xfrm xmlns:a="http://schemas.openxmlformats.org/drawingml/2006/main">
          <a:off x="4498975" y="56991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0.75441</cdr:x>
      <cdr:y>0.12479</cdr:y>
    </cdr:from>
    <cdr:to>
      <cdr:x>0.75441</cdr:x>
      <cdr:y>0.98251</cdr:y>
    </cdr:to>
    <cdr:cxnSp macro="">
      <cdr:nvCxnSpPr>
        <cdr:cNvPr id="7" name="Straight Connector 6"/>
        <cdr:cNvCxnSpPr/>
      </cdr:nvCxnSpPr>
      <cdr:spPr>
        <a:xfrm xmlns:a="http://schemas.openxmlformats.org/drawingml/2006/main">
          <a:off x="6470650" y="588964"/>
          <a:ext cx="0" cy="4048125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0.13681</cdr:x>
      <cdr:y>0.91524</cdr:y>
    </cdr:from>
    <cdr:to>
      <cdr:x>0.28847</cdr:x>
      <cdr:y>0.9873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77591" y="3374667"/>
          <a:ext cx="1330207" cy="265692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0.34883</cdr:x>
      <cdr:y>0.9149</cdr:y>
    </cdr:from>
    <cdr:to>
      <cdr:x>0.50074</cdr:x>
      <cdr:y>0.9873</cdr:y>
    </cdr:to>
    <cdr:sp macro="" textlink="">
      <cdr:nvSpPr>
        <cdr:cNvPr id="9" name="Rectangle 8"/>
        <cdr:cNvSpPr/>
      </cdr:nvSpPr>
      <cdr:spPr>
        <a:xfrm xmlns:a="http://schemas.openxmlformats.org/drawingml/2006/main">
          <a:off x="2728223" y="3373414"/>
          <a:ext cx="1330208" cy="26694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2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0.57276</cdr:x>
      <cdr:y>0.91662</cdr:y>
    </cdr:from>
    <cdr:to>
      <cdr:x>0.72468</cdr:x>
      <cdr:y>0.9873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4686582" y="3379769"/>
          <a:ext cx="1330207" cy="26059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3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0.77802</cdr:x>
      <cdr:y>0.92095</cdr:y>
    </cdr:from>
    <cdr:to>
      <cdr:x>0.93388</cdr:x>
      <cdr:y>0.99217</cdr:y>
    </cdr:to>
    <cdr:sp macro="" textlink="">
      <cdr:nvSpPr>
        <cdr:cNvPr id="11" name="Rectangle 10"/>
        <cdr:cNvSpPr/>
      </cdr:nvSpPr>
      <cdr:spPr>
        <a:xfrm xmlns:a="http://schemas.openxmlformats.org/drawingml/2006/main">
          <a:off x="6497130" y="3395720"/>
          <a:ext cx="1330291" cy="26260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2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ไตรมาส 4 (สะสม)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0.12181</cdr:x>
      <cdr:y>0.85066</cdr:y>
    </cdr:from>
    <cdr:to>
      <cdr:x>0.19444</cdr:x>
      <cdr:y>0.89506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771524" y="4014790"/>
          <a:ext cx="657225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/>
        <a:lstStyle xmlns:a="http://schemas.openxmlformats.org/drawingml/2006/main"/>
        <a:p xmlns:a="http://schemas.openxmlformats.org/drawingml/2006/main">
          <a:pPr algn="ctr">
            <a:lnSpc>
              <a:spcPts val="13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0.22616</cdr:x>
      <cdr:y>0.85066</cdr:y>
    </cdr:from>
    <cdr:to>
      <cdr:x>0.2999</cdr:x>
      <cdr:y>0.89506</cdr:y>
    </cdr:to>
    <cdr:sp macro="" textlink="">
      <cdr:nvSpPr>
        <cdr:cNvPr id="13" name="Rectangle 12"/>
        <cdr:cNvSpPr/>
      </cdr:nvSpPr>
      <cdr:spPr>
        <a:xfrm xmlns:a="http://schemas.openxmlformats.org/drawingml/2006/main">
          <a:off x="1714500" y="4014789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0.3369</cdr:x>
      <cdr:y>0.85032</cdr:y>
    </cdr:from>
    <cdr:to>
      <cdr:x>0.41004</cdr:x>
      <cdr:y>0.89674</cdr:y>
    </cdr:to>
    <cdr:sp macro="" textlink="">
      <cdr:nvSpPr>
        <cdr:cNvPr id="14" name="Rectangle 13"/>
        <cdr:cNvSpPr/>
      </cdr:nvSpPr>
      <cdr:spPr>
        <a:xfrm xmlns:a="http://schemas.openxmlformats.org/drawingml/2006/main">
          <a:off x="2708275" y="40132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0.44089</cdr:x>
      <cdr:y>0.85234</cdr:y>
    </cdr:from>
    <cdr:to>
      <cdr:x>0.51438</cdr:x>
      <cdr:y>0.89674</cdr:y>
    </cdr:to>
    <cdr:sp macro="" textlink="">
      <cdr:nvSpPr>
        <cdr:cNvPr id="15" name="Rectangle 14"/>
        <cdr:cNvSpPr/>
      </cdr:nvSpPr>
      <cdr:spPr>
        <a:xfrm xmlns:a="http://schemas.openxmlformats.org/drawingml/2006/main">
          <a:off x="3641725" y="402272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0.55161</cdr:x>
      <cdr:y>0.85234</cdr:y>
    </cdr:from>
    <cdr:to>
      <cdr:x>0.6245</cdr:x>
      <cdr:y>0.89875</cdr:y>
    </cdr:to>
    <cdr:sp macro="" textlink="">
      <cdr:nvSpPr>
        <cdr:cNvPr id="16" name="Rectangle 15"/>
        <cdr:cNvSpPr/>
      </cdr:nvSpPr>
      <cdr:spPr>
        <a:xfrm xmlns:a="http://schemas.openxmlformats.org/drawingml/2006/main">
          <a:off x="4641850" y="4022725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0.65854</cdr:x>
      <cdr:y>0.85637</cdr:y>
    </cdr:from>
    <cdr:to>
      <cdr:x>0.73353</cdr:x>
      <cdr:y>0.90077</cdr:y>
    </cdr:to>
    <cdr:sp macro="" textlink="">
      <cdr:nvSpPr>
        <cdr:cNvPr id="17" name="Rectangle 16"/>
        <cdr:cNvSpPr/>
      </cdr:nvSpPr>
      <cdr:spPr>
        <a:xfrm xmlns:a="http://schemas.openxmlformats.org/drawingml/2006/main">
          <a:off x="5613400" y="4041774"/>
          <a:ext cx="660400" cy="209550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0.7672</cdr:x>
      <cdr:y>0.85839</cdr:y>
    </cdr:from>
    <cdr:to>
      <cdr:x>0.84182</cdr:x>
      <cdr:y>0.90481</cdr:y>
    </cdr:to>
    <cdr:sp macro="" textlink="">
      <cdr:nvSpPr>
        <cdr:cNvPr id="18" name="Rectangle 17"/>
        <cdr:cNvSpPr/>
      </cdr:nvSpPr>
      <cdr:spPr>
        <a:xfrm xmlns:a="http://schemas.openxmlformats.org/drawingml/2006/main">
          <a:off x="6604000" y="4051300"/>
          <a:ext cx="657226" cy="219074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2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1200"/>
            </a:lnSpc>
          </a:pPr>
          <a:r>
            <a:rPr lang="th-TH" sz="1400" b="1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เป้าหมาย</a:t>
          </a:r>
          <a:endParaRPr lang="en-US" sz="1400" b="1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  <cdr:relSizeAnchor xmlns:cdr="http://schemas.openxmlformats.org/drawingml/2006/chartDrawing">
    <cdr:from>
      <cdr:x>0.87266</cdr:x>
      <cdr:y>0.86075</cdr:y>
    </cdr:from>
    <cdr:to>
      <cdr:x>0.94837</cdr:x>
      <cdr:y>0.90683</cdr:y>
    </cdr:to>
    <cdr:sp macro="" textlink="">
      <cdr:nvSpPr>
        <cdr:cNvPr id="19" name="Rectangle 18"/>
        <cdr:cNvSpPr/>
      </cdr:nvSpPr>
      <cdr:spPr>
        <a:xfrm xmlns:a="http://schemas.openxmlformats.org/drawingml/2006/main">
          <a:off x="7537450" y="4062413"/>
          <a:ext cx="660400" cy="217485"/>
        </a:xfrm>
        <a:prstGeom xmlns:a="http://schemas.openxmlformats.org/drawingml/2006/main" prst="rect">
          <a:avLst/>
        </a:prstGeom>
        <a:ln xmlns:a="http://schemas.openxmlformats.org/drawingml/2006/main" w="3175"/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lIns="0" tIns="0" rIns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th-TH" sz="1400" b="1">
              <a:solidFill>
                <a:srgbClr val="000099"/>
              </a:solidFill>
              <a:latin typeface="TH SarabunPSK" pitchFamily="34" charset="-34"/>
              <a:cs typeface="TH SarabunPSK" pitchFamily="34" charset="-34"/>
            </a:rPr>
            <a:t>เกิดจริง</a:t>
          </a:r>
          <a:endParaRPr lang="en-US" sz="1400" b="1">
            <a:solidFill>
              <a:srgbClr val="000099"/>
            </a:solidFill>
            <a:latin typeface="TH SarabunPSK" pitchFamily="34" charset="-34"/>
            <a:cs typeface="TH SarabunPSK" pitchFamily="34" charset="-34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2.Run-M10/M10_2560/M10_SUM_2560%20&#3629;&#3633;&#3605;&#3619;&#3634;&#3585;&#3634;&#3619;&#3651;&#3594;&#3657;&#3609;&#3657;&#363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0/Data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0/7.&#3648;&#3611;&#3657;&#3634;&#3627;&#3617;&#3634;&#3618;/&#3648;&#3611;&#3657;&#3634;&#3627;&#3617;&#3634;&#3618;&#3610;&#3633;&#3609;&#3607;&#3638;&#3585;&#3586;&#3657;&#3629;&#3605;&#3585;&#3621;&#3591;&#3611;&#3637;%202560/&#3588;&#3635;&#3609;&#3623;&#3603;&#3648;&#3611;&#3657;&#3634;&#3627;&#3617;&#3634;&#3618;&#3619;&#3634;&#3618;&#3648;&#3604;&#3639;&#3629;&#3609;%20Trend60_&#3586;&#3657;&#3629;&#3605;&#3585;&#3621;&#3591;_&#3648;&#3611;&#3657;&#3634;&#3626;&#3656;&#3623;&#3609;&#3585;&#3621;&#3634;&#3591;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9/Data5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60/7.&#3648;&#3611;&#3657;&#3634;&#3627;&#3617;&#3634;&#3618;/&#3648;&#3611;&#3657;&#3634;&#3627;&#3617;&#3634;&#3618;&#3610;&#3633;&#3609;&#3607;&#3638;&#3585;&#3586;&#3657;&#3629;&#3605;&#3585;&#3621;&#3591;&#3611;&#3637;%202560/&#3588;&#3635;&#3609;&#3623;&#3603;&#3648;&#3611;&#3657;&#3634;&#3627;&#3617;&#3634;&#3618;&#3619;&#3634;&#3618;&#3648;&#3604;&#3639;&#3629;&#3609;%20Trend60_&#3586;&#3657;&#3629;&#3605;&#3585;&#3621;&#3591;_&#3648;&#3611;&#3657;&#3634;&#3626;&#3656;&#3623;&#3609;&#3585;&#3621;&#3634;&#359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5;&#3629;&#3591;&#3648;&#3607;&#3588;&#3650;&#3609;&#3650;&#3621;&#3618;&#3637;&#3626;&#3634;&#3619;&#3626;&#3609;&#3648;&#3607;&#3624;/1.&#3591;&#3634;&#3609;&#3611;&#3619;&#3632;&#3617;&#3623;&#3621;&#3586;&#3657;&#3629;&#3617;&#3641;&#3621;/1.&#3612;&#3621;&#3585;&#3634;&#3619;&#3604;&#3635;&#3648;&#3609;&#3636;&#3609;&#3591;&#3634;&#3609;/2559/Data59_recheck_Final-including%201F,1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092559"/>
      <sheetName val="102559"/>
      <sheetName val="112559"/>
      <sheetName val="122559"/>
      <sheetName val="012560"/>
      <sheetName val="022560"/>
      <sheetName val="032560"/>
      <sheetName val="042560"/>
      <sheetName val="052560"/>
      <sheetName val="062560"/>
      <sheetName val="072560"/>
      <sheetName val="082560"/>
      <sheetName val="092560"/>
      <sheetName val="2M"/>
      <sheetName val="3M"/>
      <sheetName val="4M"/>
      <sheetName val="5M"/>
      <sheetName val="6M"/>
      <sheetName val="7M"/>
      <sheetName val="8M"/>
      <sheetName val="9M"/>
      <sheetName val="10M"/>
      <sheetName val="11M"/>
      <sheetName val="12M"/>
      <sheetName val="sum 12Ms"/>
      <sheetName val="sum Q1"/>
      <sheetName val="sum Q1 (อัตราการใช้น้ำ)"/>
      <sheetName val="sum 4Ms "/>
      <sheetName val="อัตราการใช้น้ำ4"/>
      <sheetName val="sum 6Ms"/>
      <sheetName val="sum 8Ms"/>
      <sheetName val="อัตราการใช้น้ำ6"/>
      <sheetName val="อัตราการใช้น้ำ8"/>
      <sheetName val="sum 9Ms"/>
      <sheetName val="sum 9Ms (2)"/>
      <sheetName val="อัตราการใช้น้ำQ3"/>
      <sheetName val="Sheet4"/>
      <sheetName val="sum Q2"/>
      <sheetName val="sum Q2 (อัตราการใช้น้ำ)"/>
      <sheetName val="sum 07-09"/>
      <sheetName val="Sheet1"/>
      <sheetName val="Sheet2"/>
      <sheetName val="Sheet3"/>
    </sheetNames>
    <sheetDataSet>
      <sheetData sheetId="0"/>
      <sheetData sheetId="1">
        <row r="3">
          <cell r="D3">
            <v>105437</v>
          </cell>
          <cell r="G3">
            <v>79037</v>
          </cell>
          <cell r="J3">
            <v>634</v>
          </cell>
          <cell r="M3">
            <v>16625</v>
          </cell>
          <cell r="P3">
            <v>117</v>
          </cell>
          <cell r="S3">
            <v>8829</v>
          </cell>
          <cell r="V3">
            <v>194</v>
          </cell>
          <cell r="Y3">
            <v>1</v>
          </cell>
        </row>
        <row r="4">
          <cell r="D4">
            <v>2957</v>
          </cell>
          <cell r="G4">
            <v>2434</v>
          </cell>
          <cell r="J4">
            <v>54</v>
          </cell>
          <cell r="M4">
            <v>344</v>
          </cell>
          <cell r="P4">
            <v>5</v>
          </cell>
          <cell r="S4">
            <v>116</v>
          </cell>
          <cell r="V4">
            <v>4</v>
          </cell>
          <cell r="Y4">
            <v>0</v>
          </cell>
        </row>
        <row r="5">
          <cell r="D5">
            <v>15188</v>
          </cell>
          <cell r="G5">
            <v>12902</v>
          </cell>
          <cell r="J5">
            <v>53</v>
          </cell>
          <cell r="M5">
            <v>1571</v>
          </cell>
          <cell r="P5">
            <v>10</v>
          </cell>
          <cell r="S5">
            <v>631</v>
          </cell>
          <cell r="V5">
            <v>21</v>
          </cell>
          <cell r="Y5">
            <v>0</v>
          </cell>
        </row>
        <row r="6">
          <cell r="D6">
            <v>18755</v>
          </cell>
          <cell r="G6">
            <v>16611</v>
          </cell>
          <cell r="J6">
            <v>326</v>
          </cell>
          <cell r="M6">
            <v>1269</v>
          </cell>
          <cell r="P6">
            <v>24</v>
          </cell>
          <cell r="S6">
            <v>509</v>
          </cell>
          <cell r="V6">
            <v>15</v>
          </cell>
          <cell r="Y6">
            <v>1</v>
          </cell>
        </row>
        <row r="7">
          <cell r="D7">
            <v>4939</v>
          </cell>
          <cell r="G7">
            <v>3510</v>
          </cell>
          <cell r="J7">
            <v>76</v>
          </cell>
          <cell r="M7">
            <v>1151</v>
          </cell>
          <cell r="P7">
            <v>19</v>
          </cell>
          <cell r="S7">
            <v>178</v>
          </cell>
          <cell r="V7">
            <v>5</v>
          </cell>
          <cell r="Y7">
            <v>0</v>
          </cell>
        </row>
        <row r="8">
          <cell r="D8">
            <v>5119</v>
          </cell>
          <cell r="G8">
            <v>3420</v>
          </cell>
          <cell r="J8">
            <v>104</v>
          </cell>
          <cell r="M8">
            <v>1300</v>
          </cell>
          <cell r="P8">
            <v>11</v>
          </cell>
          <cell r="S8">
            <v>261</v>
          </cell>
          <cell r="V8">
            <v>23</v>
          </cell>
          <cell r="Y8">
            <v>0</v>
          </cell>
        </row>
        <row r="9">
          <cell r="D9">
            <v>3879</v>
          </cell>
          <cell r="G9">
            <v>2986</v>
          </cell>
          <cell r="J9">
            <v>43</v>
          </cell>
          <cell r="M9">
            <v>664</v>
          </cell>
          <cell r="P9">
            <v>10</v>
          </cell>
          <cell r="S9">
            <v>173</v>
          </cell>
          <cell r="V9">
            <v>3</v>
          </cell>
          <cell r="Y9">
            <v>0</v>
          </cell>
        </row>
        <row r="10">
          <cell r="D10">
            <v>6295</v>
          </cell>
          <cell r="G10">
            <v>4577</v>
          </cell>
          <cell r="J10">
            <v>180</v>
          </cell>
          <cell r="M10">
            <v>878</v>
          </cell>
          <cell r="P10">
            <v>9</v>
          </cell>
          <cell r="S10">
            <v>635</v>
          </cell>
          <cell r="V10">
            <v>16</v>
          </cell>
          <cell r="Y10">
            <v>0</v>
          </cell>
        </row>
        <row r="11">
          <cell r="D11">
            <v>5285</v>
          </cell>
          <cell r="G11">
            <v>4257</v>
          </cell>
          <cell r="J11">
            <v>116</v>
          </cell>
          <cell r="M11">
            <v>651</v>
          </cell>
          <cell r="P11">
            <v>5</v>
          </cell>
          <cell r="S11">
            <v>234</v>
          </cell>
          <cell r="V11">
            <v>22</v>
          </cell>
          <cell r="Y11">
            <v>0</v>
          </cell>
        </row>
        <row r="12">
          <cell r="D12">
            <v>15417</v>
          </cell>
          <cell r="G12">
            <v>12392</v>
          </cell>
          <cell r="J12">
            <v>198</v>
          </cell>
          <cell r="M12">
            <v>2116</v>
          </cell>
          <cell r="P12">
            <v>38</v>
          </cell>
          <cell r="S12">
            <v>639</v>
          </cell>
          <cell r="V12">
            <v>34</v>
          </cell>
          <cell r="Y12">
            <v>0</v>
          </cell>
        </row>
        <row r="13">
          <cell r="D13">
            <v>1069</v>
          </cell>
          <cell r="G13">
            <v>806</v>
          </cell>
          <cell r="J13">
            <v>25</v>
          </cell>
          <cell r="M13">
            <v>165</v>
          </cell>
          <cell r="P13">
            <v>4</v>
          </cell>
          <cell r="S13">
            <v>60</v>
          </cell>
          <cell r="V13">
            <v>9</v>
          </cell>
          <cell r="Y13">
            <v>0</v>
          </cell>
        </row>
        <row r="14">
          <cell r="D14">
            <v>38401</v>
          </cell>
          <cell r="G14">
            <v>31182</v>
          </cell>
          <cell r="J14">
            <v>331</v>
          </cell>
          <cell r="M14">
            <v>4801</v>
          </cell>
          <cell r="P14">
            <v>45</v>
          </cell>
          <cell r="S14">
            <v>1979</v>
          </cell>
          <cell r="V14">
            <v>63</v>
          </cell>
          <cell r="Y14">
            <v>0</v>
          </cell>
        </row>
        <row r="15">
          <cell r="D15">
            <v>5374</v>
          </cell>
          <cell r="G15">
            <v>4632</v>
          </cell>
          <cell r="J15">
            <v>54</v>
          </cell>
          <cell r="M15">
            <v>527</v>
          </cell>
          <cell r="P15">
            <v>5</v>
          </cell>
          <cell r="S15">
            <v>133</v>
          </cell>
          <cell r="V15">
            <v>23</v>
          </cell>
          <cell r="Y15">
            <v>0</v>
          </cell>
        </row>
        <row r="16">
          <cell r="D16">
            <v>8027</v>
          </cell>
          <cell r="G16">
            <v>6780</v>
          </cell>
          <cell r="J16">
            <v>99</v>
          </cell>
          <cell r="M16">
            <v>909</v>
          </cell>
          <cell r="P16">
            <v>12</v>
          </cell>
          <cell r="S16">
            <v>211</v>
          </cell>
          <cell r="V16">
            <v>16</v>
          </cell>
          <cell r="Y16">
            <v>0</v>
          </cell>
        </row>
        <row r="17">
          <cell r="D17">
            <v>12151</v>
          </cell>
          <cell r="G17">
            <v>9135</v>
          </cell>
          <cell r="J17">
            <v>136</v>
          </cell>
          <cell r="M17">
            <v>1999</v>
          </cell>
          <cell r="P17">
            <v>15</v>
          </cell>
          <cell r="S17">
            <v>839</v>
          </cell>
          <cell r="V17">
            <v>27</v>
          </cell>
          <cell r="Y17">
            <v>0</v>
          </cell>
        </row>
        <row r="18">
          <cell r="D18">
            <v>6016</v>
          </cell>
          <cell r="G18">
            <v>5112</v>
          </cell>
          <cell r="J18">
            <v>100</v>
          </cell>
          <cell r="M18">
            <v>604</v>
          </cell>
          <cell r="P18">
            <v>16</v>
          </cell>
          <cell r="S18">
            <v>154</v>
          </cell>
          <cell r="V18">
            <v>30</v>
          </cell>
          <cell r="Y18">
            <v>0</v>
          </cell>
        </row>
        <row r="19">
          <cell r="D19">
            <v>3672</v>
          </cell>
          <cell r="G19">
            <v>3074</v>
          </cell>
          <cell r="J19">
            <v>71</v>
          </cell>
          <cell r="M19">
            <v>401</v>
          </cell>
          <cell r="P19">
            <v>10</v>
          </cell>
          <cell r="S19">
            <v>101</v>
          </cell>
          <cell r="V19">
            <v>15</v>
          </cell>
          <cell r="Y19">
            <v>0</v>
          </cell>
        </row>
        <row r="20">
          <cell r="D20">
            <v>14625</v>
          </cell>
          <cell r="G20">
            <v>10969</v>
          </cell>
          <cell r="J20">
            <v>233</v>
          </cell>
          <cell r="M20">
            <v>2273</v>
          </cell>
          <cell r="P20">
            <v>21</v>
          </cell>
          <cell r="S20">
            <v>1069</v>
          </cell>
          <cell r="V20">
            <v>60</v>
          </cell>
          <cell r="Y20">
            <v>0</v>
          </cell>
        </row>
        <row r="21">
          <cell r="D21">
            <v>4719</v>
          </cell>
          <cell r="G21">
            <v>3105</v>
          </cell>
          <cell r="J21">
            <v>115</v>
          </cell>
          <cell r="M21">
            <v>1272</v>
          </cell>
          <cell r="P21">
            <v>12</v>
          </cell>
          <cell r="S21">
            <v>196</v>
          </cell>
          <cell r="V21">
            <v>19</v>
          </cell>
          <cell r="Y21">
            <v>0</v>
          </cell>
        </row>
        <row r="22">
          <cell r="D22">
            <v>20922</v>
          </cell>
          <cell r="G22">
            <v>17543</v>
          </cell>
          <cell r="J22">
            <v>255</v>
          </cell>
          <cell r="M22">
            <v>2196</v>
          </cell>
          <cell r="P22">
            <v>22</v>
          </cell>
          <cell r="S22">
            <v>856</v>
          </cell>
          <cell r="V22">
            <v>50</v>
          </cell>
          <cell r="Y22">
            <v>0</v>
          </cell>
        </row>
        <row r="23">
          <cell r="D23">
            <v>5901</v>
          </cell>
          <cell r="G23">
            <v>4322</v>
          </cell>
          <cell r="J23">
            <v>97</v>
          </cell>
          <cell r="M23">
            <v>1097</v>
          </cell>
          <cell r="P23">
            <v>20</v>
          </cell>
          <cell r="S23">
            <v>356</v>
          </cell>
          <cell r="V23">
            <v>9</v>
          </cell>
          <cell r="Y23">
            <v>0</v>
          </cell>
        </row>
        <row r="24">
          <cell r="D24">
            <v>27714</v>
          </cell>
          <cell r="G24">
            <v>21399</v>
          </cell>
          <cell r="J24">
            <v>381</v>
          </cell>
          <cell r="M24">
            <v>4208</v>
          </cell>
          <cell r="P24">
            <v>45</v>
          </cell>
          <cell r="S24">
            <v>1634</v>
          </cell>
          <cell r="V24">
            <v>47</v>
          </cell>
          <cell r="Y24">
            <v>0</v>
          </cell>
        </row>
        <row r="25">
          <cell r="D25">
            <v>6969</v>
          </cell>
          <cell r="G25">
            <v>5854</v>
          </cell>
          <cell r="J25">
            <v>75</v>
          </cell>
          <cell r="M25">
            <v>806</v>
          </cell>
          <cell r="P25">
            <v>12</v>
          </cell>
          <cell r="S25">
            <v>215</v>
          </cell>
          <cell r="V25">
            <v>7</v>
          </cell>
          <cell r="Y25">
            <v>0</v>
          </cell>
        </row>
        <row r="26">
          <cell r="D26">
            <v>2239</v>
          </cell>
          <cell r="G26">
            <v>1528</v>
          </cell>
          <cell r="J26">
            <v>59</v>
          </cell>
          <cell r="M26">
            <v>490</v>
          </cell>
          <cell r="P26">
            <v>13</v>
          </cell>
          <cell r="S26">
            <v>148</v>
          </cell>
          <cell r="V26">
            <v>1</v>
          </cell>
          <cell r="Y26">
            <v>0</v>
          </cell>
        </row>
        <row r="27">
          <cell r="D27">
            <v>3544</v>
          </cell>
          <cell r="G27">
            <v>2813</v>
          </cell>
          <cell r="J27">
            <v>78</v>
          </cell>
          <cell r="M27">
            <v>397</v>
          </cell>
          <cell r="P27">
            <v>10</v>
          </cell>
          <cell r="S27">
            <v>244</v>
          </cell>
          <cell r="V27">
            <v>2</v>
          </cell>
          <cell r="Y27">
            <v>0</v>
          </cell>
        </row>
        <row r="28">
          <cell r="D28">
            <v>18089</v>
          </cell>
          <cell r="G28">
            <v>13452</v>
          </cell>
          <cell r="J28">
            <v>266</v>
          </cell>
          <cell r="M28">
            <v>3187</v>
          </cell>
          <cell r="P28">
            <v>27</v>
          </cell>
          <cell r="S28">
            <v>1131</v>
          </cell>
          <cell r="V28">
            <v>26</v>
          </cell>
          <cell r="Y28">
            <v>0</v>
          </cell>
        </row>
        <row r="29">
          <cell r="D29">
            <v>3284</v>
          </cell>
          <cell r="G29">
            <v>2487</v>
          </cell>
          <cell r="J29">
            <v>46</v>
          </cell>
          <cell r="M29">
            <v>614</v>
          </cell>
          <cell r="P29">
            <v>17</v>
          </cell>
          <cell r="S29">
            <v>115</v>
          </cell>
          <cell r="V29">
            <v>5</v>
          </cell>
          <cell r="Y29">
            <v>0</v>
          </cell>
        </row>
      </sheetData>
      <sheetData sheetId="2">
        <row r="3">
          <cell r="E3">
            <v>2598925</v>
          </cell>
          <cell r="F3">
            <v>52847492.760000005</v>
          </cell>
          <cell r="H3">
            <v>1185054</v>
          </cell>
          <cell r="I3">
            <v>17102060.41</v>
          </cell>
          <cell r="K3">
            <v>121039</v>
          </cell>
          <cell r="L3">
            <v>2695732.99</v>
          </cell>
          <cell r="N3">
            <v>541729</v>
          </cell>
          <cell r="O3">
            <v>12035476.450000001</v>
          </cell>
          <cell r="Q3">
            <v>18673</v>
          </cell>
          <cell r="R3">
            <v>537069.5</v>
          </cell>
          <cell r="T3">
            <v>702142</v>
          </cell>
          <cell r="U3">
            <v>19761219.910000004</v>
          </cell>
          <cell r="W3">
            <v>13299</v>
          </cell>
          <cell r="X3">
            <v>367433.5</v>
          </cell>
          <cell r="Z3">
            <v>16989</v>
          </cell>
          <cell r="AA3">
            <v>348500</v>
          </cell>
        </row>
        <row r="4">
          <cell r="E4">
            <v>44632</v>
          </cell>
          <cell r="F4">
            <v>730471.29</v>
          </cell>
          <cell r="H4">
            <v>28293</v>
          </cell>
          <cell r="I4">
            <v>371201.58999999997</v>
          </cell>
          <cell r="K4">
            <v>4686</v>
          </cell>
          <cell r="L4">
            <v>99021.25</v>
          </cell>
          <cell r="N4">
            <v>6889</v>
          </cell>
          <cell r="O4">
            <v>139601.4</v>
          </cell>
          <cell r="Q4">
            <v>116</v>
          </cell>
          <cell r="R4">
            <v>2622</v>
          </cell>
          <cell r="T4">
            <v>4106</v>
          </cell>
          <cell r="U4">
            <v>103115.54999999999</v>
          </cell>
          <cell r="W4">
            <v>542</v>
          </cell>
          <cell r="X4">
            <v>14909.5</v>
          </cell>
          <cell r="Z4">
            <v>0</v>
          </cell>
          <cell r="AA4">
            <v>0</v>
          </cell>
        </row>
        <row r="5">
          <cell r="E5">
            <v>205929</v>
          </cell>
          <cell r="F5">
            <v>3329399.05</v>
          </cell>
          <cell r="H5">
            <v>149383</v>
          </cell>
          <cell r="I5">
            <v>1979484.15</v>
          </cell>
          <cell r="K5">
            <v>4048</v>
          </cell>
          <cell r="L5">
            <v>86379.55</v>
          </cell>
          <cell r="N5">
            <v>30403</v>
          </cell>
          <cell r="O5">
            <v>628521.89999999991</v>
          </cell>
          <cell r="Q5">
            <v>508</v>
          </cell>
          <cell r="R5">
            <v>13204.5</v>
          </cell>
          <cell r="T5">
            <v>18521</v>
          </cell>
          <cell r="U5">
            <v>534831.69999999995</v>
          </cell>
          <cell r="W5">
            <v>3066</v>
          </cell>
          <cell r="X5">
            <v>86977.25</v>
          </cell>
          <cell r="Z5">
            <v>0</v>
          </cell>
          <cell r="AA5">
            <v>0</v>
          </cell>
        </row>
        <row r="6">
          <cell r="E6">
            <v>385586</v>
          </cell>
          <cell r="F6">
            <v>6891564</v>
          </cell>
          <cell r="H6">
            <v>225670</v>
          </cell>
          <cell r="I6">
            <v>2947078</v>
          </cell>
          <cell r="K6">
            <v>68230</v>
          </cell>
          <cell r="L6">
            <v>1597013</v>
          </cell>
          <cell r="N6">
            <v>37633</v>
          </cell>
          <cell r="O6">
            <v>806968</v>
          </cell>
          <cell r="Q6">
            <v>10856</v>
          </cell>
          <cell r="R6">
            <v>315959</v>
          </cell>
          <cell r="T6">
            <v>42119</v>
          </cell>
          <cell r="U6">
            <v>1194579</v>
          </cell>
          <cell r="W6">
            <v>991</v>
          </cell>
          <cell r="X6">
            <v>28662</v>
          </cell>
          <cell r="Z6">
            <v>87</v>
          </cell>
          <cell r="AA6">
            <v>1305</v>
          </cell>
        </row>
        <row r="7">
          <cell r="E7">
            <v>102249</v>
          </cell>
          <cell r="F7">
            <v>1925081.0700000003</v>
          </cell>
          <cell r="H7">
            <v>38253</v>
          </cell>
          <cell r="I7">
            <v>520206.9200000001</v>
          </cell>
          <cell r="K7">
            <v>30841</v>
          </cell>
          <cell r="L7">
            <v>669439.5</v>
          </cell>
          <cell r="N7">
            <v>26336</v>
          </cell>
          <cell r="O7">
            <v>551018.15</v>
          </cell>
          <cell r="Q7">
            <v>510</v>
          </cell>
          <cell r="R7">
            <v>13042</v>
          </cell>
          <cell r="T7">
            <v>6185</v>
          </cell>
          <cell r="U7">
            <v>167897.5</v>
          </cell>
          <cell r="W7">
            <v>124</v>
          </cell>
          <cell r="X7">
            <v>3477</v>
          </cell>
          <cell r="Z7">
            <v>0</v>
          </cell>
          <cell r="AA7">
            <v>0</v>
          </cell>
        </row>
        <row r="8">
          <cell r="E8">
            <v>100102</v>
          </cell>
          <cell r="F8">
            <v>1907571.33</v>
          </cell>
          <cell r="H8">
            <v>39177</v>
          </cell>
          <cell r="I8">
            <v>522767.13</v>
          </cell>
          <cell r="K8">
            <v>22206</v>
          </cell>
          <cell r="L8">
            <v>483500.05000000005</v>
          </cell>
          <cell r="N8">
            <v>27249</v>
          </cell>
          <cell r="O8">
            <v>593325.54999999993</v>
          </cell>
          <cell r="Q8">
            <v>676</v>
          </cell>
          <cell r="R8">
            <v>17062.75</v>
          </cell>
          <cell r="T8">
            <v>8335</v>
          </cell>
          <cell r="U8">
            <v>221124.6</v>
          </cell>
          <cell r="W8">
            <v>2459</v>
          </cell>
          <cell r="X8">
            <v>69791.25</v>
          </cell>
          <cell r="Z8">
            <v>0</v>
          </cell>
          <cell r="AA8">
            <v>0</v>
          </cell>
        </row>
        <row r="9">
          <cell r="E9">
            <v>64307</v>
          </cell>
          <cell r="F9">
            <v>1087725.1299999999</v>
          </cell>
          <cell r="H9">
            <v>41077</v>
          </cell>
          <cell r="I9">
            <v>569377.53</v>
          </cell>
          <cell r="K9">
            <v>2951</v>
          </cell>
          <cell r="L9">
            <v>62494.2</v>
          </cell>
          <cell r="N9">
            <v>14539</v>
          </cell>
          <cell r="O9">
            <v>307660.40000000002</v>
          </cell>
          <cell r="Q9">
            <v>162</v>
          </cell>
          <cell r="R9">
            <v>4503</v>
          </cell>
          <cell r="T9">
            <v>5537</v>
          </cell>
          <cell r="U9">
            <v>142790</v>
          </cell>
          <cell r="W9">
            <v>41</v>
          </cell>
          <cell r="X9">
            <v>900</v>
          </cell>
          <cell r="Z9">
            <v>0</v>
          </cell>
          <cell r="AA9">
            <v>0</v>
          </cell>
        </row>
        <row r="10">
          <cell r="E10">
            <v>124319</v>
          </cell>
          <cell r="F10">
            <v>2297409.94</v>
          </cell>
          <cell r="H10">
            <v>59907</v>
          </cell>
          <cell r="I10">
            <v>846520.84</v>
          </cell>
          <cell r="K10">
            <v>23059</v>
          </cell>
          <cell r="L10">
            <v>491204.25</v>
          </cell>
          <cell r="N10">
            <v>20969</v>
          </cell>
          <cell r="O10">
            <v>427780.7</v>
          </cell>
          <cell r="Q10">
            <v>395</v>
          </cell>
          <cell r="R10">
            <v>9865.25</v>
          </cell>
          <cell r="T10">
            <v>18249</v>
          </cell>
          <cell r="U10">
            <v>473626.65</v>
          </cell>
          <cell r="W10">
            <v>1740</v>
          </cell>
          <cell r="X10">
            <v>48412.25</v>
          </cell>
          <cell r="Z10">
            <v>0</v>
          </cell>
          <cell r="AA10">
            <v>0</v>
          </cell>
        </row>
        <row r="11">
          <cell r="E11">
            <v>82757</v>
          </cell>
          <cell r="F11">
            <v>1401941.27</v>
          </cell>
          <cell r="H11">
            <v>50296</v>
          </cell>
          <cell r="I11">
            <v>677752.46999999986</v>
          </cell>
          <cell r="K11">
            <v>9216</v>
          </cell>
          <cell r="L11">
            <v>195691.7</v>
          </cell>
          <cell r="N11">
            <v>13285</v>
          </cell>
          <cell r="O11">
            <v>263969.85000000003</v>
          </cell>
          <cell r="Q11">
            <v>121</v>
          </cell>
          <cell r="R11">
            <v>2917</v>
          </cell>
          <cell r="T11">
            <v>7194</v>
          </cell>
          <cell r="U11">
            <v>188376.25</v>
          </cell>
          <cell r="W11">
            <v>2645</v>
          </cell>
          <cell r="X11">
            <v>73234</v>
          </cell>
          <cell r="Z11">
            <v>0</v>
          </cell>
          <cell r="AA11">
            <v>0</v>
          </cell>
        </row>
        <row r="12">
          <cell r="E12">
            <v>268959</v>
          </cell>
          <cell r="F12">
            <v>4791448.9000000004</v>
          </cell>
          <cell r="H12">
            <v>159245</v>
          </cell>
          <cell r="I12">
            <v>2182568.39</v>
          </cell>
          <cell r="K12">
            <v>25899</v>
          </cell>
          <cell r="L12">
            <v>557303.35</v>
          </cell>
          <cell r="N12">
            <v>47368</v>
          </cell>
          <cell r="O12">
            <v>1026984.66</v>
          </cell>
          <cell r="Q12">
            <v>1992</v>
          </cell>
          <cell r="R12">
            <v>54484.5</v>
          </cell>
          <cell r="T12">
            <v>32403</v>
          </cell>
          <cell r="U12">
            <v>913581.25</v>
          </cell>
          <cell r="W12">
            <v>2052</v>
          </cell>
          <cell r="X12">
            <v>56526.75</v>
          </cell>
          <cell r="Z12">
            <v>0</v>
          </cell>
          <cell r="AA12">
            <v>0</v>
          </cell>
        </row>
        <row r="13">
          <cell r="E13">
            <v>15394</v>
          </cell>
          <cell r="F13">
            <v>282144.18000000005</v>
          </cell>
          <cell r="H13">
            <v>7462</v>
          </cell>
          <cell r="I13">
            <v>94131.38</v>
          </cell>
          <cell r="K13">
            <v>1865</v>
          </cell>
          <cell r="L13">
            <v>39756.1</v>
          </cell>
          <cell r="N13">
            <v>3097</v>
          </cell>
          <cell r="O13">
            <v>65597.950000000012</v>
          </cell>
          <cell r="Q13">
            <v>69</v>
          </cell>
          <cell r="R13">
            <v>1764</v>
          </cell>
          <cell r="T13">
            <v>1463</v>
          </cell>
          <cell r="U13">
            <v>38928.5</v>
          </cell>
          <cell r="W13">
            <v>1438</v>
          </cell>
          <cell r="X13">
            <v>41966.25</v>
          </cell>
          <cell r="Z13">
            <v>0</v>
          </cell>
          <cell r="AA13">
            <v>0</v>
          </cell>
        </row>
        <row r="14">
          <cell r="E14">
            <v>677052</v>
          </cell>
          <cell r="F14">
            <v>11643949.48</v>
          </cell>
          <cell r="H14">
            <v>389758</v>
          </cell>
          <cell r="I14">
            <v>5177325.78</v>
          </cell>
          <cell r="K14">
            <v>78363</v>
          </cell>
          <cell r="L14">
            <v>1463825.4500000002</v>
          </cell>
          <cell r="N14">
            <v>105670</v>
          </cell>
          <cell r="O14">
            <v>2176439</v>
          </cell>
          <cell r="Q14">
            <v>2625</v>
          </cell>
          <cell r="R14">
            <v>71887.75</v>
          </cell>
          <cell r="T14">
            <v>94265</v>
          </cell>
          <cell r="U14">
            <v>2573936.5</v>
          </cell>
          <cell r="W14">
            <v>6371</v>
          </cell>
          <cell r="X14">
            <v>180535</v>
          </cell>
          <cell r="Z14">
            <v>0</v>
          </cell>
          <cell r="AA14">
            <v>0</v>
          </cell>
        </row>
        <row r="15">
          <cell r="E15">
            <v>82327</v>
          </cell>
          <cell r="F15">
            <v>1328896.3600000001</v>
          </cell>
          <cell r="H15">
            <v>56136</v>
          </cell>
          <cell r="I15">
            <v>743351.51</v>
          </cell>
          <cell r="K15">
            <v>10801</v>
          </cell>
          <cell r="L15">
            <v>232225.35000000003</v>
          </cell>
          <cell r="N15">
            <v>9899</v>
          </cell>
          <cell r="O15">
            <v>205411.25</v>
          </cell>
          <cell r="Q15">
            <v>199</v>
          </cell>
          <cell r="R15">
            <v>4748.25</v>
          </cell>
          <cell r="T15">
            <v>4212</v>
          </cell>
          <cell r="U15">
            <v>115070</v>
          </cell>
          <cell r="W15">
            <v>1080</v>
          </cell>
          <cell r="X15">
            <v>28090</v>
          </cell>
          <cell r="Z15">
            <v>0</v>
          </cell>
          <cell r="AA15">
            <v>0</v>
          </cell>
        </row>
        <row r="16">
          <cell r="E16">
            <v>103746</v>
          </cell>
          <cell r="F16">
            <v>1685723.3599999999</v>
          </cell>
          <cell r="H16">
            <v>66553</v>
          </cell>
          <cell r="I16">
            <v>839153.65999999992</v>
          </cell>
          <cell r="K16">
            <v>11103</v>
          </cell>
          <cell r="L16">
            <v>237252.55</v>
          </cell>
          <cell r="N16">
            <v>14379</v>
          </cell>
          <cell r="O16">
            <v>288821.40000000002</v>
          </cell>
          <cell r="Q16">
            <v>337</v>
          </cell>
          <cell r="R16">
            <v>8773</v>
          </cell>
          <cell r="T16">
            <v>8892</v>
          </cell>
          <cell r="U16">
            <v>241953</v>
          </cell>
          <cell r="W16">
            <v>2482</v>
          </cell>
          <cell r="X16">
            <v>69769.75</v>
          </cell>
          <cell r="Z16">
            <v>0</v>
          </cell>
          <cell r="AA16">
            <v>0</v>
          </cell>
        </row>
        <row r="17">
          <cell r="E17">
            <v>197795</v>
          </cell>
          <cell r="F17">
            <v>3526770.86</v>
          </cell>
          <cell r="H17">
            <v>109563</v>
          </cell>
          <cell r="I17">
            <v>1498901.8599999999</v>
          </cell>
          <cell r="K17">
            <v>20375</v>
          </cell>
          <cell r="L17">
            <v>436603.14999999997</v>
          </cell>
          <cell r="N17">
            <v>36232</v>
          </cell>
          <cell r="O17">
            <v>738196.1</v>
          </cell>
          <cell r="Q17">
            <v>624</v>
          </cell>
          <cell r="R17">
            <v>15769.5</v>
          </cell>
          <cell r="T17">
            <v>30131</v>
          </cell>
          <cell r="U17">
            <v>815553.75</v>
          </cell>
          <cell r="W17">
            <v>870</v>
          </cell>
          <cell r="X17">
            <v>21746.5</v>
          </cell>
          <cell r="Z17">
            <v>0</v>
          </cell>
          <cell r="AA17">
            <v>0</v>
          </cell>
        </row>
        <row r="18">
          <cell r="E18">
            <v>87926</v>
          </cell>
          <cell r="F18">
            <v>1488233.32</v>
          </cell>
          <cell r="H18">
            <v>56105</v>
          </cell>
          <cell r="I18">
            <v>726850.82000000007</v>
          </cell>
          <cell r="K18">
            <v>10039</v>
          </cell>
          <cell r="L18">
            <v>238081.09999999998</v>
          </cell>
          <cell r="N18">
            <v>13548</v>
          </cell>
          <cell r="O18">
            <v>291712.8</v>
          </cell>
          <cell r="Q18">
            <v>3524</v>
          </cell>
          <cell r="R18">
            <v>100693.25</v>
          </cell>
          <cell r="T18">
            <v>3578</v>
          </cell>
          <cell r="U18">
            <v>99191.6</v>
          </cell>
          <cell r="W18">
            <v>1132</v>
          </cell>
          <cell r="X18">
            <v>31703.75</v>
          </cell>
          <cell r="Z18">
            <v>0</v>
          </cell>
          <cell r="AA18">
            <v>0</v>
          </cell>
        </row>
        <row r="19">
          <cell r="E19">
            <v>55272</v>
          </cell>
          <cell r="F19">
            <v>939407.70000000007</v>
          </cell>
          <cell r="H19">
            <v>31314</v>
          </cell>
          <cell r="I19">
            <v>410478.05000000005</v>
          </cell>
          <cell r="K19">
            <v>10827</v>
          </cell>
          <cell r="L19">
            <v>233327.3</v>
          </cell>
          <cell r="N19">
            <v>9613</v>
          </cell>
          <cell r="O19">
            <v>201929.35</v>
          </cell>
          <cell r="Q19">
            <v>416</v>
          </cell>
          <cell r="R19">
            <v>10159.25</v>
          </cell>
          <cell r="T19">
            <v>2322</v>
          </cell>
          <cell r="U19">
            <v>62147.25</v>
          </cell>
          <cell r="W19">
            <v>780</v>
          </cell>
          <cell r="X19">
            <v>21366.5</v>
          </cell>
          <cell r="Z19">
            <v>0</v>
          </cell>
          <cell r="AA19">
            <v>0</v>
          </cell>
        </row>
        <row r="20">
          <cell r="E20">
            <v>278135</v>
          </cell>
          <cell r="F20">
            <v>5061745.3</v>
          </cell>
          <cell r="H20">
            <v>144691</v>
          </cell>
          <cell r="I20">
            <v>1962218.19</v>
          </cell>
          <cell r="K20">
            <v>39483</v>
          </cell>
          <cell r="L20">
            <v>865849.7</v>
          </cell>
          <cell r="N20">
            <v>44287</v>
          </cell>
          <cell r="O20">
            <v>906470.90999999992</v>
          </cell>
          <cell r="Q20">
            <v>1728</v>
          </cell>
          <cell r="R20">
            <v>47215.75</v>
          </cell>
          <cell r="T20">
            <v>44661</v>
          </cell>
          <cell r="U20">
            <v>1194137.5</v>
          </cell>
          <cell r="W20">
            <v>3285</v>
          </cell>
          <cell r="X20">
            <v>85853.25</v>
          </cell>
          <cell r="Z20">
            <v>0</v>
          </cell>
          <cell r="AA20">
            <v>0</v>
          </cell>
        </row>
        <row r="21">
          <cell r="E21">
            <v>75181</v>
          </cell>
          <cell r="F21">
            <v>1387337.85</v>
          </cell>
          <cell r="H21">
            <v>35966</v>
          </cell>
          <cell r="I21">
            <v>488055.05</v>
          </cell>
          <cell r="K21">
            <v>14251</v>
          </cell>
          <cell r="L21">
            <v>307036.45</v>
          </cell>
          <cell r="N21">
            <v>16582</v>
          </cell>
          <cell r="O21">
            <v>366748.35000000003</v>
          </cell>
          <cell r="Q21">
            <v>479</v>
          </cell>
          <cell r="R21">
            <v>12813</v>
          </cell>
          <cell r="T21">
            <v>6899</v>
          </cell>
          <cell r="U21">
            <v>185359.5</v>
          </cell>
          <cell r="W21">
            <v>1004</v>
          </cell>
          <cell r="X21">
            <v>27325.5</v>
          </cell>
          <cell r="Z21">
            <v>0</v>
          </cell>
          <cell r="AA21">
            <v>0</v>
          </cell>
        </row>
        <row r="22">
          <cell r="E22">
            <v>373025</v>
          </cell>
          <cell r="F22">
            <v>6572371.2399999993</v>
          </cell>
          <cell r="H22">
            <v>213800</v>
          </cell>
          <cell r="I22">
            <v>2833019.8400000003</v>
          </cell>
          <cell r="K22">
            <v>65971</v>
          </cell>
          <cell r="L22">
            <v>1494428.5</v>
          </cell>
          <cell r="N22">
            <v>44287</v>
          </cell>
          <cell r="O22">
            <v>907481.59999999998</v>
          </cell>
          <cell r="Q22">
            <v>1719</v>
          </cell>
          <cell r="R22">
            <v>47046</v>
          </cell>
          <cell r="T22">
            <v>38262</v>
          </cell>
          <cell r="U22">
            <v>1034310.55</v>
          </cell>
          <cell r="W22">
            <v>8986</v>
          </cell>
          <cell r="X22">
            <v>256084.75</v>
          </cell>
          <cell r="Z22">
            <v>0</v>
          </cell>
          <cell r="AA22">
            <v>0</v>
          </cell>
        </row>
        <row r="23">
          <cell r="E23">
            <v>75249</v>
          </cell>
          <cell r="F23">
            <v>1302376.1300000001</v>
          </cell>
          <cell r="H23">
            <v>40290</v>
          </cell>
          <cell r="I23">
            <v>498378.69999999995</v>
          </cell>
          <cell r="K23">
            <v>8692</v>
          </cell>
          <cell r="L23">
            <v>198058.80000000002</v>
          </cell>
          <cell r="N23">
            <v>15770</v>
          </cell>
          <cell r="O23">
            <v>326655.08</v>
          </cell>
          <cell r="Q23">
            <v>659</v>
          </cell>
          <cell r="R23">
            <v>16329</v>
          </cell>
          <cell r="T23">
            <v>8792</v>
          </cell>
          <cell r="U23">
            <v>234647.8</v>
          </cell>
          <cell r="W23">
            <v>1046</v>
          </cell>
          <cell r="X23">
            <v>28306.75</v>
          </cell>
          <cell r="Z23">
            <v>0</v>
          </cell>
          <cell r="AA23">
            <v>0</v>
          </cell>
        </row>
        <row r="24">
          <cell r="E24">
            <v>575781</v>
          </cell>
          <cell r="F24">
            <v>10872843.17</v>
          </cell>
          <cell r="H24">
            <v>295006</v>
          </cell>
          <cell r="I24">
            <v>4194727.05</v>
          </cell>
          <cell r="K24">
            <v>77459</v>
          </cell>
          <cell r="L24">
            <v>1722327.35</v>
          </cell>
          <cell r="N24">
            <v>97881</v>
          </cell>
          <cell r="O24">
            <v>2034278.8699999999</v>
          </cell>
          <cell r="Q24">
            <v>1533</v>
          </cell>
          <cell r="R24">
            <v>40839.75</v>
          </cell>
          <cell r="T24">
            <v>99796</v>
          </cell>
          <cell r="U24">
            <v>2763898.4</v>
          </cell>
          <cell r="W24">
            <v>4106</v>
          </cell>
          <cell r="X24">
            <v>116771.75</v>
          </cell>
          <cell r="Z24">
            <v>0</v>
          </cell>
          <cell r="AA24">
            <v>0</v>
          </cell>
        </row>
        <row r="25">
          <cell r="E25">
            <v>90919</v>
          </cell>
          <cell r="F25">
            <v>1440703.1600000001</v>
          </cell>
          <cell r="H25">
            <v>64086</v>
          </cell>
          <cell r="I25">
            <v>834497.91</v>
          </cell>
          <cell r="K25">
            <v>4724</v>
          </cell>
          <cell r="L25">
            <v>100866.1</v>
          </cell>
          <cell r="N25">
            <v>14517</v>
          </cell>
          <cell r="O25">
            <v>300976.65000000002</v>
          </cell>
          <cell r="Q25">
            <v>307</v>
          </cell>
          <cell r="R25">
            <v>8312.5</v>
          </cell>
          <cell r="T25">
            <v>6132</v>
          </cell>
          <cell r="U25">
            <v>162373</v>
          </cell>
          <cell r="W25">
            <v>1153</v>
          </cell>
          <cell r="X25">
            <v>33677</v>
          </cell>
          <cell r="Z25">
            <v>0</v>
          </cell>
          <cell r="AA25">
            <v>0</v>
          </cell>
        </row>
        <row r="26">
          <cell r="E26">
            <v>39303</v>
          </cell>
          <cell r="F26">
            <v>710825.62</v>
          </cell>
          <cell r="H26">
            <v>18029</v>
          </cell>
          <cell r="I26">
            <v>244214.56999999998</v>
          </cell>
          <cell r="K26">
            <v>9367</v>
          </cell>
          <cell r="L26">
            <v>202288.65000000002</v>
          </cell>
          <cell r="N26">
            <v>8145</v>
          </cell>
          <cell r="O26">
            <v>163819.15</v>
          </cell>
          <cell r="Q26">
            <v>390</v>
          </cell>
          <cell r="R26">
            <v>9674.25</v>
          </cell>
          <cell r="T26">
            <v>3366</v>
          </cell>
          <cell r="U26">
            <v>90529</v>
          </cell>
          <cell r="W26">
            <v>6</v>
          </cell>
          <cell r="X26">
            <v>300</v>
          </cell>
          <cell r="Z26">
            <v>0</v>
          </cell>
          <cell r="AA26">
            <v>0</v>
          </cell>
        </row>
        <row r="27">
          <cell r="E27">
            <v>58688</v>
          </cell>
          <cell r="F27">
            <v>1020058.9099999999</v>
          </cell>
          <cell r="H27">
            <v>34458</v>
          </cell>
          <cell r="I27">
            <v>463990.86</v>
          </cell>
          <cell r="K27">
            <v>5098</v>
          </cell>
          <cell r="L27">
            <v>109873.79999999999</v>
          </cell>
          <cell r="N27">
            <v>8672</v>
          </cell>
          <cell r="O27">
            <v>168436.4</v>
          </cell>
          <cell r="Q27">
            <v>323</v>
          </cell>
          <cell r="R27">
            <v>8336.75</v>
          </cell>
          <cell r="T27">
            <v>9915</v>
          </cell>
          <cell r="U27">
            <v>263506.09999999998</v>
          </cell>
          <cell r="W27">
            <v>222</v>
          </cell>
          <cell r="X27">
            <v>5915</v>
          </cell>
          <cell r="Z27">
            <v>0</v>
          </cell>
          <cell r="AA27">
            <v>0</v>
          </cell>
        </row>
        <row r="28">
          <cell r="E28">
            <v>311998</v>
          </cell>
          <cell r="F28">
            <v>5632074.1100000003</v>
          </cell>
          <cell r="H28">
            <v>171534</v>
          </cell>
          <cell r="I28">
            <v>2399738.9600000004</v>
          </cell>
          <cell r="K28">
            <v>34980</v>
          </cell>
          <cell r="L28">
            <v>756614.60000000009</v>
          </cell>
          <cell r="N28">
            <v>60213</v>
          </cell>
          <cell r="O28">
            <v>1250509.0999999999</v>
          </cell>
          <cell r="Q28">
            <v>1243</v>
          </cell>
          <cell r="R28">
            <v>31032</v>
          </cell>
          <cell r="T28">
            <v>42227</v>
          </cell>
          <cell r="U28">
            <v>1143634.2</v>
          </cell>
          <cell r="W28">
            <v>1801</v>
          </cell>
          <cell r="X28">
            <v>50545.25</v>
          </cell>
          <cell r="Z28">
            <v>0</v>
          </cell>
          <cell r="AA28">
            <v>0</v>
          </cell>
        </row>
        <row r="29">
          <cell r="E29">
            <v>45471</v>
          </cell>
          <cell r="F29">
            <v>764333.5</v>
          </cell>
          <cell r="H29">
            <v>25749</v>
          </cell>
          <cell r="I29">
            <v>333594.45</v>
          </cell>
          <cell r="K29">
            <v>4242</v>
          </cell>
          <cell r="L29">
            <v>89157.150000000009</v>
          </cell>
          <cell r="N29">
            <v>10827</v>
          </cell>
          <cell r="O29">
            <v>216027.4</v>
          </cell>
          <cell r="Q29">
            <v>259</v>
          </cell>
          <cell r="R29">
            <v>6831</v>
          </cell>
          <cell r="T29">
            <v>3659</v>
          </cell>
          <cell r="U29">
            <v>97770.5</v>
          </cell>
          <cell r="W29">
            <v>735</v>
          </cell>
          <cell r="X29">
            <v>20953</v>
          </cell>
          <cell r="Z29">
            <v>0</v>
          </cell>
          <cell r="AA29">
            <v>0</v>
          </cell>
        </row>
      </sheetData>
      <sheetData sheetId="3">
        <row r="3">
          <cell r="E3">
            <v>2654008</v>
          </cell>
          <cell r="F3">
            <v>53991323.690000005</v>
          </cell>
          <cell r="H3">
            <v>1224651</v>
          </cell>
          <cell r="I3">
            <v>17721166.650000002</v>
          </cell>
          <cell r="K3">
            <v>116147</v>
          </cell>
          <cell r="L3">
            <v>2594539.04</v>
          </cell>
          <cell r="N3">
            <v>541675</v>
          </cell>
          <cell r="O3">
            <v>12016932.000000002</v>
          </cell>
          <cell r="Q3">
            <v>20683</v>
          </cell>
          <cell r="R3">
            <v>596191</v>
          </cell>
          <cell r="T3">
            <v>721498</v>
          </cell>
          <cell r="U3">
            <v>20339618.600000001</v>
          </cell>
          <cell r="W3">
            <v>13562</v>
          </cell>
          <cell r="X3">
            <v>374376.4</v>
          </cell>
          <cell r="Z3">
            <v>15792</v>
          </cell>
          <cell r="AA3">
            <v>348500</v>
          </cell>
        </row>
        <row r="4">
          <cell r="E4">
            <v>49068</v>
          </cell>
          <cell r="F4">
            <v>807116.19</v>
          </cell>
          <cell r="H4">
            <v>32254</v>
          </cell>
          <cell r="I4">
            <v>438852.49</v>
          </cell>
          <cell r="K4">
            <v>4496</v>
          </cell>
          <cell r="L4">
            <v>94868.200000000012</v>
          </cell>
          <cell r="N4">
            <v>7683</v>
          </cell>
          <cell r="O4">
            <v>158785</v>
          </cell>
          <cell r="Q4">
            <v>205</v>
          </cell>
          <cell r="R4">
            <v>4782</v>
          </cell>
          <cell r="T4">
            <v>4083</v>
          </cell>
          <cell r="U4">
            <v>100617.75</v>
          </cell>
          <cell r="W4">
            <v>347</v>
          </cell>
          <cell r="X4">
            <v>9210.75</v>
          </cell>
          <cell r="Z4">
            <v>0</v>
          </cell>
          <cell r="AA4">
            <v>0</v>
          </cell>
        </row>
        <row r="5">
          <cell r="E5">
            <v>220356</v>
          </cell>
          <cell r="F5">
            <v>3558681.55</v>
          </cell>
          <cell r="H5">
            <v>162236</v>
          </cell>
          <cell r="I5">
            <v>2179761.4</v>
          </cell>
          <cell r="K5">
            <v>3463</v>
          </cell>
          <cell r="L5">
            <v>74141.2</v>
          </cell>
          <cell r="N5">
            <v>31890</v>
          </cell>
          <cell r="O5">
            <v>658527.25</v>
          </cell>
          <cell r="Q5">
            <v>444</v>
          </cell>
          <cell r="R5">
            <v>11457</v>
          </cell>
          <cell r="T5">
            <v>19194</v>
          </cell>
          <cell r="U5">
            <v>546771.69999999995</v>
          </cell>
          <cell r="W5">
            <v>3129</v>
          </cell>
          <cell r="X5">
            <v>88023</v>
          </cell>
          <cell r="Z5">
            <v>0</v>
          </cell>
          <cell r="AA5">
            <v>0</v>
          </cell>
        </row>
        <row r="6">
          <cell r="E6">
            <v>408838</v>
          </cell>
          <cell r="F6">
            <v>7337629.6499999994</v>
          </cell>
          <cell r="H6">
            <v>238600</v>
          </cell>
          <cell r="I6">
            <v>3152545.6499999994</v>
          </cell>
          <cell r="K6">
            <v>74241</v>
          </cell>
          <cell r="L6">
            <v>1726771.7</v>
          </cell>
          <cell r="N6">
            <v>38413</v>
          </cell>
          <cell r="O6">
            <v>825777.05</v>
          </cell>
          <cell r="Q6">
            <v>9668</v>
          </cell>
          <cell r="R6">
            <v>280937.5</v>
          </cell>
          <cell r="T6">
            <v>46483</v>
          </cell>
          <cell r="U6">
            <v>1316188.25</v>
          </cell>
          <cell r="W6">
            <v>1009</v>
          </cell>
          <cell r="X6">
            <v>29049.5</v>
          </cell>
          <cell r="Z6">
            <v>424</v>
          </cell>
          <cell r="AA6">
            <v>6360</v>
          </cell>
        </row>
        <row r="7">
          <cell r="E7">
            <v>104166</v>
          </cell>
          <cell r="F7">
            <v>1985755.87</v>
          </cell>
          <cell r="H7">
            <v>38304</v>
          </cell>
          <cell r="I7">
            <v>518433.77</v>
          </cell>
          <cell r="K7">
            <v>27967</v>
          </cell>
          <cell r="L7">
            <v>606997.1</v>
          </cell>
          <cell r="N7">
            <v>29839</v>
          </cell>
          <cell r="O7">
            <v>640562.5</v>
          </cell>
          <cell r="Q7">
            <v>642</v>
          </cell>
          <cell r="R7">
            <v>16505.75</v>
          </cell>
          <cell r="T7">
            <v>7291</v>
          </cell>
          <cell r="U7">
            <v>199784.75</v>
          </cell>
          <cell r="W7">
            <v>123</v>
          </cell>
          <cell r="X7">
            <v>3472</v>
          </cell>
          <cell r="Z7">
            <v>0</v>
          </cell>
          <cell r="AA7">
            <v>0</v>
          </cell>
        </row>
        <row r="8">
          <cell r="E8">
            <v>102891</v>
          </cell>
          <cell r="F8">
            <v>1958194.53</v>
          </cell>
          <cell r="H8">
            <v>41436</v>
          </cell>
          <cell r="I8">
            <v>560132.48</v>
          </cell>
          <cell r="K8">
            <v>20372</v>
          </cell>
          <cell r="L8">
            <v>443482.5</v>
          </cell>
          <cell r="N8">
            <v>28977</v>
          </cell>
          <cell r="O8">
            <v>630091</v>
          </cell>
          <cell r="Q8">
            <v>855</v>
          </cell>
          <cell r="R8">
            <v>22369</v>
          </cell>
          <cell r="T8">
            <v>8724</v>
          </cell>
          <cell r="U8">
            <v>231035</v>
          </cell>
          <cell r="W8">
            <v>2527</v>
          </cell>
          <cell r="X8">
            <v>71084.55</v>
          </cell>
          <cell r="Z8">
            <v>0</v>
          </cell>
          <cell r="AA8">
            <v>0</v>
          </cell>
        </row>
        <row r="9">
          <cell r="E9">
            <v>67354</v>
          </cell>
          <cell r="F9">
            <v>1148975.27</v>
          </cell>
          <cell r="H9">
            <v>42887</v>
          </cell>
          <cell r="I9">
            <v>598304.31999999995</v>
          </cell>
          <cell r="K9">
            <v>2594</v>
          </cell>
          <cell r="L9">
            <v>55019.8</v>
          </cell>
          <cell r="N9">
            <v>15333</v>
          </cell>
          <cell r="O9">
            <v>325126.90000000002</v>
          </cell>
          <cell r="Q9">
            <v>174</v>
          </cell>
          <cell r="R9">
            <v>4422</v>
          </cell>
          <cell r="T9">
            <v>6303</v>
          </cell>
          <cell r="U9">
            <v>164575.25</v>
          </cell>
          <cell r="W9">
            <v>63</v>
          </cell>
          <cell r="X9">
            <v>1527</v>
          </cell>
          <cell r="Z9">
            <v>0</v>
          </cell>
          <cell r="AA9">
            <v>0</v>
          </cell>
        </row>
        <row r="10">
          <cell r="E10">
            <v>132169</v>
          </cell>
          <cell r="F10">
            <v>2462047.69</v>
          </cell>
          <cell r="H10">
            <v>64171</v>
          </cell>
          <cell r="I10">
            <v>918689.84000000008</v>
          </cell>
          <cell r="K10">
            <v>23097</v>
          </cell>
          <cell r="L10">
            <v>490811.39999999997</v>
          </cell>
          <cell r="N10">
            <v>22053</v>
          </cell>
          <cell r="O10">
            <v>453201.2</v>
          </cell>
          <cell r="Q10">
            <v>383</v>
          </cell>
          <cell r="R10">
            <v>9463.75</v>
          </cell>
          <cell r="T10">
            <v>20437</v>
          </cell>
          <cell r="U10">
            <v>533399</v>
          </cell>
          <cell r="W10">
            <v>2028</v>
          </cell>
          <cell r="X10">
            <v>56482.5</v>
          </cell>
          <cell r="Z10">
            <v>0</v>
          </cell>
          <cell r="AA10">
            <v>0</v>
          </cell>
        </row>
        <row r="11">
          <cell r="E11">
            <v>85644</v>
          </cell>
          <cell r="F11">
            <v>1452713.4800000002</v>
          </cell>
          <cell r="H11">
            <v>52504</v>
          </cell>
          <cell r="I11">
            <v>708308.9800000001</v>
          </cell>
          <cell r="K11">
            <v>8124</v>
          </cell>
          <cell r="L11">
            <v>171916.45</v>
          </cell>
          <cell r="N11">
            <v>13728</v>
          </cell>
          <cell r="O11">
            <v>272474.05</v>
          </cell>
          <cell r="Q11">
            <v>121</v>
          </cell>
          <cell r="R11">
            <v>2945</v>
          </cell>
          <cell r="T11">
            <v>7946</v>
          </cell>
          <cell r="U11">
            <v>207026.5</v>
          </cell>
          <cell r="W11">
            <v>3221</v>
          </cell>
          <cell r="X11">
            <v>90042.5</v>
          </cell>
          <cell r="Z11">
            <v>0</v>
          </cell>
          <cell r="AA11">
            <v>0</v>
          </cell>
        </row>
        <row r="12">
          <cell r="E12">
            <v>266755</v>
          </cell>
          <cell r="F12">
            <v>4696417.6899999995</v>
          </cell>
          <cell r="H12">
            <v>161729</v>
          </cell>
          <cell r="I12">
            <v>2210331.09</v>
          </cell>
          <cell r="K12">
            <v>23397</v>
          </cell>
          <cell r="L12">
            <v>503408.19999999995</v>
          </cell>
          <cell r="N12">
            <v>47275</v>
          </cell>
          <cell r="O12">
            <v>1019549.65</v>
          </cell>
          <cell r="Q12">
            <v>2160</v>
          </cell>
          <cell r="R12">
            <v>59608.5</v>
          </cell>
          <cell r="T12">
            <v>30135</v>
          </cell>
          <cell r="U12">
            <v>846405.75</v>
          </cell>
          <cell r="W12">
            <v>2059</v>
          </cell>
          <cell r="X12">
            <v>57114.5</v>
          </cell>
          <cell r="Z12">
            <v>0</v>
          </cell>
          <cell r="AA12">
            <v>0</v>
          </cell>
        </row>
        <row r="13">
          <cell r="E13">
            <v>15425</v>
          </cell>
          <cell r="F13">
            <v>279903.7</v>
          </cell>
          <cell r="H13">
            <v>7873</v>
          </cell>
          <cell r="I13">
            <v>100183.45</v>
          </cell>
          <cell r="K13">
            <v>1591</v>
          </cell>
          <cell r="L13">
            <v>33756.5</v>
          </cell>
          <cell r="N13">
            <v>2962</v>
          </cell>
          <cell r="O13">
            <v>62354.75</v>
          </cell>
          <cell r="Q13">
            <v>73</v>
          </cell>
          <cell r="R13">
            <v>1836</v>
          </cell>
          <cell r="T13">
            <v>1430</v>
          </cell>
          <cell r="U13">
            <v>38128</v>
          </cell>
          <cell r="W13">
            <v>1496</v>
          </cell>
          <cell r="X13">
            <v>43645</v>
          </cell>
          <cell r="Z13">
            <v>0</v>
          </cell>
          <cell r="AA13">
            <v>0</v>
          </cell>
        </row>
        <row r="14">
          <cell r="E14">
            <v>679253</v>
          </cell>
          <cell r="F14">
            <v>11897427.039999999</v>
          </cell>
          <cell r="H14">
            <v>400443</v>
          </cell>
          <cell r="I14">
            <v>5346187.2899999991</v>
          </cell>
          <cell r="K14">
            <v>71521</v>
          </cell>
          <cell r="L14">
            <v>1617504.75</v>
          </cell>
          <cell r="N14">
            <v>106198</v>
          </cell>
          <cell r="O14">
            <v>2186452.5000000005</v>
          </cell>
          <cell r="Q14">
            <v>2611</v>
          </cell>
          <cell r="R14">
            <v>71180.5</v>
          </cell>
          <cell r="T14">
            <v>92609</v>
          </cell>
          <cell r="U14">
            <v>2510462</v>
          </cell>
          <cell r="W14">
            <v>5871</v>
          </cell>
          <cell r="X14">
            <v>165640</v>
          </cell>
          <cell r="Z14">
            <v>0</v>
          </cell>
          <cell r="AA14">
            <v>0</v>
          </cell>
        </row>
        <row r="15">
          <cell r="E15">
            <v>85937</v>
          </cell>
          <cell r="F15">
            <v>1373035.6500000001</v>
          </cell>
          <cell r="H15">
            <v>60856</v>
          </cell>
          <cell r="I15">
            <v>819272.10000000009</v>
          </cell>
          <cell r="K15">
            <v>9685</v>
          </cell>
          <cell r="L15">
            <v>207524.6</v>
          </cell>
          <cell r="N15">
            <v>10216</v>
          </cell>
          <cell r="O15">
            <v>208935.7</v>
          </cell>
          <cell r="Q15">
            <v>213</v>
          </cell>
          <cell r="R15">
            <v>5445.5</v>
          </cell>
          <cell r="T15">
            <v>3983</v>
          </cell>
          <cell r="U15">
            <v>107275.25</v>
          </cell>
          <cell r="W15">
            <v>984</v>
          </cell>
          <cell r="X15">
            <v>24582.5</v>
          </cell>
          <cell r="Z15">
            <v>0</v>
          </cell>
          <cell r="AA15">
            <v>0</v>
          </cell>
        </row>
        <row r="16">
          <cell r="E16">
            <v>106876</v>
          </cell>
          <cell r="F16">
            <v>1738830.6</v>
          </cell>
          <cell r="H16">
            <v>69226</v>
          </cell>
          <cell r="I16">
            <v>878033.4</v>
          </cell>
          <cell r="K16">
            <v>10789</v>
          </cell>
          <cell r="L16">
            <v>230933.4</v>
          </cell>
          <cell r="N16">
            <v>14785</v>
          </cell>
          <cell r="O16">
            <v>297217.55</v>
          </cell>
          <cell r="Q16">
            <v>362</v>
          </cell>
          <cell r="R16">
            <v>9560.25</v>
          </cell>
          <cell r="T16">
            <v>9257</v>
          </cell>
          <cell r="U16">
            <v>254231.5</v>
          </cell>
          <cell r="W16">
            <v>2457</v>
          </cell>
          <cell r="X16">
            <v>68854.5</v>
          </cell>
          <cell r="Z16">
            <v>0</v>
          </cell>
          <cell r="AA16">
            <v>0</v>
          </cell>
        </row>
        <row r="17">
          <cell r="E17">
            <v>209798</v>
          </cell>
          <cell r="F17">
            <v>3741781.35</v>
          </cell>
          <cell r="H17">
            <v>117874</v>
          </cell>
          <cell r="I17">
            <v>1641512.0000000002</v>
          </cell>
          <cell r="K17">
            <v>22225</v>
          </cell>
          <cell r="L17">
            <v>477388.10000000003</v>
          </cell>
          <cell r="N17">
            <v>37629</v>
          </cell>
          <cell r="O17">
            <v>764910.25</v>
          </cell>
          <cell r="Q17">
            <v>674</v>
          </cell>
          <cell r="R17">
            <v>17022.5</v>
          </cell>
          <cell r="T17">
            <v>30470</v>
          </cell>
          <cell r="U17">
            <v>817799.25</v>
          </cell>
          <cell r="W17">
            <v>926</v>
          </cell>
          <cell r="X17">
            <v>23149.25</v>
          </cell>
          <cell r="Z17">
            <v>0</v>
          </cell>
          <cell r="AA17">
            <v>0</v>
          </cell>
        </row>
        <row r="18">
          <cell r="E18">
            <v>87911</v>
          </cell>
          <cell r="F18">
            <v>1451330.5600000001</v>
          </cell>
          <cell r="H18">
            <v>60205</v>
          </cell>
          <cell r="I18">
            <v>788687.80999999994</v>
          </cell>
          <cell r="K18">
            <v>8711</v>
          </cell>
          <cell r="L18">
            <v>200727.25</v>
          </cell>
          <cell r="N18">
            <v>10770</v>
          </cell>
          <cell r="O18">
            <v>229101.25</v>
          </cell>
          <cell r="Q18">
            <v>2612</v>
          </cell>
          <cell r="R18">
            <v>74140.75</v>
          </cell>
          <cell r="T18">
            <v>4359</v>
          </cell>
          <cell r="U18">
            <v>124719</v>
          </cell>
          <cell r="W18">
            <v>1254</v>
          </cell>
          <cell r="X18">
            <v>33954.5</v>
          </cell>
          <cell r="Z18">
            <v>0</v>
          </cell>
          <cell r="AA18">
            <v>0</v>
          </cell>
        </row>
        <row r="19">
          <cell r="E19">
            <v>55843</v>
          </cell>
          <cell r="F19">
            <v>935963.75</v>
          </cell>
          <cell r="H19">
            <v>33455</v>
          </cell>
          <cell r="I19">
            <v>442557.5</v>
          </cell>
          <cell r="K19">
            <v>8171</v>
          </cell>
          <cell r="L19">
            <v>175280.6</v>
          </cell>
          <cell r="N19">
            <v>9599</v>
          </cell>
          <cell r="O19">
            <v>198273</v>
          </cell>
          <cell r="Q19">
            <v>1019</v>
          </cell>
          <cell r="R19">
            <v>23254.65</v>
          </cell>
          <cell r="T19">
            <v>2659</v>
          </cell>
          <cell r="U19">
            <v>70603.75</v>
          </cell>
          <cell r="W19">
            <v>940</v>
          </cell>
          <cell r="X19">
            <v>25994.25</v>
          </cell>
          <cell r="Z19">
            <v>0</v>
          </cell>
          <cell r="AA19">
            <v>0</v>
          </cell>
        </row>
        <row r="20">
          <cell r="E20">
            <v>276014</v>
          </cell>
          <cell r="F20">
            <v>4993807.5999999996</v>
          </cell>
          <cell r="H20">
            <v>145601</v>
          </cell>
          <cell r="I20">
            <v>1970666.15</v>
          </cell>
          <cell r="K20">
            <v>37738</v>
          </cell>
          <cell r="L20">
            <v>828738.3</v>
          </cell>
          <cell r="N20">
            <v>44746</v>
          </cell>
          <cell r="O20">
            <v>915578.79999999993</v>
          </cell>
          <cell r="Q20">
            <v>1192</v>
          </cell>
          <cell r="R20">
            <v>31068</v>
          </cell>
          <cell r="T20">
            <v>43749</v>
          </cell>
          <cell r="U20">
            <v>1169629.1000000001</v>
          </cell>
          <cell r="W20">
            <v>2988</v>
          </cell>
          <cell r="X20">
            <v>78127.25</v>
          </cell>
          <cell r="Z20">
            <v>0</v>
          </cell>
          <cell r="AA20">
            <v>0</v>
          </cell>
        </row>
        <row r="21">
          <cell r="E21">
            <v>75714</v>
          </cell>
          <cell r="F21">
            <v>1376034.26</v>
          </cell>
          <cell r="H21">
            <v>38052</v>
          </cell>
          <cell r="I21">
            <v>519227.04</v>
          </cell>
          <cell r="K21">
            <v>11801</v>
          </cell>
          <cell r="L21">
            <v>254232.5</v>
          </cell>
          <cell r="N21">
            <v>17637</v>
          </cell>
          <cell r="O21">
            <v>384547.22</v>
          </cell>
          <cell r="Q21">
            <v>412</v>
          </cell>
          <cell r="R21">
            <v>10818.5</v>
          </cell>
          <cell r="T21">
            <v>6858</v>
          </cell>
          <cell r="U21">
            <v>181542</v>
          </cell>
          <cell r="W21">
            <v>954</v>
          </cell>
          <cell r="X21">
            <v>25667</v>
          </cell>
          <cell r="Z21">
            <v>0</v>
          </cell>
          <cell r="AA21">
            <v>0</v>
          </cell>
        </row>
        <row r="22">
          <cell r="E22">
            <v>376149</v>
          </cell>
          <cell r="F22">
            <v>6612406.6500000004</v>
          </cell>
          <cell r="H22">
            <v>218028</v>
          </cell>
          <cell r="I22">
            <v>2897859.2400000007</v>
          </cell>
          <cell r="K22">
            <v>62847</v>
          </cell>
          <cell r="L22">
            <v>1424397.15</v>
          </cell>
          <cell r="N22">
            <v>44630</v>
          </cell>
          <cell r="O22">
            <v>903823.85</v>
          </cell>
          <cell r="Q22">
            <v>1863</v>
          </cell>
          <cell r="R22">
            <v>51544.25</v>
          </cell>
          <cell r="T22">
            <v>39519</v>
          </cell>
          <cell r="U22">
            <v>1070600.6600000001</v>
          </cell>
          <cell r="W22">
            <v>9262</v>
          </cell>
          <cell r="X22">
            <v>264181.5</v>
          </cell>
          <cell r="Z22">
            <v>0</v>
          </cell>
          <cell r="AA22">
            <v>0</v>
          </cell>
        </row>
        <row r="23">
          <cell r="E23">
            <v>86058</v>
          </cell>
          <cell r="F23">
            <v>1496178.96</v>
          </cell>
          <cell r="H23">
            <v>46864</v>
          </cell>
          <cell r="I23">
            <v>595900.09000000008</v>
          </cell>
          <cell r="K23">
            <v>9503</v>
          </cell>
          <cell r="L23">
            <v>220543.79999999996</v>
          </cell>
          <cell r="N23">
            <v>17834</v>
          </cell>
          <cell r="O23">
            <v>363364.32</v>
          </cell>
          <cell r="Q23">
            <v>659</v>
          </cell>
          <cell r="R23">
            <v>16893.75</v>
          </cell>
          <cell r="T23">
            <v>10023</v>
          </cell>
          <cell r="U23">
            <v>267406.75</v>
          </cell>
          <cell r="W23">
            <v>1175</v>
          </cell>
          <cell r="X23">
            <v>32070.25</v>
          </cell>
          <cell r="Z23">
            <v>0</v>
          </cell>
          <cell r="AA23">
            <v>0</v>
          </cell>
        </row>
        <row r="24">
          <cell r="E24">
            <v>600675</v>
          </cell>
          <cell r="F24">
            <v>11394979.919999998</v>
          </cell>
          <cell r="H24">
            <v>310819</v>
          </cell>
          <cell r="I24">
            <v>4463134.1899999995</v>
          </cell>
          <cell r="K24">
            <v>76069</v>
          </cell>
          <cell r="L24">
            <v>1696770.0499999998</v>
          </cell>
          <cell r="N24">
            <v>101610</v>
          </cell>
          <cell r="O24">
            <v>2121527.63</v>
          </cell>
          <cell r="Q24">
            <v>1794</v>
          </cell>
          <cell r="R24">
            <v>48736.5</v>
          </cell>
          <cell r="T24">
            <v>106103</v>
          </cell>
          <cell r="U24">
            <v>2943956.8</v>
          </cell>
          <cell r="W24">
            <v>4280</v>
          </cell>
          <cell r="X24">
            <v>120854.75</v>
          </cell>
          <cell r="Z24">
            <v>0</v>
          </cell>
          <cell r="AA24">
            <v>0</v>
          </cell>
        </row>
        <row r="25">
          <cell r="E25">
            <v>95239</v>
          </cell>
          <cell r="F25">
            <v>1522165.72</v>
          </cell>
          <cell r="H25">
            <v>67428</v>
          </cell>
          <cell r="I25">
            <v>887346.37</v>
          </cell>
          <cell r="K25">
            <v>4436</v>
          </cell>
          <cell r="L25">
            <v>94886.049999999988</v>
          </cell>
          <cell r="N25">
            <v>14707</v>
          </cell>
          <cell r="O25">
            <v>305501.2</v>
          </cell>
          <cell r="Q25">
            <v>340</v>
          </cell>
          <cell r="R25">
            <v>9077</v>
          </cell>
          <cell r="T25">
            <v>6573</v>
          </cell>
          <cell r="U25">
            <v>174550.5</v>
          </cell>
          <cell r="W25">
            <v>1755</v>
          </cell>
          <cell r="X25">
            <v>50804.6</v>
          </cell>
          <cell r="Z25">
            <v>0</v>
          </cell>
          <cell r="AA25">
            <v>0</v>
          </cell>
        </row>
        <row r="26">
          <cell r="E26">
            <v>40939</v>
          </cell>
          <cell r="F26">
            <v>738929.05</v>
          </cell>
          <cell r="H26">
            <v>19260</v>
          </cell>
          <cell r="I26">
            <v>264469.14999999997</v>
          </cell>
          <cell r="K26">
            <v>8240</v>
          </cell>
          <cell r="L26">
            <v>177252.85</v>
          </cell>
          <cell r="N26">
            <v>9149</v>
          </cell>
          <cell r="O26">
            <v>184343.55</v>
          </cell>
          <cell r="Q26">
            <v>451</v>
          </cell>
          <cell r="R26">
            <v>11160.75</v>
          </cell>
          <cell r="T26">
            <v>3832</v>
          </cell>
          <cell r="U26">
            <v>101402.75</v>
          </cell>
          <cell r="W26">
            <v>7</v>
          </cell>
          <cell r="X26">
            <v>300</v>
          </cell>
          <cell r="Z26">
            <v>0</v>
          </cell>
          <cell r="AA26">
            <v>0</v>
          </cell>
        </row>
        <row r="27">
          <cell r="E27">
            <v>61984</v>
          </cell>
          <cell r="F27">
            <v>1079444.73</v>
          </cell>
          <cell r="H27">
            <v>37064</v>
          </cell>
          <cell r="I27">
            <v>504553.37999999995</v>
          </cell>
          <cell r="K27">
            <v>4648</v>
          </cell>
          <cell r="L27">
            <v>99315.3</v>
          </cell>
          <cell r="N27">
            <v>8934</v>
          </cell>
          <cell r="O27">
            <v>175667.30000000002</v>
          </cell>
          <cell r="Q27">
            <v>355</v>
          </cell>
          <cell r="R27">
            <v>8985.75</v>
          </cell>
          <cell r="T27">
            <v>10748</v>
          </cell>
          <cell r="U27">
            <v>284630</v>
          </cell>
          <cell r="W27">
            <v>235</v>
          </cell>
          <cell r="X27">
            <v>6293</v>
          </cell>
          <cell r="Z27">
            <v>0</v>
          </cell>
          <cell r="AA27">
            <v>0</v>
          </cell>
        </row>
        <row r="28">
          <cell r="E28">
            <v>318537</v>
          </cell>
          <cell r="F28">
            <v>5734293.6900000004</v>
          </cell>
          <cell r="H28">
            <v>178517</v>
          </cell>
          <cell r="I28">
            <v>2509842.5300000003</v>
          </cell>
          <cell r="K28">
            <v>30830</v>
          </cell>
          <cell r="L28">
            <v>666608.25</v>
          </cell>
          <cell r="N28">
            <v>62498</v>
          </cell>
          <cell r="O28">
            <v>1297618.8599999999</v>
          </cell>
          <cell r="Q28">
            <v>1322</v>
          </cell>
          <cell r="R28">
            <v>33091</v>
          </cell>
          <cell r="T28">
            <v>43402</v>
          </cell>
          <cell r="U28">
            <v>1172227.55</v>
          </cell>
          <cell r="W28">
            <v>1968</v>
          </cell>
          <cell r="X28">
            <v>54905.5</v>
          </cell>
          <cell r="Z28">
            <v>0</v>
          </cell>
          <cell r="AA28">
            <v>0</v>
          </cell>
        </row>
        <row r="29">
          <cell r="E29">
            <v>47188</v>
          </cell>
          <cell r="F29">
            <v>799698.3</v>
          </cell>
          <cell r="H29">
            <v>26764</v>
          </cell>
          <cell r="I29">
            <v>350014.80000000005</v>
          </cell>
          <cell r="K29">
            <v>4165</v>
          </cell>
          <cell r="L29">
            <v>87697.299999999988</v>
          </cell>
          <cell r="N29">
            <v>11096</v>
          </cell>
          <cell r="O29">
            <v>221478.39999999999</v>
          </cell>
          <cell r="Q29">
            <v>313</v>
          </cell>
          <cell r="R29">
            <v>8299</v>
          </cell>
          <cell r="T29">
            <v>4125</v>
          </cell>
          <cell r="U29">
            <v>111573.8</v>
          </cell>
          <cell r="W29">
            <v>725</v>
          </cell>
          <cell r="X29">
            <v>20635</v>
          </cell>
          <cell r="Z29">
            <v>0</v>
          </cell>
          <cell r="AA29">
            <v>0</v>
          </cell>
        </row>
      </sheetData>
      <sheetData sheetId="4">
        <row r="3">
          <cell r="E3">
            <v>2713001</v>
          </cell>
          <cell r="F3">
            <v>55219510.279999994</v>
          </cell>
          <cell r="H3">
            <v>1244575</v>
          </cell>
          <cell r="I3">
            <v>18059246.059999999</v>
          </cell>
          <cell r="K3">
            <v>135680</v>
          </cell>
          <cell r="L3">
            <v>3017579.1500000004</v>
          </cell>
          <cell r="N3">
            <v>550720</v>
          </cell>
          <cell r="O3">
            <v>12220771.199999999</v>
          </cell>
          <cell r="Q3">
            <v>22673</v>
          </cell>
          <cell r="R3">
            <v>652401</v>
          </cell>
          <cell r="T3">
            <v>730186</v>
          </cell>
          <cell r="U3">
            <v>20553105.219999999</v>
          </cell>
          <cell r="W3">
            <v>13324</v>
          </cell>
          <cell r="X3">
            <v>367907.65</v>
          </cell>
          <cell r="Z3">
            <v>15843</v>
          </cell>
          <cell r="AA3">
            <v>348500</v>
          </cell>
        </row>
        <row r="4">
          <cell r="E4">
            <v>47305</v>
          </cell>
          <cell r="F4">
            <v>775935.58000000007</v>
          </cell>
          <cell r="H4">
            <v>30568</v>
          </cell>
          <cell r="I4">
            <v>408071.03</v>
          </cell>
          <cell r="K4">
            <v>4849</v>
          </cell>
          <cell r="L4">
            <v>102639.6</v>
          </cell>
          <cell r="N4">
            <v>7481</v>
          </cell>
          <cell r="O4">
            <v>155053.95000000001</v>
          </cell>
          <cell r="Q4">
            <v>261</v>
          </cell>
          <cell r="R4">
            <v>6336</v>
          </cell>
          <cell r="T4">
            <v>3831</v>
          </cell>
          <cell r="U4">
            <v>95002.75</v>
          </cell>
          <cell r="W4">
            <v>315</v>
          </cell>
          <cell r="X4">
            <v>8832.25</v>
          </cell>
          <cell r="Z4">
            <v>0</v>
          </cell>
          <cell r="AA4">
            <v>0</v>
          </cell>
        </row>
        <row r="5">
          <cell r="E5">
            <v>222201</v>
          </cell>
          <cell r="F5">
            <v>3580953.5999999996</v>
          </cell>
          <cell r="H5">
            <v>163803</v>
          </cell>
          <cell r="I5">
            <v>2196142.9</v>
          </cell>
          <cell r="K5">
            <v>4071</v>
          </cell>
          <cell r="L5">
            <v>86847.05</v>
          </cell>
          <cell r="N5">
            <v>30644</v>
          </cell>
          <cell r="O5">
            <v>633588.15</v>
          </cell>
          <cell r="Q5">
            <v>359</v>
          </cell>
          <cell r="R5">
            <v>8901.5</v>
          </cell>
          <cell r="T5">
            <v>19953</v>
          </cell>
          <cell r="U5">
            <v>560028</v>
          </cell>
          <cell r="W5">
            <v>3371</v>
          </cell>
          <cell r="X5">
            <v>95446</v>
          </cell>
          <cell r="Z5">
            <v>0</v>
          </cell>
          <cell r="AA5">
            <v>0</v>
          </cell>
        </row>
        <row r="6">
          <cell r="E6">
            <v>413730</v>
          </cell>
          <cell r="F6">
            <v>7440845.6199999992</v>
          </cell>
          <cell r="H6">
            <v>238351</v>
          </cell>
          <cell r="I6">
            <v>3148390.43</v>
          </cell>
          <cell r="K6">
            <v>80048</v>
          </cell>
          <cell r="L6">
            <v>1848246.25</v>
          </cell>
          <cell r="N6">
            <v>37622</v>
          </cell>
          <cell r="O6">
            <v>806611.69</v>
          </cell>
          <cell r="Q6">
            <v>11688</v>
          </cell>
          <cell r="R6">
            <v>339122</v>
          </cell>
          <cell r="T6">
            <v>45052</v>
          </cell>
          <cell r="U6">
            <v>1270058.25</v>
          </cell>
          <cell r="W6">
            <v>969</v>
          </cell>
          <cell r="X6">
            <v>28417</v>
          </cell>
          <cell r="Z6">
            <v>0</v>
          </cell>
          <cell r="AA6">
            <v>0</v>
          </cell>
        </row>
        <row r="7">
          <cell r="E7">
            <v>109070</v>
          </cell>
          <cell r="F7">
            <v>2095286.31</v>
          </cell>
          <cell r="H7">
            <v>38896</v>
          </cell>
          <cell r="I7">
            <v>529865.86</v>
          </cell>
          <cell r="K7">
            <v>31211</v>
          </cell>
          <cell r="L7">
            <v>677392.05</v>
          </cell>
          <cell r="N7">
            <v>30740</v>
          </cell>
          <cell r="O7">
            <v>664728.4</v>
          </cell>
          <cell r="Q7">
            <v>805</v>
          </cell>
          <cell r="R7">
            <v>20497.25</v>
          </cell>
          <cell r="T7">
            <v>7079</v>
          </cell>
          <cell r="U7">
            <v>193067.25</v>
          </cell>
          <cell r="W7">
            <v>339</v>
          </cell>
          <cell r="X7">
            <v>9735.5</v>
          </cell>
          <cell r="Z7">
            <v>0</v>
          </cell>
          <cell r="AA7">
            <v>0</v>
          </cell>
        </row>
        <row r="8">
          <cell r="E8">
            <v>97140</v>
          </cell>
          <cell r="F8">
            <v>1847086.4500000002</v>
          </cell>
          <cell r="H8">
            <v>37987</v>
          </cell>
          <cell r="I8">
            <v>499936.25</v>
          </cell>
          <cell r="K8">
            <v>19298</v>
          </cell>
          <cell r="L8">
            <v>419775.65</v>
          </cell>
          <cell r="N8">
            <v>27690</v>
          </cell>
          <cell r="O8">
            <v>607470.80000000005</v>
          </cell>
          <cell r="Q8">
            <v>797</v>
          </cell>
          <cell r="R8">
            <v>20560.5</v>
          </cell>
          <cell r="T8">
            <v>9085</v>
          </cell>
          <cell r="U8">
            <v>234501</v>
          </cell>
          <cell r="W8">
            <v>2283</v>
          </cell>
          <cell r="X8">
            <v>64842.25</v>
          </cell>
          <cell r="Z8">
            <v>0</v>
          </cell>
          <cell r="AA8">
            <v>0</v>
          </cell>
        </row>
        <row r="9">
          <cell r="E9">
            <v>67099</v>
          </cell>
          <cell r="F9">
            <v>1138371.1099999999</v>
          </cell>
          <cell r="H9">
            <v>42567</v>
          </cell>
          <cell r="I9">
            <v>592825.1</v>
          </cell>
          <cell r="K9">
            <v>3717</v>
          </cell>
          <cell r="L9">
            <v>79085.149999999994</v>
          </cell>
          <cell r="N9">
            <v>14741</v>
          </cell>
          <cell r="O9">
            <v>309250.61</v>
          </cell>
          <cell r="Q9">
            <v>239</v>
          </cell>
          <cell r="R9">
            <v>6161</v>
          </cell>
          <cell r="T9">
            <v>5798</v>
          </cell>
          <cell r="U9">
            <v>150149.25</v>
          </cell>
          <cell r="W9">
            <v>37</v>
          </cell>
          <cell r="X9">
            <v>900</v>
          </cell>
          <cell r="Z9">
            <v>0</v>
          </cell>
          <cell r="AA9">
            <v>0</v>
          </cell>
        </row>
        <row r="10">
          <cell r="E10">
            <v>129644</v>
          </cell>
          <cell r="F10">
            <v>2418211.16</v>
          </cell>
          <cell r="H10">
            <v>61616</v>
          </cell>
          <cell r="I10">
            <v>871143.30999999994</v>
          </cell>
          <cell r="K10">
            <v>24300</v>
          </cell>
          <cell r="L10">
            <v>517484.4</v>
          </cell>
          <cell r="N10">
            <v>21324</v>
          </cell>
          <cell r="O10">
            <v>438609.2</v>
          </cell>
          <cell r="Q10">
            <v>342</v>
          </cell>
          <cell r="R10">
            <v>8205.5</v>
          </cell>
          <cell r="T10">
            <v>20295</v>
          </cell>
          <cell r="U10">
            <v>533220</v>
          </cell>
          <cell r="W10">
            <v>1767</v>
          </cell>
          <cell r="X10">
            <v>49548.75</v>
          </cell>
          <cell r="Z10">
            <v>0</v>
          </cell>
          <cell r="AA10">
            <v>0</v>
          </cell>
        </row>
        <row r="11">
          <cell r="E11">
            <v>86330</v>
          </cell>
          <cell r="F11">
            <v>1478359.35</v>
          </cell>
          <cell r="H11">
            <v>51849</v>
          </cell>
          <cell r="I11">
            <v>699669.80000000016</v>
          </cell>
          <cell r="K11">
            <v>9154</v>
          </cell>
          <cell r="L11">
            <v>193818.5</v>
          </cell>
          <cell r="N11">
            <v>13589</v>
          </cell>
          <cell r="O11">
            <v>270730.05</v>
          </cell>
          <cell r="Q11">
            <v>125</v>
          </cell>
          <cell r="R11">
            <v>3019</v>
          </cell>
          <cell r="T11">
            <v>8219</v>
          </cell>
          <cell r="U11">
            <v>215810</v>
          </cell>
          <cell r="W11">
            <v>3394</v>
          </cell>
          <cell r="X11">
            <v>95312</v>
          </cell>
          <cell r="Z11">
            <v>0</v>
          </cell>
          <cell r="AA11">
            <v>0</v>
          </cell>
        </row>
        <row r="12">
          <cell r="E12">
            <v>267268</v>
          </cell>
          <cell r="F12">
            <v>4714643.32</v>
          </cell>
          <cell r="H12">
            <v>159989</v>
          </cell>
          <cell r="I12">
            <v>2176713.77</v>
          </cell>
          <cell r="K12">
            <v>24363</v>
          </cell>
          <cell r="L12">
            <v>523215.35</v>
          </cell>
          <cell r="N12">
            <v>47542</v>
          </cell>
          <cell r="O12">
            <v>1028201.2000000001</v>
          </cell>
          <cell r="Q12">
            <v>2524</v>
          </cell>
          <cell r="R12">
            <v>69963</v>
          </cell>
          <cell r="T12">
            <v>30512</v>
          </cell>
          <cell r="U12">
            <v>851747.5</v>
          </cell>
          <cell r="W12">
            <v>2338</v>
          </cell>
          <cell r="X12">
            <v>64802.5</v>
          </cell>
          <cell r="Z12">
            <v>0</v>
          </cell>
          <cell r="AA12">
            <v>0</v>
          </cell>
        </row>
        <row r="13">
          <cell r="E13">
            <v>14384</v>
          </cell>
          <cell r="F13">
            <v>260704.13</v>
          </cell>
          <cell r="H13">
            <v>7089</v>
          </cell>
          <cell r="I13">
            <v>89179.53</v>
          </cell>
          <cell r="K13">
            <v>2255</v>
          </cell>
          <cell r="L13">
            <v>48100.6</v>
          </cell>
          <cell r="N13">
            <v>2675</v>
          </cell>
          <cell r="O13">
            <v>57662.5</v>
          </cell>
          <cell r="Q13">
            <v>73</v>
          </cell>
          <cell r="R13">
            <v>1890</v>
          </cell>
          <cell r="T13">
            <v>1290</v>
          </cell>
          <cell r="U13">
            <v>34873.25</v>
          </cell>
          <cell r="W13">
            <v>1002</v>
          </cell>
          <cell r="X13">
            <v>28998.25</v>
          </cell>
          <cell r="Z13">
            <v>0</v>
          </cell>
          <cell r="AA13">
            <v>0</v>
          </cell>
        </row>
        <row r="14">
          <cell r="E14">
            <v>695923</v>
          </cell>
          <cell r="F14">
            <v>12308189.1</v>
          </cell>
          <cell r="H14">
            <v>397631</v>
          </cell>
          <cell r="I14">
            <v>5285753.3499999996</v>
          </cell>
          <cell r="K14">
            <v>85204</v>
          </cell>
          <cell r="L14">
            <v>1917829.45</v>
          </cell>
          <cell r="N14">
            <v>107285</v>
          </cell>
          <cell r="O14">
            <v>2208147.6999999997</v>
          </cell>
          <cell r="Q14">
            <v>2887</v>
          </cell>
          <cell r="R14">
            <v>79485.75</v>
          </cell>
          <cell r="T14">
            <v>97545</v>
          </cell>
          <cell r="U14">
            <v>2665004.35</v>
          </cell>
          <cell r="W14">
            <v>5371</v>
          </cell>
          <cell r="X14">
            <v>151968.5</v>
          </cell>
          <cell r="Z14">
            <v>0</v>
          </cell>
          <cell r="AA14">
            <v>0</v>
          </cell>
        </row>
        <row r="15">
          <cell r="E15">
            <v>83103</v>
          </cell>
          <cell r="F15">
            <v>1319196.3899999999</v>
          </cell>
          <cell r="H15">
            <v>59482</v>
          </cell>
          <cell r="I15">
            <v>796087.28999999992</v>
          </cell>
          <cell r="K15">
            <v>8294</v>
          </cell>
          <cell r="L15">
            <v>177318.15</v>
          </cell>
          <cell r="N15">
            <v>10307</v>
          </cell>
          <cell r="O15">
            <v>212783.8</v>
          </cell>
          <cell r="Q15">
            <v>228</v>
          </cell>
          <cell r="R15">
            <v>5902.5</v>
          </cell>
          <cell r="T15">
            <v>3710</v>
          </cell>
          <cell r="U15">
            <v>99371.65</v>
          </cell>
          <cell r="W15">
            <v>1082</v>
          </cell>
          <cell r="X15">
            <v>27733</v>
          </cell>
          <cell r="Z15">
            <v>0</v>
          </cell>
          <cell r="AA15">
            <v>0</v>
          </cell>
        </row>
        <row r="16">
          <cell r="E16">
            <v>103616</v>
          </cell>
          <cell r="F16">
            <v>1676558.26</v>
          </cell>
          <cell r="H16">
            <v>67371</v>
          </cell>
          <cell r="I16">
            <v>842857.96</v>
          </cell>
          <cell r="K16">
            <v>10943</v>
          </cell>
          <cell r="L16">
            <v>237935.85</v>
          </cell>
          <cell r="N16">
            <v>13777</v>
          </cell>
          <cell r="O16">
            <v>279269.69999999995</v>
          </cell>
          <cell r="Q16">
            <v>395</v>
          </cell>
          <cell r="R16">
            <v>10466</v>
          </cell>
          <cell r="T16">
            <v>9040</v>
          </cell>
          <cell r="U16">
            <v>247997.75</v>
          </cell>
          <cell r="W16">
            <v>2090</v>
          </cell>
          <cell r="X16">
            <v>58031</v>
          </cell>
          <cell r="Z16">
            <v>0</v>
          </cell>
          <cell r="AA16">
            <v>0</v>
          </cell>
        </row>
        <row r="17">
          <cell r="E17">
            <v>205637</v>
          </cell>
          <cell r="F17">
            <v>3668274.3</v>
          </cell>
          <cell r="H17">
            <v>113658</v>
          </cell>
          <cell r="I17">
            <v>1564633.5999999999</v>
          </cell>
          <cell r="K17">
            <v>23851</v>
          </cell>
          <cell r="L17">
            <v>511357.55000000005</v>
          </cell>
          <cell r="N17">
            <v>36745</v>
          </cell>
          <cell r="O17">
            <v>749945.9</v>
          </cell>
          <cell r="Q17">
            <v>778</v>
          </cell>
          <cell r="R17">
            <v>19779</v>
          </cell>
          <cell r="T17">
            <v>29685</v>
          </cell>
          <cell r="U17">
            <v>799720.75</v>
          </cell>
          <cell r="W17">
            <v>920</v>
          </cell>
          <cell r="X17">
            <v>22837.5</v>
          </cell>
          <cell r="Z17">
            <v>0</v>
          </cell>
          <cell r="AA17">
            <v>0</v>
          </cell>
        </row>
        <row r="18">
          <cell r="E18">
            <v>88838</v>
          </cell>
          <cell r="F18">
            <v>1466911.7999999998</v>
          </cell>
          <cell r="H18">
            <v>59781</v>
          </cell>
          <cell r="I18">
            <v>781671.25</v>
          </cell>
          <cell r="K18">
            <v>9590</v>
          </cell>
          <cell r="L18">
            <v>221695.64999999997</v>
          </cell>
          <cell r="N18">
            <v>11838</v>
          </cell>
          <cell r="O18">
            <v>249977.19999999995</v>
          </cell>
          <cell r="Q18">
            <v>1691</v>
          </cell>
          <cell r="R18">
            <v>46426.5</v>
          </cell>
          <cell r="T18">
            <v>4772</v>
          </cell>
          <cell r="U18">
            <v>134935.70000000001</v>
          </cell>
          <cell r="W18">
            <v>1166</v>
          </cell>
          <cell r="X18">
            <v>32205.5</v>
          </cell>
          <cell r="Z18">
            <v>0</v>
          </cell>
          <cell r="AA18">
            <v>0</v>
          </cell>
        </row>
        <row r="19">
          <cell r="E19">
            <v>56507</v>
          </cell>
          <cell r="F19">
            <v>948087.31</v>
          </cell>
          <cell r="H19">
            <v>33911</v>
          </cell>
          <cell r="I19">
            <v>448583.11000000004</v>
          </cell>
          <cell r="K19">
            <v>8354</v>
          </cell>
          <cell r="L19">
            <v>178351.8</v>
          </cell>
          <cell r="N19">
            <v>10050</v>
          </cell>
          <cell r="O19">
            <v>210208.75</v>
          </cell>
          <cell r="Q19">
            <v>852</v>
          </cell>
          <cell r="R19">
            <v>22641.5</v>
          </cell>
          <cell r="T19">
            <v>2289</v>
          </cell>
          <cell r="U19">
            <v>61217.9</v>
          </cell>
          <cell r="W19">
            <v>1051</v>
          </cell>
          <cell r="X19">
            <v>27084.25</v>
          </cell>
          <cell r="Z19">
            <v>0</v>
          </cell>
          <cell r="AA19">
            <v>0</v>
          </cell>
        </row>
        <row r="20">
          <cell r="E20">
            <v>288484</v>
          </cell>
          <cell r="F20">
            <v>5262416.96</v>
          </cell>
          <cell r="H20">
            <v>151384</v>
          </cell>
          <cell r="I20">
            <v>2079033.21</v>
          </cell>
          <cell r="K20">
            <v>41182</v>
          </cell>
          <cell r="L20">
            <v>902267.5</v>
          </cell>
          <cell r="N20">
            <v>45078</v>
          </cell>
          <cell r="O20">
            <v>922938.5</v>
          </cell>
          <cell r="Q20">
            <v>1576</v>
          </cell>
          <cell r="R20">
            <v>42233.25</v>
          </cell>
          <cell r="T20">
            <v>46228</v>
          </cell>
          <cell r="U20">
            <v>1236800</v>
          </cell>
          <cell r="W20">
            <v>3036</v>
          </cell>
          <cell r="X20">
            <v>79144.5</v>
          </cell>
          <cell r="Z20">
            <v>0</v>
          </cell>
          <cell r="AA20">
            <v>0</v>
          </cell>
        </row>
        <row r="21">
          <cell r="E21">
            <v>74094</v>
          </cell>
          <cell r="F21">
            <v>1350559.9200000002</v>
          </cell>
          <cell r="H21">
            <v>36630</v>
          </cell>
          <cell r="I21">
            <v>495482.52</v>
          </cell>
          <cell r="K21">
            <v>12839</v>
          </cell>
          <cell r="L21">
            <v>276822.05</v>
          </cell>
          <cell r="N21">
            <v>17012</v>
          </cell>
          <cell r="O21">
            <v>376522.60000000003</v>
          </cell>
          <cell r="Q21">
            <v>417</v>
          </cell>
          <cell r="R21">
            <v>11154.5</v>
          </cell>
          <cell r="T21">
            <v>6497</v>
          </cell>
          <cell r="U21">
            <v>172529.75</v>
          </cell>
          <cell r="W21">
            <v>699</v>
          </cell>
          <cell r="X21">
            <v>18048.5</v>
          </cell>
          <cell r="Z21">
            <v>0</v>
          </cell>
          <cell r="AA21">
            <v>0</v>
          </cell>
        </row>
        <row r="22">
          <cell r="E22">
            <v>366797</v>
          </cell>
          <cell r="F22">
            <v>6423390.25</v>
          </cell>
          <cell r="H22">
            <v>211317</v>
          </cell>
          <cell r="I22">
            <v>2788562.8499999996</v>
          </cell>
          <cell r="K22">
            <v>64010</v>
          </cell>
          <cell r="L22">
            <v>1451124.2</v>
          </cell>
          <cell r="N22">
            <v>45498</v>
          </cell>
          <cell r="O22">
            <v>930945.65</v>
          </cell>
          <cell r="Q22">
            <v>1661</v>
          </cell>
          <cell r="R22">
            <v>45068.5</v>
          </cell>
          <cell r="T22">
            <v>35431</v>
          </cell>
          <cell r="U22">
            <v>959979.5</v>
          </cell>
          <cell r="W22">
            <v>8880</v>
          </cell>
          <cell r="X22">
            <v>247709.55</v>
          </cell>
          <cell r="Z22">
            <v>0</v>
          </cell>
          <cell r="AA22">
            <v>0</v>
          </cell>
        </row>
        <row r="23">
          <cell r="E23">
            <v>72041</v>
          </cell>
          <cell r="F23">
            <v>1257247.8399999999</v>
          </cell>
          <cell r="H23">
            <v>37984</v>
          </cell>
          <cell r="I23">
            <v>454754.29</v>
          </cell>
          <cell r="K23">
            <v>9276</v>
          </cell>
          <cell r="L23">
            <v>214393.3</v>
          </cell>
          <cell r="N23">
            <v>14772</v>
          </cell>
          <cell r="O23">
            <v>310052.5</v>
          </cell>
          <cell r="Q23">
            <v>603</v>
          </cell>
          <cell r="R23">
            <v>15021</v>
          </cell>
          <cell r="T23">
            <v>8248</v>
          </cell>
          <cell r="U23">
            <v>231150.75</v>
          </cell>
          <cell r="W23">
            <v>1158</v>
          </cell>
          <cell r="X23">
            <v>31876</v>
          </cell>
          <cell r="Z23">
            <v>0</v>
          </cell>
          <cell r="AA23">
            <v>0</v>
          </cell>
        </row>
        <row r="24">
          <cell r="E24">
            <v>612296</v>
          </cell>
          <cell r="F24">
            <v>11659061.180000002</v>
          </cell>
          <cell r="H24">
            <v>311507</v>
          </cell>
          <cell r="I24">
            <v>4480082.1900000004</v>
          </cell>
          <cell r="K24">
            <v>84387</v>
          </cell>
          <cell r="L24">
            <v>1881385.6999999997</v>
          </cell>
          <cell r="N24">
            <v>104685</v>
          </cell>
          <cell r="O24">
            <v>2189486.4400000004</v>
          </cell>
          <cell r="Q24">
            <v>1813</v>
          </cell>
          <cell r="R24">
            <v>48938.75</v>
          </cell>
          <cell r="T24">
            <v>106208</v>
          </cell>
          <cell r="U24">
            <v>2957962.25</v>
          </cell>
          <cell r="W24">
            <v>3696</v>
          </cell>
          <cell r="X24">
            <v>101205.85</v>
          </cell>
          <cell r="Z24">
            <v>0</v>
          </cell>
          <cell r="AA24">
            <v>0</v>
          </cell>
        </row>
        <row r="25">
          <cell r="E25">
            <v>92573</v>
          </cell>
          <cell r="F25">
            <v>1478143.0999999999</v>
          </cell>
          <cell r="H25">
            <v>65263</v>
          </cell>
          <cell r="I25">
            <v>848127.35</v>
          </cell>
          <cell r="K25">
            <v>4088</v>
          </cell>
          <cell r="L25">
            <v>87995.45</v>
          </cell>
          <cell r="N25">
            <v>14277</v>
          </cell>
          <cell r="O25">
            <v>296700.55</v>
          </cell>
          <cell r="Q25">
            <v>421</v>
          </cell>
          <cell r="R25">
            <v>11391.25</v>
          </cell>
          <cell r="T25">
            <v>6960</v>
          </cell>
          <cell r="U25">
            <v>188397.75</v>
          </cell>
          <cell r="W25">
            <v>1564</v>
          </cell>
          <cell r="X25">
            <v>45530.75</v>
          </cell>
          <cell r="Z25">
            <v>0</v>
          </cell>
          <cell r="AA25">
            <v>0</v>
          </cell>
        </row>
        <row r="26">
          <cell r="E26">
            <v>41804</v>
          </cell>
          <cell r="F26">
            <v>761752.85000000009</v>
          </cell>
          <cell r="H26">
            <v>18504</v>
          </cell>
          <cell r="I26">
            <v>253076.2</v>
          </cell>
          <cell r="K26">
            <v>8877</v>
          </cell>
          <cell r="L26">
            <v>190246.7</v>
          </cell>
          <cell r="N26">
            <v>9659</v>
          </cell>
          <cell r="O26">
            <v>192635.40000000002</v>
          </cell>
          <cell r="Q26">
            <v>477</v>
          </cell>
          <cell r="R26">
            <v>12181</v>
          </cell>
          <cell r="T26">
            <v>4207</v>
          </cell>
          <cell r="U26">
            <v>111718.04999999999</v>
          </cell>
          <cell r="W26">
            <v>80</v>
          </cell>
          <cell r="X26">
            <v>1895.5</v>
          </cell>
          <cell r="Z26">
            <v>0</v>
          </cell>
          <cell r="AA26">
            <v>0</v>
          </cell>
        </row>
        <row r="27">
          <cell r="E27">
            <v>60966</v>
          </cell>
          <cell r="F27">
            <v>1058246.6000000001</v>
          </cell>
          <cell r="H27">
            <v>36647</v>
          </cell>
          <cell r="I27">
            <v>497440.05000000005</v>
          </cell>
          <cell r="K27">
            <v>4436</v>
          </cell>
          <cell r="L27">
            <v>93968.049999999988</v>
          </cell>
          <cell r="N27">
            <v>9061</v>
          </cell>
          <cell r="O27">
            <v>179937</v>
          </cell>
          <cell r="Q27">
            <v>357</v>
          </cell>
          <cell r="R27">
            <v>9161.5</v>
          </cell>
          <cell r="T27">
            <v>10253</v>
          </cell>
          <cell r="U27">
            <v>272117</v>
          </cell>
          <cell r="W27">
            <v>212</v>
          </cell>
          <cell r="X27">
            <v>5623</v>
          </cell>
          <cell r="Z27">
            <v>0</v>
          </cell>
          <cell r="AA27">
            <v>0</v>
          </cell>
        </row>
        <row r="28">
          <cell r="E28">
            <v>308012</v>
          </cell>
          <cell r="F28">
            <v>5557976.2300000004</v>
          </cell>
          <cell r="H28">
            <v>165950</v>
          </cell>
          <cell r="I28">
            <v>2285484.4700000002</v>
          </cell>
          <cell r="K28">
            <v>35272</v>
          </cell>
          <cell r="L28">
            <v>760485.4</v>
          </cell>
          <cell r="N28">
            <v>61422</v>
          </cell>
          <cell r="O28">
            <v>1281685.46</v>
          </cell>
          <cell r="Q28">
            <v>1206</v>
          </cell>
          <cell r="R28">
            <v>29975</v>
          </cell>
          <cell r="T28">
            <v>42672</v>
          </cell>
          <cell r="U28">
            <v>1159341.1499999999</v>
          </cell>
          <cell r="W28">
            <v>1490</v>
          </cell>
          <cell r="X28">
            <v>41004.75</v>
          </cell>
          <cell r="Z28">
            <v>0</v>
          </cell>
          <cell r="AA28">
            <v>0</v>
          </cell>
        </row>
        <row r="29">
          <cell r="E29">
            <v>46862</v>
          </cell>
          <cell r="F29">
            <v>802739.20000000007</v>
          </cell>
          <cell r="H29">
            <v>25867</v>
          </cell>
          <cell r="I29">
            <v>334534.05000000005</v>
          </cell>
          <cell r="K29">
            <v>4537</v>
          </cell>
          <cell r="L29">
            <v>95015.150000000009</v>
          </cell>
          <cell r="N29">
            <v>11006</v>
          </cell>
          <cell r="O29">
            <v>223333.25</v>
          </cell>
          <cell r="Q29">
            <v>280</v>
          </cell>
          <cell r="R29">
            <v>7643</v>
          </cell>
          <cell r="T29">
            <v>4382</v>
          </cell>
          <cell r="U29">
            <v>119637.25</v>
          </cell>
          <cell r="W29">
            <v>790</v>
          </cell>
          <cell r="X29">
            <v>22576.5</v>
          </cell>
          <cell r="Z29">
            <v>0</v>
          </cell>
          <cell r="AA29">
            <v>0</v>
          </cell>
        </row>
      </sheetData>
      <sheetData sheetId="5">
        <row r="3">
          <cell r="E3">
            <v>2883568</v>
          </cell>
          <cell r="F3">
            <v>58985240.789999999</v>
          </cell>
          <cell r="H3">
            <v>1315059</v>
          </cell>
          <cell r="I3">
            <v>19262785.139999997</v>
          </cell>
          <cell r="K3">
            <v>160805</v>
          </cell>
          <cell r="L3">
            <v>3561834.25</v>
          </cell>
          <cell r="N3">
            <v>569202</v>
          </cell>
          <cell r="O3">
            <v>12667870.800000001</v>
          </cell>
          <cell r="Q3">
            <v>26858</v>
          </cell>
          <cell r="R3">
            <v>773458.25</v>
          </cell>
          <cell r="T3">
            <v>782178</v>
          </cell>
          <cell r="U3">
            <v>22021286.350000001</v>
          </cell>
          <cell r="W3">
            <v>12737</v>
          </cell>
          <cell r="X3">
            <v>349506</v>
          </cell>
          <cell r="Z3">
            <v>16729</v>
          </cell>
          <cell r="AA3">
            <v>348500</v>
          </cell>
        </row>
        <row r="4">
          <cell r="E4">
            <v>50996</v>
          </cell>
          <cell r="F4">
            <v>848170.32000000007</v>
          </cell>
          <cell r="H4">
            <v>32701</v>
          </cell>
          <cell r="I4">
            <v>446923.51999999996</v>
          </cell>
          <cell r="K4">
            <v>5444</v>
          </cell>
          <cell r="L4">
            <v>115350.6</v>
          </cell>
          <cell r="N4">
            <v>7804</v>
          </cell>
          <cell r="O4">
            <v>158754.95000000001</v>
          </cell>
          <cell r="Q4">
            <v>250</v>
          </cell>
          <cell r="R4">
            <v>6099.5</v>
          </cell>
          <cell r="T4">
            <v>4507</v>
          </cell>
          <cell r="U4">
            <v>112977</v>
          </cell>
          <cell r="W4">
            <v>290</v>
          </cell>
          <cell r="X4">
            <v>8064.75</v>
          </cell>
          <cell r="Z4">
            <v>0</v>
          </cell>
          <cell r="AA4">
            <v>0</v>
          </cell>
        </row>
        <row r="5">
          <cell r="E5">
            <v>232108</v>
          </cell>
          <cell r="F5">
            <v>3747021.6500000004</v>
          </cell>
          <cell r="H5">
            <v>171834</v>
          </cell>
          <cell r="I5">
            <v>2326196.9000000004</v>
          </cell>
          <cell r="K5">
            <v>3948</v>
          </cell>
          <cell r="L5">
            <v>84059.199999999997</v>
          </cell>
          <cell r="N5">
            <v>31455</v>
          </cell>
          <cell r="O5">
            <v>646425.30000000005</v>
          </cell>
          <cell r="Q5">
            <v>419</v>
          </cell>
          <cell r="R5">
            <v>10414</v>
          </cell>
          <cell r="T5">
            <v>20846</v>
          </cell>
          <cell r="U5">
            <v>577636.75</v>
          </cell>
          <cell r="W5">
            <v>3606</v>
          </cell>
          <cell r="X5">
            <v>102289.5</v>
          </cell>
          <cell r="Z5">
            <v>0</v>
          </cell>
          <cell r="AA5">
            <v>0</v>
          </cell>
        </row>
        <row r="6">
          <cell r="E6">
            <v>423324</v>
          </cell>
          <cell r="F6">
            <v>7658469.5</v>
          </cell>
          <cell r="H6">
            <v>246718</v>
          </cell>
          <cell r="I6">
            <v>3292132.5000000005</v>
          </cell>
          <cell r="K6">
            <v>74001</v>
          </cell>
          <cell r="L6">
            <v>1719305.5999999999</v>
          </cell>
          <cell r="N6">
            <v>38626</v>
          </cell>
          <cell r="O6">
            <v>831446.3</v>
          </cell>
          <cell r="Q6">
            <v>10224</v>
          </cell>
          <cell r="R6">
            <v>297147.25</v>
          </cell>
          <cell r="T6">
            <v>52296</v>
          </cell>
          <cell r="U6">
            <v>1483128.6</v>
          </cell>
          <cell r="W6">
            <v>970</v>
          </cell>
          <cell r="X6">
            <v>27974.25</v>
          </cell>
          <cell r="Z6">
            <v>489</v>
          </cell>
          <cell r="AA6">
            <v>7335</v>
          </cell>
        </row>
        <row r="7">
          <cell r="E7">
            <v>116123</v>
          </cell>
          <cell r="F7">
            <v>2250264.92</v>
          </cell>
          <cell r="H7">
            <v>40289</v>
          </cell>
          <cell r="I7">
            <v>550768.52</v>
          </cell>
          <cell r="K7">
            <v>32540</v>
          </cell>
          <cell r="L7">
            <v>705335.75</v>
          </cell>
          <cell r="N7">
            <v>34147</v>
          </cell>
          <cell r="O7">
            <v>744800.65</v>
          </cell>
          <cell r="Q7">
            <v>801</v>
          </cell>
          <cell r="R7">
            <v>19899</v>
          </cell>
          <cell r="T7">
            <v>8039</v>
          </cell>
          <cell r="U7">
            <v>221032</v>
          </cell>
          <cell r="W7">
            <v>307</v>
          </cell>
          <cell r="X7">
            <v>8429</v>
          </cell>
          <cell r="Z7">
            <v>0</v>
          </cell>
          <cell r="AA7">
            <v>0</v>
          </cell>
        </row>
        <row r="8">
          <cell r="E8">
            <v>98948</v>
          </cell>
          <cell r="F8">
            <v>1878937.73</v>
          </cell>
          <cell r="H8">
            <v>40171</v>
          </cell>
          <cell r="I8">
            <v>536439.13</v>
          </cell>
          <cell r="K8">
            <v>18681</v>
          </cell>
          <cell r="L8">
            <v>406623.19999999995</v>
          </cell>
          <cell r="N8">
            <v>27437</v>
          </cell>
          <cell r="O8">
            <v>596330.15</v>
          </cell>
          <cell r="Q8">
            <v>657</v>
          </cell>
          <cell r="R8">
            <v>16711.75</v>
          </cell>
          <cell r="T8">
            <v>9732</v>
          </cell>
          <cell r="U8">
            <v>258536.25</v>
          </cell>
          <cell r="W8">
            <v>2270</v>
          </cell>
          <cell r="X8">
            <v>64297.25</v>
          </cell>
          <cell r="Z8">
            <v>0</v>
          </cell>
          <cell r="AA8">
            <v>0</v>
          </cell>
        </row>
        <row r="9">
          <cell r="E9">
            <v>70921</v>
          </cell>
          <cell r="F9">
            <v>1211608.48</v>
          </cell>
          <cell r="H9">
            <v>44550</v>
          </cell>
          <cell r="I9">
            <v>621133.78</v>
          </cell>
          <cell r="K9">
            <v>3880</v>
          </cell>
          <cell r="L9">
            <v>82126.8</v>
          </cell>
          <cell r="N9">
            <v>15425</v>
          </cell>
          <cell r="O9">
            <v>325790.2</v>
          </cell>
          <cell r="Q9">
            <v>201</v>
          </cell>
          <cell r="R9">
            <v>5321</v>
          </cell>
          <cell r="T9">
            <v>6780</v>
          </cell>
          <cell r="U9">
            <v>175263.7</v>
          </cell>
          <cell r="W9">
            <v>85</v>
          </cell>
          <cell r="X9">
            <v>1973</v>
          </cell>
          <cell r="Z9">
            <v>0</v>
          </cell>
          <cell r="AA9">
            <v>0</v>
          </cell>
        </row>
        <row r="10">
          <cell r="E10">
            <v>136148</v>
          </cell>
          <cell r="F10">
            <v>2559715.48</v>
          </cell>
          <cell r="H10">
            <v>65812</v>
          </cell>
          <cell r="I10">
            <v>945902.68</v>
          </cell>
          <cell r="K10">
            <v>22934</v>
          </cell>
          <cell r="L10">
            <v>487999.05</v>
          </cell>
          <cell r="N10">
            <v>23091</v>
          </cell>
          <cell r="O10">
            <v>482318.25</v>
          </cell>
          <cell r="Q10">
            <v>337</v>
          </cell>
          <cell r="R10">
            <v>7864</v>
          </cell>
          <cell r="T10">
            <v>21948</v>
          </cell>
          <cell r="U10">
            <v>578512.5</v>
          </cell>
          <cell r="W10">
            <v>2026</v>
          </cell>
          <cell r="X10">
            <v>57119</v>
          </cell>
          <cell r="Z10">
            <v>0</v>
          </cell>
          <cell r="AA10">
            <v>0</v>
          </cell>
        </row>
        <row r="11">
          <cell r="E11">
            <v>89895</v>
          </cell>
          <cell r="F11">
            <v>1540205.2000000002</v>
          </cell>
          <cell r="H11">
            <v>53537</v>
          </cell>
          <cell r="I11">
            <v>722939.6</v>
          </cell>
          <cell r="K11">
            <v>10005</v>
          </cell>
          <cell r="L11">
            <v>211767.7</v>
          </cell>
          <cell r="N11">
            <v>14393</v>
          </cell>
          <cell r="O11">
            <v>287128.40000000002</v>
          </cell>
          <cell r="Q11">
            <v>166</v>
          </cell>
          <cell r="R11">
            <v>4335</v>
          </cell>
          <cell r="T11">
            <v>8363</v>
          </cell>
          <cell r="U11">
            <v>217488</v>
          </cell>
          <cell r="W11">
            <v>3431</v>
          </cell>
          <cell r="X11">
            <v>96546.5</v>
          </cell>
          <cell r="Z11">
            <v>0</v>
          </cell>
          <cell r="AA11">
            <v>0</v>
          </cell>
        </row>
        <row r="12">
          <cell r="E12">
            <v>285319</v>
          </cell>
          <cell r="F12">
            <v>5103256.7300000004</v>
          </cell>
          <cell r="H12">
            <v>166461</v>
          </cell>
          <cell r="I12">
            <v>2282908.5700000003</v>
          </cell>
          <cell r="K12">
            <v>30387</v>
          </cell>
          <cell r="L12">
            <v>654437.55000000005</v>
          </cell>
          <cell r="N12">
            <v>49363</v>
          </cell>
          <cell r="O12">
            <v>1071801.6099999999</v>
          </cell>
          <cell r="Q12">
            <v>2943</v>
          </cell>
          <cell r="R12">
            <v>82298.25</v>
          </cell>
          <cell r="T12">
            <v>33980</v>
          </cell>
          <cell r="U12">
            <v>951941</v>
          </cell>
          <cell r="W12">
            <v>2185</v>
          </cell>
          <cell r="X12">
            <v>59869.75</v>
          </cell>
          <cell r="Z12">
            <v>0</v>
          </cell>
          <cell r="AA12">
            <v>0</v>
          </cell>
        </row>
        <row r="13">
          <cell r="E13">
            <v>15950</v>
          </cell>
          <cell r="F13">
            <v>287534.90000000002</v>
          </cell>
          <cell r="H13">
            <v>8492</v>
          </cell>
          <cell r="I13">
            <v>112385.50000000001</v>
          </cell>
          <cell r="K13">
            <v>2109</v>
          </cell>
          <cell r="L13">
            <v>44967.75</v>
          </cell>
          <cell r="N13">
            <v>2941</v>
          </cell>
          <cell r="O13">
            <v>63154.15</v>
          </cell>
          <cell r="Q13">
            <v>102</v>
          </cell>
          <cell r="R13">
            <v>2632</v>
          </cell>
          <cell r="T13">
            <v>1343</v>
          </cell>
          <cell r="U13">
            <v>36435</v>
          </cell>
          <cell r="W13">
            <v>963</v>
          </cell>
          <cell r="X13">
            <v>27960.5</v>
          </cell>
          <cell r="Z13">
            <v>0</v>
          </cell>
          <cell r="AA13">
            <v>0</v>
          </cell>
        </row>
        <row r="14">
          <cell r="E14">
            <v>719559</v>
          </cell>
          <cell r="F14">
            <v>12704821.25</v>
          </cell>
          <cell r="H14">
            <v>416043</v>
          </cell>
          <cell r="I14">
            <v>5589837.8900000006</v>
          </cell>
          <cell r="K14">
            <v>81164</v>
          </cell>
          <cell r="L14">
            <v>1828261.1500000001</v>
          </cell>
          <cell r="N14">
            <v>111751</v>
          </cell>
          <cell r="O14">
            <v>2285022.91</v>
          </cell>
          <cell r="Q14">
            <v>3002</v>
          </cell>
          <cell r="R14">
            <v>82352</v>
          </cell>
          <cell r="T14">
            <v>102254</v>
          </cell>
          <cell r="U14">
            <v>2769762.05</v>
          </cell>
          <cell r="W14">
            <v>5345</v>
          </cell>
          <cell r="X14">
            <v>149585.25</v>
          </cell>
          <cell r="Z14">
            <v>0</v>
          </cell>
          <cell r="AA14">
            <v>0</v>
          </cell>
        </row>
        <row r="15">
          <cell r="E15">
            <v>89754</v>
          </cell>
          <cell r="F15">
            <v>1438846.27</v>
          </cell>
          <cell r="H15">
            <v>64293</v>
          </cell>
          <cell r="I15">
            <v>872425.86999999988</v>
          </cell>
          <cell r="K15">
            <v>8651</v>
          </cell>
          <cell r="L15">
            <v>184616.55</v>
          </cell>
          <cell r="N15">
            <v>10927</v>
          </cell>
          <cell r="O15">
            <v>224059.35</v>
          </cell>
          <cell r="Q15">
            <v>280</v>
          </cell>
          <cell r="R15">
            <v>7282</v>
          </cell>
          <cell r="T15">
            <v>4487</v>
          </cell>
          <cell r="U15">
            <v>121701</v>
          </cell>
          <cell r="W15">
            <v>1116</v>
          </cell>
          <cell r="X15">
            <v>28761.5</v>
          </cell>
          <cell r="Z15">
            <v>0</v>
          </cell>
          <cell r="AA15">
            <v>0</v>
          </cell>
        </row>
        <row r="16">
          <cell r="E16">
            <v>118881</v>
          </cell>
          <cell r="F16">
            <v>1957590.1700000002</v>
          </cell>
          <cell r="H16">
            <v>76549</v>
          </cell>
          <cell r="I16">
            <v>986642.07000000007</v>
          </cell>
          <cell r="K16">
            <v>12541</v>
          </cell>
          <cell r="L16">
            <v>267523.05</v>
          </cell>
          <cell r="N16">
            <v>15734</v>
          </cell>
          <cell r="O16">
            <v>316802.30000000005</v>
          </cell>
          <cell r="Q16">
            <v>513</v>
          </cell>
          <cell r="R16">
            <v>13203.5</v>
          </cell>
          <cell r="T16">
            <v>11420</v>
          </cell>
          <cell r="U16">
            <v>314912</v>
          </cell>
          <cell r="W16">
            <v>2124</v>
          </cell>
          <cell r="X16">
            <v>58507.25</v>
          </cell>
          <cell r="Z16">
            <v>0</v>
          </cell>
          <cell r="AA16">
            <v>0</v>
          </cell>
        </row>
        <row r="17">
          <cell r="E17">
            <v>212336</v>
          </cell>
          <cell r="F17">
            <v>3804428.83</v>
          </cell>
          <cell r="H17">
            <v>118324</v>
          </cell>
          <cell r="I17">
            <v>1640888.58</v>
          </cell>
          <cell r="K17">
            <v>23316</v>
          </cell>
          <cell r="L17">
            <v>499600.64999999997</v>
          </cell>
          <cell r="N17">
            <v>37394</v>
          </cell>
          <cell r="O17">
            <v>763817.35000000009</v>
          </cell>
          <cell r="Q17">
            <v>881</v>
          </cell>
          <cell r="R17">
            <v>22599.5</v>
          </cell>
          <cell r="T17">
            <v>31480</v>
          </cell>
          <cell r="U17">
            <v>854078.25</v>
          </cell>
          <cell r="W17">
            <v>941</v>
          </cell>
          <cell r="X17">
            <v>23444.5</v>
          </cell>
          <cell r="Z17">
            <v>0</v>
          </cell>
          <cell r="AA17">
            <v>0</v>
          </cell>
        </row>
        <row r="18">
          <cell r="E18">
            <v>93770</v>
          </cell>
          <cell r="F18">
            <v>1558422.38</v>
          </cell>
          <cell r="H18">
            <v>63263</v>
          </cell>
          <cell r="I18">
            <v>839081.38</v>
          </cell>
          <cell r="K18">
            <v>10266</v>
          </cell>
          <cell r="L18">
            <v>236642.5</v>
          </cell>
          <cell r="N18">
            <v>12240</v>
          </cell>
          <cell r="O18">
            <v>260301.35</v>
          </cell>
          <cell r="Q18">
            <v>1636</v>
          </cell>
          <cell r="R18">
            <v>45405.5</v>
          </cell>
          <cell r="T18">
            <v>4828</v>
          </cell>
          <cell r="U18">
            <v>134971.15</v>
          </cell>
          <cell r="W18">
            <v>1537</v>
          </cell>
          <cell r="X18">
            <v>42020.5</v>
          </cell>
          <cell r="Z18">
            <v>0</v>
          </cell>
          <cell r="AA18">
            <v>0</v>
          </cell>
        </row>
        <row r="19">
          <cell r="E19">
            <v>58385</v>
          </cell>
          <cell r="F19">
            <v>975592.33</v>
          </cell>
          <cell r="H19">
            <v>35798</v>
          </cell>
          <cell r="I19">
            <v>476888.77999999997</v>
          </cell>
          <cell r="K19">
            <v>9513</v>
          </cell>
          <cell r="L19">
            <v>204124.05</v>
          </cell>
          <cell r="N19">
            <v>8453</v>
          </cell>
          <cell r="O19">
            <v>169710</v>
          </cell>
          <cell r="Q19">
            <v>1100</v>
          </cell>
          <cell r="R19">
            <v>29649.75</v>
          </cell>
          <cell r="T19">
            <v>2475</v>
          </cell>
          <cell r="U19">
            <v>67235.5</v>
          </cell>
          <cell r="W19">
            <v>1046</v>
          </cell>
          <cell r="X19">
            <v>27984.25</v>
          </cell>
          <cell r="Z19">
            <v>0</v>
          </cell>
          <cell r="AA19">
            <v>0</v>
          </cell>
        </row>
        <row r="20">
          <cell r="E20">
            <v>303160</v>
          </cell>
          <cell r="F20">
            <v>5582410.8100000005</v>
          </cell>
          <cell r="H20">
            <v>157368</v>
          </cell>
          <cell r="I20">
            <v>2158588.9600000004</v>
          </cell>
          <cell r="K20">
            <v>42906</v>
          </cell>
          <cell r="L20">
            <v>951889.85000000009</v>
          </cell>
          <cell r="N20">
            <v>46196</v>
          </cell>
          <cell r="O20">
            <v>948257.25</v>
          </cell>
          <cell r="Q20">
            <v>1392</v>
          </cell>
          <cell r="R20">
            <v>36587.5</v>
          </cell>
          <cell r="T20">
            <v>52275</v>
          </cell>
          <cell r="U20">
            <v>1407837.75</v>
          </cell>
          <cell r="W20">
            <v>3023</v>
          </cell>
          <cell r="X20">
            <v>79249.5</v>
          </cell>
          <cell r="Z20">
            <v>0</v>
          </cell>
          <cell r="AA20">
            <v>0</v>
          </cell>
        </row>
        <row r="21">
          <cell r="E21">
            <v>86315</v>
          </cell>
          <cell r="F21">
            <v>1579048.18</v>
          </cell>
          <cell r="H21">
            <v>42148</v>
          </cell>
          <cell r="I21">
            <v>583527.92999999993</v>
          </cell>
          <cell r="K21">
            <v>12847</v>
          </cell>
          <cell r="L21">
            <v>275777.40000000002</v>
          </cell>
          <cell r="N21">
            <v>20344</v>
          </cell>
          <cell r="O21">
            <v>434428.10000000003</v>
          </cell>
          <cell r="Q21">
            <v>451</v>
          </cell>
          <cell r="R21">
            <v>12116</v>
          </cell>
          <cell r="T21">
            <v>9610</v>
          </cell>
          <cell r="U21">
            <v>249051</v>
          </cell>
          <cell r="W21">
            <v>915</v>
          </cell>
          <cell r="X21">
            <v>24147.75</v>
          </cell>
          <cell r="Z21">
            <v>0</v>
          </cell>
          <cell r="AA21">
            <v>0</v>
          </cell>
        </row>
        <row r="22">
          <cell r="E22">
            <v>372769</v>
          </cell>
          <cell r="F22">
            <v>6509423.9700000007</v>
          </cell>
          <cell r="H22">
            <v>222719</v>
          </cell>
          <cell r="I22">
            <v>2972657.4200000004</v>
          </cell>
          <cell r="K22">
            <v>53881</v>
          </cell>
          <cell r="L22">
            <v>1228376.6000000001</v>
          </cell>
          <cell r="N22">
            <v>47137</v>
          </cell>
          <cell r="O22">
            <v>962991.10000000009</v>
          </cell>
          <cell r="Q22">
            <v>1655</v>
          </cell>
          <cell r="R22">
            <v>44928.75</v>
          </cell>
          <cell r="T22">
            <v>38501</v>
          </cell>
          <cell r="U22">
            <v>1049996.3500000001</v>
          </cell>
          <cell r="W22">
            <v>8876</v>
          </cell>
          <cell r="X22">
            <v>250473.75</v>
          </cell>
          <cell r="Z22">
            <v>0</v>
          </cell>
          <cell r="AA22">
            <v>0</v>
          </cell>
        </row>
        <row r="23">
          <cell r="E23">
            <v>86269</v>
          </cell>
          <cell r="F23">
            <v>1517655.88</v>
          </cell>
          <cell r="H23">
            <v>45333</v>
          </cell>
          <cell r="I23">
            <v>570154.96000000008</v>
          </cell>
          <cell r="K23">
            <v>11129</v>
          </cell>
          <cell r="L23">
            <v>255156.84999999998</v>
          </cell>
          <cell r="N23">
            <v>17694</v>
          </cell>
          <cell r="O23">
            <v>360748.31999999995</v>
          </cell>
          <cell r="Q23">
            <v>810</v>
          </cell>
          <cell r="R23">
            <v>20467.75</v>
          </cell>
          <cell r="T23">
            <v>10069</v>
          </cell>
          <cell r="U23">
            <v>277214.75</v>
          </cell>
          <cell r="W23">
            <v>1234</v>
          </cell>
          <cell r="X23">
            <v>33913.25</v>
          </cell>
          <cell r="Z23">
            <v>0</v>
          </cell>
          <cell r="AA23">
            <v>0</v>
          </cell>
        </row>
        <row r="24">
          <cell r="E24">
            <v>620467</v>
          </cell>
          <cell r="F24">
            <v>11851117.02</v>
          </cell>
          <cell r="H24">
            <v>311786</v>
          </cell>
          <cell r="I24">
            <v>4455923.1100000003</v>
          </cell>
          <cell r="K24">
            <v>87149</v>
          </cell>
          <cell r="L24">
            <v>1938673.91</v>
          </cell>
          <cell r="N24">
            <v>109583</v>
          </cell>
          <cell r="O24">
            <v>2334935.3000000003</v>
          </cell>
          <cell r="Q24">
            <v>2151</v>
          </cell>
          <cell r="R24">
            <v>58517</v>
          </cell>
          <cell r="T24">
            <v>106106</v>
          </cell>
          <cell r="U24">
            <v>2962647.7</v>
          </cell>
          <cell r="W24">
            <v>3692</v>
          </cell>
          <cell r="X24">
            <v>100420</v>
          </cell>
          <cell r="Z24">
            <v>0</v>
          </cell>
          <cell r="AA24">
            <v>0</v>
          </cell>
        </row>
        <row r="25">
          <cell r="E25">
            <v>96820</v>
          </cell>
          <cell r="F25">
            <v>1535251.3599999999</v>
          </cell>
          <cell r="H25">
            <v>68885</v>
          </cell>
          <cell r="I25">
            <v>898696.40999999992</v>
          </cell>
          <cell r="K25">
            <v>3981</v>
          </cell>
          <cell r="L25">
            <v>84479.75</v>
          </cell>
          <cell r="N25">
            <v>15017</v>
          </cell>
          <cell r="O25">
            <v>311042.45</v>
          </cell>
          <cell r="Q25">
            <v>376</v>
          </cell>
          <cell r="R25">
            <v>10229.25</v>
          </cell>
          <cell r="T25">
            <v>7089</v>
          </cell>
          <cell r="U25">
            <v>187954.75</v>
          </cell>
          <cell r="W25">
            <v>1472</v>
          </cell>
          <cell r="X25">
            <v>42848.75</v>
          </cell>
          <cell r="Z25">
            <v>0</v>
          </cell>
          <cell r="AA25">
            <v>0</v>
          </cell>
        </row>
        <row r="26">
          <cell r="E26">
            <v>41616</v>
          </cell>
          <cell r="F26">
            <v>757338.12</v>
          </cell>
          <cell r="H26">
            <v>19623</v>
          </cell>
          <cell r="I26">
            <v>273836.62</v>
          </cell>
          <cell r="K26">
            <v>8536</v>
          </cell>
          <cell r="L26">
            <v>182724.95</v>
          </cell>
          <cell r="N26">
            <v>8873</v>
          </cell>
          <cell r="O26">
            <v>178911.44999999998</v>
          </cell>
          <cell r="Q26">
            <v>459</v>
          </cell>
          <cell r="R26">
            <v>11621</v>
          </cell>
          <cell r="T26">
            <v>4009</v>
          </cell>
          <cell r="U26">
            <v>107260.1</v>
          </cell>
          <cell r="W26">
            <v>116</v>
          </cell>
          <cell r="X26">
            <v>2984</v>
          </cell>
          <cell r="Z26">
            <v>0</v>
          </cell>
          <cell r="AA26">
            <v>0</v>
          </cell>
        </row>
        <row r="27">
          <cell r="E27">
            <v>62171</v>
          </cell>
          <cell r="F27">
            <v>1083511.21</v>
          </cell>
          <cell r="H27">
            <v>37383</v>
          </cell>
          <cell r="I27">
            <v>510908.05999999994</v>
          </cell>
          <cell r="K27">
            <v>4433</v>
          </cell>
          <cell r="L27">
            <v>93724.15</v>
          </cell>
          <cell r="N27">
            <v>8995</v>
          </cell>
          <cell r="O27">
            <v>178667.65</v>
          </cell>
          <cell r="Q27">
            <v>435</v>
          </cell>
          <cell r="R27">
            <v>11236</v>
          </cell>
          <cell r="T27">
            <v>10684</v>
          </cell>
          <cell r="U27">
            <v>282848.34999999998</v>
          </cell>
          <cell r="W27">
            <v>241</v>
          </cell>
          <cell r="X27">
            <v>6127</v>
          </cell>
          <cell r="Z27">
            <v>0</v>
          </cell>
          <cell r="AA27">
            <v>0</v>
          </cell>
        </row>
        <row r="28">
          <cell r="E28">
            <v>323749</v>
          </cell>
          <cell r="F28">
            <v>5874375.2700000005</v>
          </cell>
          <cell r="H28">
            <v>174217</v>
          </cell>
          <cell r="I28">
            <v>2424457.0699999998</v>
          </cell>
          <cell r="K28">
            <v>38846</v>
          </cell>
          <cell r="L28">
            <v>835665.15</v>
          </cell>
          <cell r="N28">
            <v>61609</v>
          </cell>
          <cell r="O28">
            <v>1280891.1000000001</v>
          </cell>
          <cell r="Q28">
            <v>1672</v>
          </cell>
          <cell r="R28">
            <v>43467</v>
          </cell>
          <cell r="T28">
            <v>46107</v>
          </cell>
          <cell r="U28">
            <v>1254116.45</v>
          </cell>
          <cell r="W28">
            <v>1298</v>
          </cell>
          <cell r="X28">
            <v>35778.5</v>
          </cell>
          <cell r="Z28">
            <v>0</v>
          </cell>
          <cell r="AA28">
            <v>0</v>
          </cell>
        </row>
        <row r="29">
          <cell r="E29">
            <v>49135</v>
          </cell>
          <cell r="F29">
            <v>837225.45</v>
          </cell>
          <cell r="H29">
            <v>27677</v>
          </cell>
          <cell r="I29">
            <v>360785.85</v>
          </cell>
          <cell r="K29">
            <v>4561</v>
          </cell>
          <cell r="L29">
            <v>95810.7</v>
          </cell>
          <cell r="N29">
            <v>11152</v>
          </cell>
          <cell r="O29">
            <v>223681.9</v>
          </cell>
          <cell r="Q29">
            <v>304</v>
          </cell>
          <cell r="R29">
            <v>8302</v>
          </cell>
          <cell r="T29">
            <v>4694</v>
          </cell>
          <cell r="U29">
            <v>127667.5</v>
          </cell>
          <cell r="W29">
            <v>747</v>
          </cell>
          <cell r="X29">
            <v>20977.5</v>
          </cell>
          <cell r="Z29">
            <v>0</v>
          </cell>
          <cell r="AA29">
            <v>0</v>
          </cell>
        </row>
      </sheetData>
      <sheetData sheetId="6">
        <row r="3">
          <cell r="E3">
            <v>2794695</v>
          </cell>
          <cell r="F3">
            <v>57080253.100000009</v>
          </cell>
          <cell r="H3">
            <v>1268836</v>
          </cell>
          <cell r="I3">
            <v>18458640.750000007</v>
          </cell>
          <cell r="K3">
            <v>155967</v>
          </cell>
          <cell r="L3">
            <v>3451976.65</v>
          </cell>
          <cell r="N3">
            <v>562085</v>
          </cell>
          <cell r="O3">
            <v>12511549.149999999</v>
          </cell>
          <cell r="Q3">
            <v>25609</v>
          </cell>
          <cell r="R3">
            <v>736889</v>
          </cell>
          <cell r="T3">
            <v>754496</v>
          </cell>
          <cell r="U3">
            <v>21229740.050000001</v>
          </cell>
          <cell r="W3">
            <v>27702</v>
          </cell>
          <cell r="X3">
            <v>691457.5</v>
          </cell>
          <cell r="Z3">
            <v>0</v>
          </cell>
          <cell r="AA3">
            <v>0</v>
          </cell>
        </row>
        <row r="4">
          <cell r="E4">
            <v>49722</v>
          </cell>
          <cell r="F4">
            <v>827096.03</v>
          </cell>
          <cell r="H4">
            <v>31881</v>
          </cell>
          <cell r="I4">
            <v>435725.68</v>
          </cell>
          <cell r="K4">
            <v>5198</v>
          </cell>
          <cell r="L4">
            <v>110044.4</v>
          </cell>
          <cell r="N4">
            <v>7885</v>
          </cell>
          <cell r="O4">
            <v>161296.70000000001</v>
          </cell>
          <cell r="Q4">
            <v>420</v>
          </cell>
          <cell r="R4">
            <v>11430.25</v>
          </cell>
          <cell r="T4">
            <v>4009</v>
          </cell>
          <cell r="U4">
            <v>99622</v>
          </cell>
          <cell r="W4">
            <v>329</v>
          </cell>
          <cell r="X4">
            <v>8977</v>
          </cell>
          <cell r="Z4">
            <v>0</v>
          </cell>
          <cell r="AA4">
            <v>0</v>
          </cell>
        </row>
        <row r="5">
          <cell r="E5">
            <v>233602</v>
          </cell>
          <cell r="F5">
            <v>3768809.93</v>
          </cell>
          <cell r="H5">
            <v>172090</v>
          </cell>
          <cell r="I5">
            <v>2328329.2799999998</v>
          </cell>
          <cell r="K5">
            <v>5029</v>
          </cell>
          <cell r="L5">
            <v>107524.45</v>
          </cell>
          <cell r="N5">
            <v>31475</v>
          </cell>
          <cell r="O5">
            <v>642568.05000000005</v>
          </cell>
          <cell r="Q5">
            <v>433</v>
          </cell>
          <cell r="R5">
            <v>11039</v>
          </cell>
          <cell r="T5">
            <v>21010</v>
          </cell>
          <cell r="U5">
            <v>577715.9</v>
          </cell>
          <cell r="W5">
            <v>3565</v>
          </cell>
          <cell r="X5">
            <v>101633.25</v>
          </cell>
          <cell r="Z5">
            <v>0</v>
          </cell>
          <cell r="AA5">
            <v>0</v>
          </cell>
        </row>
        <row r="6">
          <cell r="E6">
            <v>432493</v>
          </cell>
          <cell r="F6">
            <v>7844675.9700000007</v>
          </cell>
          <cell r="H6">
            <v>249208</v>
          </cell>
          <cell r="I6">
            <v>3337193.5300000003</v>
          </cell>
          <cell r="K6">
            <v>77472</v>
          </cell>
          <cell r="L6">
            <v>1795287.1400000001</v>
          </cell>
          <cell r="N6">
            <v>40402</v>
          </cell>
          <cell r="O6">
            <v>867018.90000000014</v>
          </cell>
          <cell r="Q6">
            <v>11612</v>
          </cell>
          <cell r="R6">
            <v>336882.25</v>
          </cell>
          <cell r="T6">
            <v>52203</v>
          </cell>
          <cell r="U6">
            <v>1469871.4</v>
          </cell>
          <cell r="W6">
            <v>1041</v>
          </cell>
          <cell r="X6">
            <v>30097.75</v>
          </cell>
          <cell r="Z6">
            <v>555</v>
          </cell>
          <cell r="AA6">
            <v>8325</v>
          </cell>
        </row>
        <row r="7">
          <cell r="E7">
            <v>115603</v>
          </cell>
          <cell r="F7">
            <v>2227870.9899999998</v>
          </cell>
          <cell r="H7">
            <v>41778</v>
          </cell>
          <cell r="I7">
            <v>578200.09000000008</v>
          </cell>
          <cell r="K7">
            <v>32175</v>
          </cell>
          <cell r="L7">
            <v>697805.85</v>
          </cell>
          <cell r="N7">
            <v>32732</v>
          </cell>
          <cell r="O7">
            <v>707088.04999999993</v>
          </cell>
          <cell r="Q7">
            <v>809</v>
          </cell>
          <cell r="R7">
            <v>20940.75</v>
          </cell>
          <cell r="T7">
            <v>8020</v>
          </cell>
          <cell r="U7">
            <v>221559.25</v>
          </cell>
          <cell r="W7">
            <v>89</v>
          </cell>
          <cell r="X7">
            <v>2277</v>
          </cell>
          <cell r="Z7">
            <v>0</v>
          </cell>
          <cell r="AA7">
            <v>0</v>
          </cell>
        </row>
        <row r="8">
          <cell r="E8">
            <v>100456</v>
          </cell>
          <cell r="F8">
            <v>1912457.15</v>
          </cell>
          <cell r="H8">
            <v>40199</v>
          </cell>
          <cell r="I8">
            <v>536501.24999999988</v>
          </cell>
          <cell r="K8">
            <v>19269</v>
          </cell>
          <cell r="L8">
            <v>418846.2</v>
          </cell>
          <cell r="N8">
            <v>27726</v>
          </cell>
          <cell r="O8">
            <v>602551.75</v>
          </cell>
          <cell r="Q8">
            <v>704</v>
          </cell>
          <cell r="R8">
            <v>17996.25</v>
          </cell>
          <cell r="T8">
            <v>10155</v>
          </cell>
          <cell r="U8">
            <v>268817.2</v>
          </cell>
          <cell r="W8">
            <v>2403</v>
          </cell>
          <cell r="X8">
            <v>67744.5</v>
          </cell>
          <cell r="Z8">
            <v>0</v>
          </cell>
          <cell r="AA8">
            <v>0</v>
          </cell>
        </row>
        <row r="9">
          <cell r="E9">
            <v>71235</v>
          </cell>
          <cell r="F9">
            <v>1225781.72</v>
          </cell>
          <cell r="H9">
            <v>44038</v>
          </cell>
          <cell r="I9">
            <v>612320.82000000007</v>
          </cell>
          <cell r="K9">
            <v>4112</v>
          </cell>
          <cell r="L9">
            <v>87709.2</v>
          </cell>
          <cell r="N9">
            <v>15879</v>
          </cell>
          <cell r="O9">
            <v>338191.4</v>
          </cell>
          <cell r="Q9">
            <v>164</v>
          </cell>
          <cell r="R9">
            <v>4650</v>
          </cell>
          <cell r="T9">
            <v>6916</v>
          </cell>
          <cell r="U9">
            <v>179773.05</v>
          </cell>
          <cell r="W9">
            <v>126</v>
          </cell>
          <cell r="X9">
            <v>3137.25</v>
          </cell>
          <cell r="Z9">
            <v>0</v>
          </cell>
          <cell r="AA9">
            <v>0</v>
          </cell>
        </row>
        <row r="10">
          <cell r="E10">
            <v>130896</v>
          </cell>
          <cell r="F10">
            <v>2430088.5499999998</v>
          </cell>
          <cell r="H10">
            <v>63486</v>
          </cell>
          <cell r="I10">
            <v>898084.4</v>
          </cell>
          <cell r="K10">
            <v>23486</v>
          </cell>
          <cell r="L10">
            <v>499155.14999999997</v>
          </cell>
          <cell r="N10">
            <v>22341</v>
          </cell>
          <cell r="O10">
            <v>464521</v>
          </cell>
          <cell r="Q10">
            <v>398</v>
          </cell>
          <cell r="R10">
            <v>9458</v>
          </cell>
          <cell r="T10">
            <v>18961</v>
          </cell>
          <cell r="U10">
            <v>495470.25</v>
          </cell>
          <cell r="W10">
            <v>2224</v>
          </cell>
          <cell r="X10">
            <v>63399.75</v>
          </cell>
          <cell r="Z10">
            <v>0</v>
          </cell>
          <cell r="AA10">
            <v>0</v>
          </cell>
        </row>
        <row r="11">
          <cell r="E11">
            <v>90593</v>
          </cell>
          <cell r="F11">
            <v>1558222.05</v>
          </cell>
          <cell r="H11">
            <v>54825</v>
          </cell>
          <cell r="I11">
            <v>748335.79999999993</v>
          </cell>
          <cell r="K11">
            <v>8674</v>
          </cell>
          <cell r="L11">
            <v>183772.25</v>
          </cell>
          <cell r="N11">
            <v>14670</v>
          </cell>
          <cell r="O11">
            <v>294910.40000000002</v>
          </cell>
          <cell r="Q11">
            <v>163</v>
          </cell>
          <cell r="R11">
            <v>4157.25</v>
          </cell>
          <cell r="T11">
            <v>8896</v>
          </cell>
          <cell r="U11">
            <v>232195.6</v>
          </cell>
          <cell r="W11">
            <v>3365</v>
          </cell>
          <cell r="X11">
            <v>94850.75</v>
          </cell>
          <cell r="Z11">
            <v>0</v>
          </cell>
          <cell r="AA11">
            <v>0</v>
          </cell>
        </row>
        <row r="12">
          <cell r="E12">
            <v>287737</v>
          </cell>
          <cell r="F12">
            <v>5143722.96</v>
          </cell>
          <cell r="H12">
            <v>170945</v>
          </cell>
          <cell r="I12">
            <v>2364935.66</v>
          </cell>
          <cell r="K12">
            <v>26704</v>
          </cell>
          <cell r="L12">
            <v>574742</v>
          </cell>
          <cell r="N12">
            <v>48953</v>
          </cell>
          <cell r="O12">
            <v>1055184.55</v>
          </cell>
          <cell r="Q12">
            <v>2844</v>
          </cell>
          <cell r="R12">
            <v>78891.25</v>
          </cell>
          <cell r="T12">
            <v>35802</v>
          </cell>
          <cell r="U12">
            <v>1001055.25</v>
          </cell>
          <cell r="W12">
            <v>2489</v>
          </cell>
          <cell r="X12">
            <v>68914.25</v>
          </cell>
          <cell r="Z12">
            <v>0</v>
          </cell>
          <cell r="AA12">
            <v>0</v>
          </cell>
        </row>
        <row r="13">
          <cell r="E13">
            <v>15245</v>
          </cell>
          <cell r="F13">
            <v>278914.25</v>
          </cell>
          <cell r="H13">
            <v>7569</v>
          </cell>
          <cell r="I13">
            <v>96839.5</v>
          </cell>
          <cell r="K13">
            <v>1975</v>
          </cell>
          <cell r="L13">
            <v>41846.949999999997</v>
          </cell>
          <cell r="N13">
            <v>2901</v>
          </cell>
          <cell r="O13">
            <v>62352.55</v>
          </cell>
          <cell r="Q13">
            <v>168</v>
          </cell>
          <cell r="R13">
            <v>4105</v>
          </cell>
          <cell r="T13">
            <v>1294</v>
          </cell>
          <cell r="U13">
            <v>34888</v>
          </cell>
          <cell r="W13">
            <v>1338</v>
          </cell>
          <cell r="X13">
            <v>38882.25</v>
          </cell>
          <cell r="Z13">
            <v>0</v>
          </cell>
          <cell r="AA13">
            <v>0</v>
          </cell>
        </row>
        <row r="14">
          <cell r="E14">
            <v>695314</v>
          </cell>
          <cell r="F14">
            <v>12292123.18</v>
          </cell>
          <cell r="H14">
            <v>396093</v>
          </cell>
          <cell r="I14">
            <v>5267999.629999999</v>
          </cell>
          <cell r="K14">
            <v>78186</v>
          </cell>
          <cell r="L14">
            <v>1761987.9</v>
          </cell>
          <cell r="N14">
            <v>112751</v>
          </cell>
          <cell r="O14">
            <v>2317362.9499999997</v>
          </cell>
          <cell r="Q14">
            <v>2806</v>
          </cell>
          <cell r="R14">
            <v>77938.75</v>
          </cell>
          <cell r="T14">
            <v>100172</v>
          </cell>
          <cell r="U14">
            <v>2717172.95</v>
          </cell>
          <cell r="W14">
            <v>5306</v>
          </cell>
          <cell r="X14">
            <v>149661</v>
          </cell>
          <cell r="Z14">
            <v>0</v>
          </cell>
          <cell r="AA14">
            <v>0</v>
          </cell>
        </row>
        <row r="15">
          <cell r="E15">
            <v>82638</v>
          </cell>
          <cell r="F15">
            <v>1312647.04</v>
          </cell>
          <cell r="H15">
            <v>58891</v>
          </cell>
          <cell r="I15">
            <v>784196.69000000006</v>
          </cell>
          <cell r="K15">
            <v>7700</v>
          </cell>
          <cell r="L15">
            <v>163910.25</v>
          </cell>
          <cell r="N15">
            <v>10205</v>
          </cell>
          <cell r="O15">
            <v>209106.25</v>
          </cell>
          <cell r="Q15">
            <v>277</v>
          </cell>
          <cell r="R15">
            <v>7320.5</v>
          </cell>
          <cell r="T15">
            <v>4037</v>
          </cell>
          <cell r="U15">
            <v>110249.5</v>
          </cell>
          <cell r="W15">
            <v>1528</v>
          </cell>
          <cell r="X15">
            <v>37863.85</v>
          </cell>
          <cell r="Z15">
            <v>0</v>
          </cell>
          <cell r="AA15">
            <v>0</v>
          </cell>
        </row>
        <row r="16">
          <cell r="E16">
            <v>110994</v>
          </cell>
          <cell r="F16">
            <v>1808625.9899999998</v>
          </cell>
          <cell r="H16">
            <v>71583</v>
          </cell>
          <cell r="I16">
            <v>909579.58999999985</v>
          </cell>
          <cell r="K16">
            <v>12338</v>
          </cell>
          <cell r="L16">
            <v>263602.15000000002</v>
          </cell>
          <cell r="N16">
            <v>14628</v>
          </cell>
          <cell r="O16">
            <v>295622.15000000002</v>
          </cell>
          <cell r="Q16">
            <v>553</v>
          </cell>
          <cell r="R16">
            <v>14815</v>
          </cell>
          <cell r="T16">
            <v>9963</v>
          </cell>
          <cell r="U16">
            <v>271984.59999999998</v>
          </cell>
          <cell r="W16">
            <v>1929</v>
          </cell>
          <cell r="X16">
            <v>53022.5</v>
          </cell>
          <cell r="Z16">
            <v>0</v>
          </cell>
          <cell r="AA16">
            <v>0</v>
          </cell>
        </row>
        <row r="17">
          <cell r="E17">
            <v>206628</v>
          </cell>
          <cell r="F17">
            <v>3680546.38</v>
          </cell>
          <cell r="H17">
            <v>116106</v>
          </cell>
          <cell r="I17">
            <v>1605450.28</v>
          </cell>
          <cell r="K17">
            <v>21740</v>
          </cell>
          <cell r="L17">
            <v>465914.6</v>
          </cell>
          <cell r="N17">
            <v>40581</v>
          </cell>
          <cell r="O17">
            <v>863035.4</v>
          </cell>
          <cell r="Q17">
            <v>729</v>
          </cell>
          <cell r="R17">
            <v>18367.5</v>
          </cell>
          <cell r="T17">
            <v>26556</v>
          </cell>
          <cell r="U17">
            <v>705055.6</v>
          </cell>
          <cell r="W17">
            <v>916</v>
          </cell>
          <cell r="X17">
            <v>22723</v>
          </cell>
          <cell r="Z17">
            <v>0</v>
          </cell>
          <cell r="AA17">
            <v>0</v>
          </cell>
        </row>
        <row r="18">
          <cell r="E18">
            <v>85822</v>
          </cell>
          <cell r="F18">
            <v>1407033.93</v>
          </cell>
          <cell r="H18">
            <v>58029</v>
          </cell>
          <cell r="I18">
            <v>754865.03</v>
          </cell>
          <cell r="K18">
            <v>9322</v>
          </cell>
          <cell r="L18">
            <v>212745.85</v>
          </cell>
          <cell r="N18">
            <v>11445</v>
          </cell>
          <cell r="O18">
            <v>244734.05000000002</v>
          </cell>
          <cell r="Q18">
            <v>1680</v>
          </cell>
          <cell r="R18">
            <v>46260.25</v>
          </cell>
          <cell r="T18">
            <v>4224</v>
          </cell>
          <cell r="U18">
            <v>118993</v>
          </cell>
          <cell r="W18">
            <v>1122</v>
          </cell>
          <cell r="X18">
            <v>29435.75</v>
          </cell>
          <cell r="Z18">
            <v>0</v>
          </cell>
          <cell r="AA18">
            <v>0</v>
          </cell>
        </row>
        <row r="19">
          <cell r="E19">
            <v>55718</v>
          </cell>
          <cell r="F19">
            <v>931403.31</v>
          </cell>
          <cell r="H19">
            <v>33350</v>
          </cell>
          <cell r="I19">
            <v>438093.91000000003</v>
          </cell>
          <cell r="K19">
            <v>8785</v>
          </cell>
          <cell r="L19">
            <v>188177.34999999998</v>
          </cell>
          <cell r="N19">
            <v>9203</v>
          </cell>
          <cell r="O19">
            <v>187184.55</v>
          </cell>
          <cell r="Q19">
            <v>936</v>
          </cell>
          <cell r="R19">
            <v>24461</v>
          </cell>
          <cell r="T19">
            <v>2388</v>
          </cell>
          <cell r="U19">
            <v>65299</v>
          </cell>
          <cell r="W19">
            <v>1056</v>
          </cell>
          <cell r="X19">
            <v>28187.5</v>
          </cell>
          <cell r="Z19">
            <v>0</v>
          </cell>
          <cell r="AA19">
            <v>0</v>
          </cell>
        </row>
        <row r="20">
          <cell r="E20">
            <v>281242</v>
          </cell>
          <cell r="F20">
            <v>5126343.1400000006</v>
          </cell>
          <cell r="H20">
            <v>144555</v>
          </cell>
          <cell r="I20">
            <v>1941683.1900000002</v>
          </cell>
          <cell r="K20">
            <v>41176</v>
          </cell>
          <cell r="L20">
            <v>912577.1</v>
          </cell>
          <cell r="N20">
            <v>44065</v>
          </cell>
          <cell r="O20">
            <v>901053.85</v>
          </cell>
          <cell r="Q20">
            <v>1407</v>
          </cell>
          <cell r="R20">
            <v>37113</v>
          </cell>
          <cell r="T20">
            <v>47154</v>
          </cell>
          <cell r="U20">
            <v>1258694.25</v>
          </cell>
          <cell r="W20">
            <v>2885</v>
          </cell>
          <cell r="X20">
            <v>75221.75</v>
          </cell>
          <cell r="Z20">
            <v>0</v>
          </cell>
          <cell r="AA20">
            <v>0</v>
          </cell>
        </row>
        <row r="21">
          <cell r="E21">
            <v>70313</v>
          </cell>
          <cell r="F21">
            <v>1291795.2999999998</v>
          </cell>
          <cell r="H21">
            <v>33305</v>
          </cell>
          <cell r="I21">
            <v>439981.2</v>
          </cell>
          <cell r="K21">
            <v>11368</v>
          </cell>
          <cell r="L21">
            <v>244953.74999999997</v>
          </cell>
          <cell r="N21">
            <v>16589</v>
          </cell>
          <cell r="O21">
            <v>365074.85</v>
          </cell>
          <cell r="Q21">
            <v>414</v>
          </cell>
          <cell r="R21">
            <v>11000.5</v>
          </cell>
          <cell r="T21">
            <v>7817</v>
          </cell>
          <cell r="U21">
            <v>208834</v>
          </cell>
          <cell r="W21">
            <v>820</v>
          </cell>
          <cell r="X21">
            <v>21951</v>
          </cell>
          <cell r="Z21">
            <v>0</v>
          </cell>
          <cell r="AA21">
            <v>0</v>
          </cell>
        </row>
        <row r="22">
          <cell r="E22">
            <v>364125</v>
          </cell>
          <cell r="F22">
            <v>6335389.1699999999</v>
          </cell>
          <cell r="H22">
            <v>217634</v>
          </cell>
          <cell r="I22">
            <v>2889273.5199999996</v>
          </cell>
          <cell r="K22">
            <v>50366</v>
          </cell>
          <cell r="L22">
            <v>1149297.4500000002</v>
          </cell>
          <cell r="N22">
            <v>47438</v>
          </cell>
          <cell r="O22">
            <v>968300.25000000012</v>
          </cell>
          <cell r="Q22">
            <v>1778</v>
          </cell>
          <cell r="R22">
            <v>49097.25</v>
          </cell>
          <cell r="T22">
            <v>38033</v>
          </cell>
          <cell r="U22">
            <v>1029980.95</v>
          </cell>
          <cell r="W22">
            <v>8876</v>
          </cell>
          <cell r="X22">
            <v>249439.75</v>
          </cell>
          <cell r="Z22">
            <v>0</v>
          </cell>
          <cell r="AA22">
            <v>0</v>
          </cell>
        </row>
        <row r="23">
          <cell r="E23">
            <v>78229</v>
          </cell>
          <cell r="F23">
            <v>1366141.9900000002</v>
          </cell>
          <cell r="H23">
            <v>41251</v>
          </cell>
          <cell r="I23">
            <v>506661.86000000004</v>
          </cell>
          <cell r="K23">
            <v>9740</v>
          </cell>
          <cell r="L23">
            <v>222319.25</v>
          </cell>
          <cell r="N23">
            <v>16307</v>
          </cell>
          <cell r="O23">
            <v>340102.88</v>
          </cell>
          <cell r="Q23">
            <v>699</v>
          </cell>
          <cell r="R23">
            <v>17477.5</v>
          </cell>
          <cell r="T23">
            <v>8976</v>
          </cell>
          <cell r="U23">
            <v>245007</v>
          </cell>
          <cell r="W23">
            <v>1256</v>
          </cell>
          <cell r="X23">
            <v>34573.5</v>
          </cell>
          <cell r="Z23">
            <v>0</v>
          </cell>
          <cell r="AA23">
            <v>0</v>
          </cell>
        </row>
        <row r="24">
          <cell r="E24">
            <v>610353</v>
          </cell>
          <cell r="F24">
            <v>11619230.9</v>
          </cell>
          <cell r="H24">
            <v>306804</v>
          </cell>
          <cell r="I24">
            <v>4383685.05</v>
          </cell>
          <cell r="K24">
            <v>84512</v>
          </cell>
          <cell r="L24">
            <v>1879516.1</v>
          </cell>
          <cell r="N24">
            <v>110112</v>
          </cell>
          <cell r="O24">
            <v>2338890</v>
          </cell>
          <cell r="Q24">
            <v>1878</v>
          </cell>
          <cell r="R24">
            <v>50200.25</v>
          </cell>
          <cell r="T24">
            <v>102716</v>
          </cell>
          <cell r="U24">
            <v>2848552.75</v>
          </cell>
          <cell r="W24">
            <v>4331</v>
          </cell>
          <cell r="X24">
            <v>118386.75</v>
          </cell>
          <cell r="Z24">
            <v>0</v>
          </cell>
          <cell r="AA24">
            <v>0</v>
          </cell>
        </row>
        <row r="25">
          <cell r="E25">
            <v>97013</v>
          </cell>
          <cell r="F25">
            <v>1540031.3</v>
          </cell>
          <cell r="H25">
            <v>69051</v>
          </cell>
          <cell r="I25">
            <v>911809.65</v>
          </cell>
          <cell r="K25">
            <v>4505</v>
          </cell>
          <cell r="L25">
            <v>95646.399999999994</v>
          </cell>
          <cell r="N25">
            <v>15332</v>
          </cell>
          <cell r="O25">
            <v>316917.45</v>
          </cell>
          <cell r="Q25">
            <v>366</v>
          </cell>
          <cell r="R25">
            <v>9849.5</v>
          </cell>
          <cell r="T25">
            <v>6638</v>
          </cell>
          <cell r="U25">
            <v>172798.3</v>
          </cell>
          <cell r="W25">
            <v>1121</v>
          </cell>
          <cell r="X25">
            <v>33010</v>
          </cell>
          <cell r="Z25">
            <v>0</v>
          </cell>
          <cell r="AA25">
            <v>0</v>
          </cell>
        </row>
        <row r="26">
          <cell r="E26">
            <v>40236</v>
          </cell>
          <cell r="F26">
            <v>727796</v>
          </cell>
          <cell r="H26">
            <v>18710</v>
          </cell>
          <cell r="I26">
            <v>257080.19999999998</v>
          </cell>
          <cell r="K26">
            <v>8058</v>
          </cell>
          <cell r="L26">
            <v>172372.84999999998</v>
          </cell>
          <cell r="N26">
            <v>9198</v>
          </cell>
          <cell r="O26">
            <v>185976.7</v>
          </cell>
          <cell r="Q26">
            <v>396</v>
          </cell>
          <cell r="R26">
            <v>10112.5</v>
          </cell>
          <cell r="T26">
            <v>3831</v>
          </cell>
          <cell r="U26">
            <v>101269.75</v>
          </cell>
          <cell r="W26">
            <v>43</v>
          </cell>
          <cell r="X26">
            <v>984</v>
          </cell>
          <cell r="Z26">
            <v>0</v>
          </cell>
          <cell r="AA26">
            <v>0</v>
          </cell>
        </row>
        <row r="27">
          <cell r="E27">
            <v>64052</v>
          </cell>
          <cell r="F27">
            <v>1131822.69</v>
          </cell>
          <cell r="H27">
            <v>37455</v>
          </cell>
          <cell r="I27">
            <v>511514.89</v>
          </cell>
          <cell r="K27">
            <v>4300</v>
          </cell>
          <cell r="L27">
            <v>90833.8</v>
          </cell>
          <cell r="N27">
            <v>9547</v>
          </cell>
          <cell r="O27">
            <v>189591.3</v>
          </cell>
          <cell r="Q27">
            <v>483</v>
          </cell>
          <cell r="R27">
            <v>12765.75</v>
          </cell>
          <cell r="T27">
            <v>11988</v>
          </cell>
          <cell r="U27">
            <v>320082.95</v>
          </cell>
          <cell r="W27">
            <v>279</v>
          </cell>
          <cell r="X27">
            <v>7034</v>
          </cell>
          <cell r="Z27">
            <v>0</v>
          </cell>
          <cell r="AA27">
            <v>0</v>
          </cell>
        </row>
        <row r="28">
          <cell r="E28">
            <v>319716</v>
          </cell>
          <cell r="F28">
            <v>5792041.4700000007</v>
          </cell>
          <cell r="H28">
            <v>173552</v>
          </cell>
          <cell r="I28">
            <v>2424856.4200000004</v>
          </cell>
          <cell r="K28">
            <v>36525</v>
          </cell>
          <cell r="L28">
            <v>785269.10000000009</v>
          </cell>
          <cell r="N28">
            <v>61294</v>
          </cell>
          <cell r="O28">
            <v>1271107.8500000001</v>
          </cell>
          <cell r="Q28">
            <v>1344</v>
          </cell>
          <cell r="R28">
            <v>33697.75</v>
          </cell>
          <cell r="T28">
            <v>45662</v>
          </cell>
          <cell r="U28">
            <v>1240580.3500000001</v>
          </cell>
          <cell r="W28">
            <v>1339</v>
          </cell>
          <cell r="X28">
            <v>36530</v>
          </cell>
          <cell r="Z28">
            <v>0</v>
          </cell>
          <cell r="AA28">
            <v>0</v>
          </cell>
        </row>
        <row r="29">
          <cell r="E29">
            <v>46471</v>
          </cell>
          <cell r="F29">
            <v>789635.12</v>
          </cell>
          <cell r="H29">
            <v>26340</v>
          </cell>
          <cell r="I29">
            <v>343249.67</v>
          </cell>
          <cell r="K29">
            <v>4006</v>
          </cell>
          <cell r="L29">
            <v>83923.45</v>
          </cell>
          <cell r="N29">
            <v>10764</v>
          </cell>
          <cell r="O29">
            <v>217682</v>
          </cell>
          <cell r="Q29">
            <v>300</v>
          </cell>
          <cell r="R29">
            <v>8077</v>
          </cell>
          <cell r="T29">
            <v>4298</v>
          </cell>
          <cell r="U29">
            <v>115315.5</v>
          </cell>
          <cell r="W29">
            <v>763</v>
          </cell>
          <cell r="X29">
            <v>21387.5</v>
          </cell>
          <cell r="Z29">
            <v>0</v>
          </cell>
          <cell r="AA29">
            <v>0</v>
          </cell>
        </row>
      </sheetData>
      <sheetData sheetId="7">
        <row r="3">
          <cell r="E3">
            <v>2776377</v>
          </cell>
          <cell r="F3">
            <v>56127193.780000001</v>
          </cell>
          <cell r="H3">
            <v>1298425</v>
          </cell>
          <cell r="I3">
            <v>18918423.379999999</v>
          </cell>
          <cell r="K3">
            <v>165259</v>
          </cell>
          <cell r="L3">
            <v>3654231.2</v>
          </cell>
          <cell r="N3">
            <v>535415</v>
          </cell>
          <cell r="O3">
            <v>11835289.85</v>
          </cell>
          <cell r="Q3">
            <v>24424</v>
          </cell>
          <cell r="R3">
            <v>701185.75</v>
          </cell>
          <cell r="T3">
            <v>724008</v>
          </cell>
          <cell r="U3">
            <v>20333641.600000001</v>
          </cell>
          <cell r="W3">
            <v>12208</v>
          </cell>
          <cell r="X3">
            <v>335922</v>
          </cell>
          <cell r="Z3">
            <v>16638</v>
          </cell>
          <cell r="AA3">
            <v>348500</v>
          </cell>
        </row>
        <row r="4">
          <cell r="E4">
            <v>48888</v>
          </cell>
          <cell r="F4">
            <v>802341.42999999993</v>
          </cell>
          <cell r="H4">
            <v>31570</v>
          </cell>
          <cell r="I4">
            <v>426045.13</v>
          </cell>
          <cell r="K4">
            <v>5004</v>
          </cell>
          <cell r="L4">
            <v>105187.1</v>
          </cell>
          <cell r="N4">
            <v>7832</v>
          </cell>
          <cell r="O4">
            <v>159598.95000000001</v>
          </cell>
          <cell r="Q4">
            <v>156</v>
          </cell>
          <cell r="R4">
            <v>3440</v>
          </cell>
          <cell r="T4">
            <v>4026</v>
          </cell>
          <cell r="U4">
            <v>99798.75</v>
          </cell>
          <cell r="W4">
            <v>300</v>
          </cell>
          <cell r="X4">
            <v>8271.5</v>
          </cell>
          <cell r="Z4">
            <v>0</v>
          </cell>
          <cell r="AA4">
            <v>0</v>
          </cell>
        </row>
        <row r="5">
          <cell r="E5">
            <v>236612</v>
          </cell>
          <cell r="F5">
            <v>3808095.96</v>
          </cell>
          <cell r="H5">
            <v>177067</v>
          </cell>
          <cell r="I5">
            <v>2405330.91</v>
          </cell>
          <cell r="K5">
            <v>4645</v>
          </cell>
          <cell r="L5">
            <v>99771.5</v>
          </cell>
          <cell r="N5">
            <v>30190</v>
          </cell>
          <cell r="O5">
            <v>620995.1</v>
          </cell>
          <cell r="Q5">
            <v>382</v>
          </cell>
          <cell r="R5">
            <v>9785.5</v>
          </cell>
          <cell r="T5">
            <v>20667</v>
          </cell>
          <cell r="U5">
            <v>568009.94999999995</v>
          </cell>
          <cell r="W5">
            <v>3661</v>
          </cell>
          <cell r="X5">
            <v>104203</v>
          </cell>
          <cell r="Z5">
            <v>0</v>
          </cell>
          <cell r="AA5">
            <v>0</v>
          </cell>
        </row>
        <row r="6">
          <cell r="E6">
            <v>417435</v>
          </cell>
          <cell r="F6">
            <v>7497133.3399999999</v>
          </cell>
          <cell r="H6">
            <v>245901</v>
          </cell>
          <cell r="I6">
            <v>3292342.3699999996</v>
          </cell>
          <cell r="K6">
            <v>75375</v>
          </cell>
          <cell r="L6">
            <v>1743945.59</v>
          </cell>
          <cell r="N6">
            <v>37906</v>
          </cell>
          <cell r="O6">
            <v>818267.88</v>
          </cell>
          <cell r="Q6">
            <v>9347</v>
          </cell>
          <cell r="R6">
            <v>270055.75</v>
          </cell>
          <cell r="T6">
            <v>47094</v>
          </cell>
          <cell r="U6">
            <v>1326214.5</v>
          </cell>
          <cell r="W6">
            <v>1358</v>
          </cell>
          <cell r="X6">
            <v>39497.25</v>
          </cell>
          <cell r="Z6">
            <v>454</v>
          </cell>
          <cell r="AA6">
            <v>6810</v>
          </cell>
        </row>
        <row r="7">
          <cell r="E7">
            <v>110499</v>
          </cell>
          <cell r="F7">
            <v>2101165.17</v>
          </cell>
          <cell r="H7">
            <v>43078</v>
          </cell>
          <cell r="I7">
            <v>601710.02</v>
          </cell>
          <cell r="K7">
            <v>28738</v>
          </cell>
          <cell r="L7">
            <v>622833.35</v>
          </cell>
          <cell r="N7">
            <v>30279</v>
          </cell>
          <cell r="O7">
            <v>647095.15</v>
          </cell>
          <cell r="Q7">
            <v>1108</v>
          </cell>
          <cell r="R7">
            <v>28837.75</v>
          </cell>
          <cell r="T7">
            <v>7230</v>
          </cell>
          <cell r="U7">
            <v>198888.9</v>
          </cell>
          <cell r="W7">
            <v>66</v>
          </cell>
          <cell r="X7">
            <v>1800</v>
          </cell>
          <cell r="Z7">
            <v>0</v>
          </cell>
          <cell r="AA7">
            <v>0</v>
          </cell>
        </row>
        <row r="8">
          <cell r="E8">
            <v>95365</v>
          </cell>
          <cell r="F8">
            <v>1806018.59</v>
          </cell>
          <cell r="H8">
            <v>39012</v>
          </cell>
          <cell r="I8">
            <v>516060.54</v>
          </cell>
          <cell r="K8">
            <v>18085</v>
          </cell>
          <cell r="L8">
            <v>393298</v>
          </cell>
          <cell r="N8">
            <v>25611</v>
          </cell>
          <cell r="O8">
            <v>556452.55000000005</v>
          </cell>
          <cell r="Q8">
            <v>677</v>
          </cell>
          <cell r="R8">
            <v>17181.5</v>
          </cell>
          <cell r="T8">
            <v>9874</v>
          </cell>
          <cell r="U8">
            <v>263674</v>
          </cell>
          <cell r="W8">
            <v>2106</v>
          </cell>
          <cell r="X8">
            <v>59352</v>
          </cell>
          <cell r="Z8">
            <v>0</v>
          </cell>
          <cell r="AA8">
            <v>0</v>
          </cell>
        </row>
        <row r="9">
          <cell r="E9">
            <v>69354</v>
          </cell>
          <cell r="F9">
            <v>1192587.47</v>
          </cell>
          <cell r="H9">
            <v>42986</v>
          </cell>
          <cell r="I9">
            <v>592931.81999999995</v>
          </cell>
          <cell r="K9">
            <v>3648</v>
          </cell>
          <cell r="L9">
            <v>77586.350000000006</v>
          </cell>
          <cell r="N9">
            <v>15421</v>
          </cell>
          <cell r="O9">
            <v>328858.25</v>
          </cell>
          <cell r="Q9">
            <v>159</v>
          </cell>
          <cell r="R9">
            <v>4746</v>
          </cell>
          <cell r="T9">
            <v>7049</v>
          </cell>
          <cell r="U9">
            <v>186057.05</v>
          </cell>
          <cell r="W9">
            <v>91</v>
          </cell>
          <cell r="X9">
            <v>2408</v>
          </cell>
          <cell r="Z9">
            <v>0</v>
          </cell>
          <cell r="AA9">
            <v>0</v>
          </cell>
        </row>
        <row r="10">
          <cell r="E10">
            <v>131649</v>
          </cell>
          <cell r="F10">
            <v>2439181.41</v>
          </cell>
          <cell r="H10">
            <v>66555</v>
          </cell>
          <cell r="I10">
            <v>954707.91</v>
          </cell>
          <cell r="K10">
            <v>21384</v>
          </cell>
          <cell r="L10">
            <v>453543.65</v>
          </cell>
          <cell r="N10">
            <v>21807</v>
          </cell>
          <cell r="O10">
            <v>450601.60000000003</v>
          </cell>
          <cell r="Q10">
            <v>389</v>
          </cell>
          <cell r="R10">
            <v>9358.5</v>
          </cell>
          <cell r="T10">
            <v>19195</v>
          </cell>
          <cell r="U10">
            <v>505141.5</v>
          </cell>
          <cell r="W10">
            <v>2319</v>
          </cell>
          <cell r="X10">
            <v>65828.25</v>
          </cell>
          <cell r="Z10">
            <v>0</v>
          </cell>
          <cell r="AA10">
            <v>0</v>
          </cell>
        </row>
        <row r="11">
          <cell r="E11">
            <v>87227</v>
          </cell>
          <cell r="F11">
            <v>1485057.95</v>
          </cell>
          <cell r="H11">
            <v>52760</v>
          </cell>
          <cell r="I11">
            <v>706708.04999999993</v>
          </cell>
          <cell r="K11">
            <v>9096</v>
          </cell>
          <cell r="L11">
            <v>192143.1</v>
          </cell>
          <cell r="N11">
            <v>13720</v>
          </cell>
          <cell r="O11">
            <v>274685.3</v>
          </cell>
          <cell r="Q11">
            <v>227</v>
          </cell>
          <cell r="R11">
            <v>5988</v>
          </cell>
          <cell r="T11">
            <v>8261</v>
          </cell>
          <cell r="U11">
            <v>216712.75</v>
          </cell>
          <cell r="W11">
            <v>3163</v>
          </cell>
          <cell r="X11">
            <v>88820.75</v>
          </cell>
          <cell r="Z11">
            <v>0</v>
          </cell>
          <cell r="AA11">
            <v>0</v>
          </cell>
        </row>
        <row r="12">
          <cell r="E12">
            <v>273803</v>
          </cell>
          <cell r="F12">
            <v>4852849.41</v>
          </cell>
          <cell r="H12">
            <v>162904</v>
          </cell>
          <cell r="I12">
            <v>2214266.56</v>
          </cell>
          <cell r="K12">
            <v>25003</v>
          </cell>
          <cell r="L12">
            <v>536351.4</v>
          </cell>
          <cell r="N12">
            <v>46452</v>
          </cell>
          <cell r="O12">
            <v>993680.95</v>
          </cell>
          <cell r="Q12">
            <v>2524</v>
          </cell>
          <cell r="R12">
            <v>69607</v>
          </cell>
          <cell r="T12">
            <v>35041</v>
          </cell>
          <cell r="U12">
            <v>988865.5</v>
          </cell>
          <cell r="W12">
            <v>1879</v>
          </cell>
          <cell r="X12">
            <v>50078</v>
          </cell>
          <cell r="Z12">
            <v>0</v>
          </cell>
          <cell r="AA12">
            <v>0</v>
          </cell>
        </row>
        <row r="13">
          <cell r="E13">
            <v>15461</v>
          </cell>
          <cell r="F13">
            <v>282807.34999999998</v>
          </cell>
          <cell r="H13">
            <v>8011</v>
          </cell>
          <cell r="I13">
            <v>103467.19999999998</v>
          </cell>
          <cell r="K13">
            <v>2143</v>
          </cell>
          <cell r="L13">
            <v>45578.15</v>
          </cell>
          <cell r="N13">
            <v>3064</v>
          </cell>
          <cell r="O13">
            <v>68733.75</v>
          </cell>
          <cell r="Q13">
            <v>232</v>
          </cell>
          <cell r="R13">
            <v>6033</v>
          </cell>
          <cell r="T13">
            <v>727</v>
          </cell>
          <cell r="U13">
            <v>21758</v>
          </cell>
          <cell r="W13">
            <v>1284</v>
          </cell>
          <cell r="X13">
            <v>37237.25</v>
          </cell>
          <cell r="Z13">
            <v>0</v>
          </cell>
          <cell r="AA13">
            <v>0</v>
          </cell>
        </row>
        <row r="14">
          <cell r="E14">
            <v>686732</v>
          </cell>
          <cell r="F14">
            <v>12059454.169999998</v>
          </cell>
          <cell r="H14">
            <v>401370</v>
          </cell>
          <cell r="I14">
            <v>5348764.919999999</v>
          </cell>
          <cell r="K14">
            <v>74142</v>
          </cell>
          <cell r="L14">
            <v>1670969.1</v>
          </cell>
          <cell r="N14">
            <v>108433</v>
          </cell>
          <cell r="O14">
            <v>2234421.4500000002</v>
          </cell>
          <cell r="Q14">
            <v>3132</v>
          </cell>
          <cell r="R14">
            <v>86719</v>
          </cell>
          <cell r="T14">
            <v>94278</v>
          </cell>
          <cell r="U14">
            <v>2566155.4500000002</v>
          </cell>
          <cell r="W14">
            <v>5377</v>
          </cell>
          <cell r="X14">
            <v>152424.25</v>
          </cell>
          <cell r="Z14">
            <v>0</v>
          </cell>
          <cell r="AA14">
            <v>0</v>
          </cell>
        </row>
        <row r="15">
          <cell r="E15">
            <v>84425</v>
          </cell>
          <cell r="F15">
            <v>1337353.0999999999</v>
          </cell>
          <cell r="H15">
            <v>60681</v>
          </cell>
          <cell r="I15">
            <v>805995.95</v>
          </cell>
          <cell r="K15">
            <v>7477</v>
          </cell>
          <cell r="L15">
            <v>159223.35</v>
          </cell>
          <cell r="N15">
            <v>9863</v>
          </cell>
          <cell r="O15">
            <v>201138.8</v>
          </cell>
          <cell r="Q15">
            <v>263</v>
          </cell>
          <cell r="R15">
            <v>6871</v>
          </cell>
          <cell r="T15">
            <v>4514</v>
          </cell>
          <cell r="U15">
            <v>122491.5</v>
          </cell>
          <cell r="W15">
            <v>1627</v>
          </cell>
          <cell r="X15">
            <v>41632.5</v>
          </cell>
          <cell r="Z15">
            <v>0</v>
          </cell>
          <cell r="AA15">
            <v>0</v>
          </cell>
        </row>
        <row r="16">
          <cell r="E16">
            <v>114631</v>
          </cell>
          <cell r="F16">
            <v>1856185.88</v>
          </cell>
          <cell r="H16">
            <v>75466</v>
          </cell>
          <cell r="I16">
            <v>968848.03</v>
          </cell>
          <cell r="K16">
            <v>12791</v>
          </cell>
          <cell r="L16">
            <v>272952.44999999995</v>
          </cell>
          <cell r="N16">
            <v>14553</v>
          </cell>
          <cell r="O16">
            <v>289683.39999999997</v>
          </cell>
          <cell r="Q16">
            <v>619</v>
          </cell>
          <cell r="R16">
            <v>16156</v>
          </cell>
          <cell r="T16">
            <v>9102</v>
          </cell>
          <cell r="U16">
            <v>249885</v>
          </cell>
          <cell r="W16">
            <v>2100</v>
          </cell>
          <cell r="X16">
            <v>58661</v>
          </cell>
          <cell r="Z16">
            <v>0</v>
          </cell>
          <cell r="AA16">
            <v>0</v>
          </cell>
        </row>
        <row r="17">
          <cell r="E17">
            <v>196222</v>
          </cell>
          <cell r="F17">
            <v>3468834.83</v>
          </cell>
          <cell r="H17">
            <v>111558</v>
          </cell>
          <cell r="I17">
            <v>1521235.03</v>
          </cell>
          <cell r="K17">
            <v>20433</v>
          </cell>
          <cell r="L17">
            <v>437056.49999999994</v>
          </cell>
          <cell r="N17">
            <v>38784</v>
          </cell>
          <cell r="O17">
            <v>838009.3</v>
          </cell>
          <cell r="Q17">
            <v>984</v>
          </cell>
          <cell r="R17">
            <v>25874.5</v>
          </cell>
          <cell r="T17">
            <v>23547</v>
          </cell>
          <cell r="U17">
            <v>623887.5</v>
          </cell>
          <cell r="W17">
            <v>916</v>
          </cell>
          <cell r="X17">
            <v>22772</v>
          </cell>
          <cell r="Z17">
            <v>0</v>
          </cell>
          <cell r="AA17">
            <v>0</v>
          </cell>
        </row>
        <row r="18">
          <cell r="E18">
            <v>88520</v>
          </cell>
          <cell r="F18">
            <v>1454755.5499999998</v>
          </cell>
          <cell r="H18">
            <v>60640</v>
          </cell>
          <cell r="I18">
            <v>793065.35</v>
          </cell>
          <cell r="K18">
            <v>8715</v>
          </cell>
          <cell r="L18">
            <v>200762.34999999998</v>
          </cell>
          <cell r="N18">
            <v>11166</v>
          </cell>
          <cell r="O18">
            <v>236922.84999999998</v>
          </cell>
          <cell r="Q18">
            <v>2507</v>
          </cell>
          <cell r="R18">
            <v>70961.5</v>
          </cell>
          <cell r="T18">
            <v>4328</v>
          </cell>
          <cell r="U18">
            <v>121847.75</v>
          </cell>
          <cell r="W18">
            <v>1164</v>
          </cell>
          <cell r="X18">
            <v>31195.75</v>
          </cell>
          <cell r="Z18">
            <v>0</v>
          </cell>
          <cell r="AA18">
            <v>0</v>
          </cell>
        </row>
        <row r="19">
          <cell r="E19">
            <v>55941</v>
          </cell>
          <cell r="F19">
            <v>936109.54999999993</v>
          </cell>
          <cell r="H19">
            <v>33220</v>
          </cell>
          <cell r="I19">
            <v>434405.45</v>
          </cell>
          <cell r="K19">
            <v>9274</v>
          </cell>
          <cell r="L19">
            <v>198979.75</v>
          </cell>
          <cell r="N19">
            <v>8957</v>
          </cell>
          <cell r="O19">
            <v>180897.85</v>
          </cell>
          <cell r="Q19">
            <v>1083</v>
          </cell>
          <cell r="R19">
            <v>28805</v>
          </cell>
          <cell r="T19">
            <v>2470</v>
          </cell>
          <cell r="U19">
            <v>68435.25</v>
          </cell>
          <cell r="W19">
            <v>937</v>
          </cell>
          <cell r="X19">
            <v>24586.25</v>
          </cell>
          <cell r="Z19">
            <v>0</v>
          </cell>
          <cell r="AA19">
            <v>0</v>
          </cell>
        </row>
        <row r="20">
          <cell r="E20">
            <v>276433</v>
          </cell>
          <cell r="F20">
            <v>5011068.32</v>
          </cell>
          <cell r="H20">
            <v>144077</v>
          </cell>
          <cell r="I20">
            <v>1927846.92</v>
          </cell>
          <cell r="K20">
            <v>39643</v>
          </cell>
          <cell r="L20">
            <v>877499.85</v>
          </cell>
          <cell r="N20">
            <v>42513</v>
          </cell>
          <cell r="O20">
            <v>869038.75</v>
          </cell>
          <cell r="Q20">
            <v>1068</v>
          </cell>
          <cell r="R20">
            <v>27117.25</v>
          </cell>
          <cell r="T20">
            <v>46190</v>
          </cell>
          <cell r="U20">
            <v>1233463.3</v>
          </cell>
          <cell r="W20">
            <v>2942</v>
          </cell>
          <cell r="X20">
            <v>76102.25</v>
          </cell>
          <cell r="Z20">
            <v>0</v>
          </cell>
          <cell r="AA20">
            <v>0</v>
          </cell>
        </row>
        <row r="21">
          <cell r="E21">
            <v>73816</v>
          </cell>
          <cell r="F21">
            <v>1348884.85</v>
          </cell>
          <cell r="H21">
            <v>36282</v>
          </cell>
          <cell r="I21">
            <v>489470.5500000001</v>
          </cell>
          <cell r="K21">
            <v>11674</v>
          </cell>
          <cell r="L21">
            <v>250589.40000000002</v>
          </cell>
          <cell r="N21">
            <v>16764</v>
          </cell>
          <cell r="O21">
            <v>366303.14999999997</v>
          </cell>
          <cell r="Q21">
            <v>431</v>
          </cell>
          <cell r="R21">
            <v>11231.5</v>
          </cell>
          <cell r="T21">
            <v>7911</v>
          </cell>
          <cell r="U21">
            <v>211894.25</v>
          </cell>
          <cell r="W21">
            <v>754</v>
          </cell>
          <cell r="X21">
            <v>19396</v>
          </cell>
          <cell r="Z21">
            <v>0</v>
          </cell>
          <cell r="AA21">
            <v>0</v>
          </cell>
        </row>
        <row r="22">
          <cell r="E22">
            <v>362633</v>
          </cell>
          <cell r="F22">
            <v>6268158.2000000002</v>
          </cell>
          <cell r="H22">
            <v>221340</v>
          </cell>
          <cell r="I22">
            <v>2930813.1999999997</v>
          </cell>
          <cell r="K22">
            <v>46801</v>
          </cell>
          <cell r="L22">
            <v>1070141.3999999999</v>
          </cell>
          <cell r="N22">
            <v>46041</v>
          </cell>
          <cell r="O22">
            <v>940522.14999999991</v>
          </cell>
          <cell r="Q22">
            <v>1700</v>
          </cell>
          <cell r="R22">
            <v>46756.75</v>
          </cell>
          <cell r="T22">
            <v>37026</v>
          </cell>
          <cell r="U22">
            <v>1006987.95</v>
          </cell>
          <cell r="W22">
            <v>9725</v>
          </cell>
          <cell r="X22">
            <v>272936.75</v>
          </cell>
          <cell r="Z22">
            <v>0</v>
          </cell>
          <cell r="AA22">
            <v>0</v>
          </cell>
        </row>
        <row r="23">
          <cell r="E23">
            <v>79880</v>
          </cell>
          <cell r="F23">
            <v>1374925.81</v>
          </cell>
          <cell r="H23">
            <v>43828</v>
          </cell>
          <cell r="I23">
            <v>541611.08000000007</v>
          </cell>
          <cell r="K23">
            <v>10680</v>
          </cell>
          <cell r="L23">
            <v>244971.85000000003</v>
          </cell>
          <cell r="N23">
            <v>15386</v>
          </cell>
          <cell r="O23">
            <v>317823.88</v>
          </cell>
          <cell r="Q23">
            <v>734</v>
          </cell>
          <cell r="R23">
            <v>18633.5</v>
          </cell>
          <cell r="T23">
            <v>8106</v>
          </cell>
          <cell r="U23">
            <v>220439.25</v>
          </cell>
          <cell r="W23">
            <v>1146</v>
          </cell>
          <cell r="X23">
            <v>31446.25</v>
          </cell>
          <cell r="Z23">
            <v>0</v>
          </cell>
          <cell r="AA23">
            <v>0</v>
          </cell>
        </row>
        <row r="24">
          <cell r="E24">
            <v>580678</v>
          </cell>
          <cell r="F24">
            <v>10935810.83</v>
          </cell>
          <cell r="H24">
            <v>296906</v>
          </cell>
          <cell r="I24">
            <v>4175541.92</v>
          </cell>
          <cell r="K24">
            <v>79771</v>
          </cell>
          <cell r="L24">
            <v>1774768.8</v>
          </cell>
          <cell r="N24">
            <v>101975</v>
          </cell>
          <cell r="O24">
            <v>2152584.21</v>
          </cell>
          <cell r="Q24">
            <v>2070</v>
          </cell>
          <cell r="R24">
            <v>55218.5</v>
          </cell>
          <cell r="T24">
            <v>96206</v>
          </cell>
          <cell r="U24">
            <v>2674845.4</v>
          </cell>
          <cell r="W24">
            <v>3750</v>
          </cell>
          <cell r="X24">
            <v>102852</v>
          </cell>
          <cell r="Z24">
            <v>0</v>
          </cell>
          <cell r="AA24">
            <v>0</v>
          </cell>
        </row>
        <row r="25">
          <cell r="E25">
            <v>96647</v>
          </cell>
          <cell r="F25">
            <v>1530855.5</v>
          </cell>
          <cell r="H25">
            <v>67408</v>
          </cell>
          <cell r="I25">
            <v>875218.95</v>
          </cell>
          <cell r="K25">
            <v>5968</v>
          </cell>
          <cell r="L25">
            <v>127493.8</v>
          </cell>
          <cell r="N25">
            <v>15480</v>
          </cell>
          <cell r="O25">
            <v>322102.5</v>
          </cell>
          <cell r="Q25">
            <v>462</v>
          </cell>
          <cell r="R25">
            <v>12652.5</v>
          </cell>
          <cell r="T25">
            <v>6219</v>
          </cell>
          <cell r="U25">
            <v>161124.5</v>
          </cell>
          <cell r="W25">
            <v>1110</v>
          </cell>
          <cell r="X25">
            <v>32263.25</v>
          </cell>
          <cell r="Z25">
            <v>0</v>
          </cell>
          <cell r="AA25">
            <v>0</v>
          </cell>
        </row>
        <row r="26">
          <cell r="E26">
            <v>39859</v>
          </cell>
          <cell r="F26">
            <v>717538.45000000007</v>
          </cell>
          <cell r="H26">
            <v>19099</v>
          </cell>
          <cell r="I26">
            <v>262401.40000000002</v>
          </cell>
          <cell r="K26">
            <v>7771</v>
          </cell>
          <cell r="L26">
            <v>166569</v>
          </cell>
          <cell r="N26">
            <v>8874</v>
          </cell>
          <cell r="O26">
            <v>178885.05000000002</v>
          </cell>
          <cell r="Q26">
            <v>422</v>
          </cell>
          <cell r="R26">
            <v>10762.5</v>
          </cell>
          <cell r="T26">
            <v>3643</v>
          </cell>
          <cell r="U26">
            <v>97894.5</v>
          </cell>
          <cell r="W26">
            <v>50</v>
          </cell>
          <cell r="X26">
            <v>1026</v>
          </cell>
          <cell r="Z26">
            <v>0</v>
          </cell>
          <cell r="AA26">
            <v>0</v>
          </cell>
        </row>
        <row r="27">
          <cell r="E27">
            <v>59655</v>
          </cell>
          <cell r="F27">
            <v>1022274.5</v>
          </cell>
          <cell r="H27">
            <v>36454</v>
          </cell>
          <cell r="I27">
            <v>492215.85000000003</v>
          </cell>
          <cell r="K27">
            <v>4166</v>
          </cell>
          <cell r="L27">
            <v>88237.4</v>
          </cell>
          <cell r="N27">
            <v>8874</v>
          </cell>
          <cell r="O27">
            <v>175263</v>
          </cell>
          <cell r="Q27">
            <v>355</v>
          </cell>
          <cell r="R27">
            <v>8935.5</v>
          </cell>
          <cell r="T27">
            <v>9528</v>
          </cell>
          <cell r="U27">
            <v>250499.25</v>
          </cell>
          <cell r="W27">
            <v>278</v>
          </cell>
          <cell r="X27">
            <v>7123.5</v>
          </cell>
          <cell r="Z27">
            <v>0</v>
          </cell>
          <cell r="AA27">
            <v>0</v>
          </cell>
        </row>
        <row r="28">
          <cell r="E28">
            <v>298680</v>
          </cell>
          <cell r="F28">
            <v>5343809.120000001</v>
          </cell>
          <cell r="H28">
            <v>165402</v>
          </cell>
          <cell r="I28">
            <v>2276168.12</v>
          </cell>
          <cell r="K28">
            <v>34214</v>
          </cell>
          <cell r="L28">
            <v>736196.5</v>
          </cell>
          <cell r="N28">
            <v>55843</v>
          </cell>
          <cell r="O28">
            <v>1158675.4000000001</v>
          </cell>
          <cell r="Q28">
            <v>1397</v>
          </cell>
          <cell r="R28">
            <v>35937.75</v>
          </cell>
          <cell r="T28">
            <v>40534</v>
          </cell>
          <cell r="U28">
            <v>1101769.1000000001</v>
          </cell>
          <cell r="W28">
            <v>1290</v>
          </cell>
          <cell r="X28">
            <v>35062.25</v>
          </cell>
          <cell r="Z28">
            <v>0</v>
          </cell>
          <cell r="AA28">
            <v>0</v>
          </cell>
        </row>
        <row r="29">
          <cell r="E29">
            <v>49768</v>
          </cell>
          <cell r="F29">
            <v>847092.47</v>
          </cell>
          <cell r="H29">
            <v>29044</v>
          </cell>
          <cell r="I29">
            <v>385780.07</v>
          </cell>
          <cell r="K29">
            <v>3917</v>
          </cell>
          <cell r="L29">
            <v>81684.75</v>
          </cell>
          <cell r="N29">
            <v>10901</v>
          </cell>
          <cell r="O29">
            <v>219225.60000000001</v>
          </cell>
          <cell r="Q29">
            <v>386</v>
          </cell>
          <cell r="R29">
            <v>9828</v>
          </cell>
          <cell r="T29">
            <v>4835</v>
          </cell>
          <cell r="U29">
            <v>131073.29999999999</v>
          </cell>
          <cell r="W29">
            <v>685</v>
          </cell>
          <cell r="X29">
            <v>19500.75</v>
          </cell>
          <cell r="Z29">
            <v>0</v>
          </cell>
          <cell r="AA29">
            <v>0</v>
          </cell>
        </row>
      </sheetData>
      <sheetData sheetId="8">
        <row r="3">
          <cell r="E3">
            <v>3241452</v>
          </cell>
          <cell r="F3">
            <v>65971525.660000004</v>
          </cell>
          <cell r="H3">
            <v>1560891</v>
          </cell>
          <cell r="I3">
            <v>23665630.609999999</v>
          </cell>
          <cell r="K3">
            <v>197769</v>
          </cell>
          <cell r="L3">
            <v>4370814.3</v>
          </cell>
          <cell r="N3">
            <v>614490</v>
          </cell>
          <cell r="O3">
            <v>13677725.100000001</v>
          </cell>
          <cell r="Q3">
            <v>32032</v>
          </cell>
          <cell r="R3">
            <v>920468.75</v>
          </cell>
          <cell r="T3">
            <v>805697</v>
          </cell>
          <cell r="U3">
            <v>22600398.649999999</v>
          </cell>
          <cell r="W3">
            <v>14129</v>
          </cell>
          <cell r="X3">
            <v>387988.25</v>
          </cell>
          <cell r="Z3">
            <v>16444</v>
          </cell>
          <cell r="AA3">
            <v>348500</v>
          </cell>
        </row>
        <row r="4">
          <cell r="E4">
            <v>60405</v>
          </cell>
          <cell r="F4">
            <v>1019656.0499999999</v>
          </cell>
          <cell r="H4">
            <v>39119</v>
          </cell>
          <cell r="I4">
            <v>554946.04999999993</v>
          </cell>
          <cell r="K4">
            <v>6133</v>
          </cell>
          <cell r="L4">
            <v>129611.25</v>
          </cell>
          <cell r="N4">
            <v>9742</v>
          </cell>
          <cell r="O4">
            <v>198992.5</v>
          </cell>
          <cell r="Q4">
            <v>192</v>
          </cell>
          <cell r="R4">
            <v>4796</v>
          </cell>
          <cell r="T4">
            <v>4791</v>
          </cell>
          <cell r="U4">
            <v>119422.25</v>
          </cell>
          <cell r="W4">
            <v>428</v>
          </cell>
          <cell r="X4">
            <v>11888</v>
          </cell>
          <cell r="Z4">
            <v>0</v>
          </cell>
          <cell r="AA4">
            <v>0</v>
          </cell>
        </row>
        <row r="5">
          <cell r="E5">
            <v>284107</v>
          </cell>
          <cell r="F5">
            <v>4691990.38</v>
          </cell>
          <cell r="H5">
            <v>213542</v>
          </cell>
          <cell r="I5">
            <v>3030710.33</v>
          </cell>
          <cell r="K5">
            <v>4948</v>
          </cell>
          <cell r="L5">
            <v>105374.45000000001</v>
          </cell>
          <cell r="N5">
            <v>34443</v>
          </cell>
          <cell r="O5">
            <v>697927.65</v>
          </cell>
          <cell r="Q5">
            <v>413</v>
          </cell>
          <cell r="R5">
            <v>10353.75</v>
          </cell>
          <cell r="T5">
            <v>26784</v>
          </cell>
          <cell r="U5">
            <v>734394.2</v>
          </cell>
          <cell r="W5">
            <v>3977</v>
          </cell>
          <cell r="X5">
            <v>113230</v>
          </cell>
          <cell r="Z5">
            <v>0</v>
          </cell>
          <cell r="AA5">
            <v>0</v>
          </cell>
        </row>
        <row r="6">
          <cell r="E6">
            <v>486731</v>
          </cell>
          <cell r="F6">
            <v>8889733.879999999</v>
          </cell>
          <cell r="H6">
            <v>283454</v>
          </cell>
          <cell r="I6">
            <v>3921257.6799999997</v>
          </cell>
          <cell r="K6">
            <v>94582</v>
          </cell>
          <cell r="L6">
            <v>2184282.65</v>
          </cell>
          <cell r="N6">
            <v>41729</v>
          </cell>
          <cell r="O6">
            <v>897691.3</v>
          </cell>
          <cell r="Q6">
            <v>13822</v>
          </cell>
          <cell r="R6">
            <v>400159.25</v>
          </cell>
          <cell r="T6">
            <v>51778</v>
          </cell>
          <cell r="U6">
            <v>1454034.75</v>
          </cell>
          <cell r="W6">
            <v>838</v>
          </cell>
          <cell r="X6">
            <v>24388.25</v>
          </cell>
          <cell r="Z6">
            <v>528</v>
          </cell>
          <cell r="AA6">
            <v>7920</v>
          </cell>
        </row>
        <row r="7">
          <cell r="E7">
            <v>127131</v>
          </cell>
          <cell r="F7">
            <v>2434802</v>
          </cell>
          <cell r="H7">
            <v>50552</v>
          </cell>
          <cell r="I7">
            <v>726973</v>
          </cell>
          <cell r="K7">
            <v>33292</v>
          </cell>
          <cell r="L7">
            <v>723177.10000000009</v>
          </cell>
          <cell r="N7">
            <v>33746</v>
          </cell>
          <cell r="O7">
            <v>724075.4</v>
          </cell>
          <cell r="Q7">
            <v>1574</v>
          </cell>
          <cell r="R7">
            <v>42047.5</v>
          </cell>
          <cell r="T7">
            <v>7877</v>
          </cell>
          <cell r="U7">
            <v>216471</v>
          </cell>
          <cell r="W7">
            <v>90</v>
          </cell>
          <cell r="X7">
            <v>2058</v>
          </cell>
          <cell r="Z7">
            <v>0</v>
          </cell>
          <cell r="AA7">
            <v>0</v>
          </cell>
        </row>
        <row r="8">
          <cell r="E8">
            <v>104498</v>
          </cell>
          <cell r="F8">
            <v>1986036.83</v>
          </cell>
          <cell r="H8">
            <v>42619</v>
          </cell>
          <cell r="I8">
            <v>572309.88000000012</v>
          </cell>
          <cell r="K8">
            <v>19989</v>
          </cell>
          <cell r="L8">
            <v>434338.94999999995</v>
          </cell>
          <cell r="N8">
            <v>28755</v>
          </cell>
          <cell r="O8">
            <v>626540.25</v>
          </cell>
          <cell r="Q8">
            <v>853</v>
          </cell>
          <cell r="R8">
            <v>22163</v>
          </cell>
          <cell r="T8">
            <v>9885</v>
          </cell>
          <cell r="U8">
            <v>262842</v>
          </cell>
          <cell r="W8">
            <v>2397</v>
          </cell>
          <cell r="X8">
            <v>67842.75</v>
          </cell>
          <cell r="Z8">
            <v>0</v>
          </cell>
          <cell r="AA8">
            <v>0</v>
          </cell>
        </row>
        <row r="9">
          <cell r="E9">
            <v>80805</v>
          </cell>
          <cell r="F9">
            <v>1396153.19</v>
          </cell>
          <cell r="H9">
            <v>51963</v>
          </cell>
          <cell r="I9">
            <v>746783.74000000011</v>
          </cell>
          <cell r="K9">
            <v>4093</v>
          </cell>
          <cell r="L9">
            <v>86836.200000000012</v>
          </cell>
          <cell r="N9">
            <v>16668</v>
          </cell>
          <cell r="O9">
            <v>352078.1</v>
          </cell>
          <cell r="Q9">
            <v>350</v>
          </cell>
          <cell r="R9">
            <v>9119.5</v>
          </cell>
          <cell r="T9">
            <v>7620</v>
          </cell>
          <cell r="U9">
            <v>198403.15</v>
          </cell>
          <cell r="W9">
            <v>111</v>
          </cell>
          <cell r="X9">
            <v>2932.5</v>
          </cell>
          <cell r="Z9">
            <v>0</v>
          </cell>
          <cell r="AA9">
            <v>0</v>
          </cell>
        </row>
        <row r="10">
          <cell r="E10">
            <v>158148</v>
          </cell>
          <cell r="F10">
            <v>2966502.77</v>
          </cell>
          <cell r="H10">
            <v>81074</v>
          </cell>
          <cell r="I10">
            <v>1207194.97</v>
          </cell>
          <cell r="K10">
            <v>25608</v>
          </cell>
          <cell r="L10">
            <v>543691.25</v>
          </cell>
          <cell r="N10">
            <v>25681</v>
          </cell>
          <cell r="O10">
            <v>531943.80000000005</v>
          </cell>
          <cell r="Q10">
            <v>510</v>
          </cell>
          <cell r="R10">
            <v>12792.5</v>
          </cell>
          <cell r="T10">
            <v>21940</v>
          </cell>
          <cell r="U10">
            <v>575087</v>
          </cell>
          <cell r="W10">
            <v>3335</v>
          </cell>
          <cell r="X10">
            <v>95793.25</v>
          </cell>
          <cell r="Z10">
            <v>0</v>
          </cell>
          <cell r="AA10">
            <v>0</v>
          </cell>
        </row>
        <row r="11">
          <cell r="E11">
            <v>105654</v>
          </cell>
          <cell r="F11">
            <v>1826202.89</v>
          </cell>
          <cell r="H11">
            <v>65554</v>
          </cell>
          <cell r="I11">
            <v>921674.39</v>
          </cell>
          <cell r="K11">
            <v>10796</v>
          </cell>
          <cell r="L11">
            <v>228517.80000000002</v>
          </cell>
          <cell r="N11">
            <v>15817</v>
          </cell>
          <cell r="O11">
            <v>316343.95</v>
          </cell>
          <cell r="Q11">
            <v>237</v>
          </cell>
          <cell r="R11">
            <v>5908</v>
          </cell>
          <cell r="T11">
            <v>9745</v>
          </cell>
          <cell r="U11">
            <v>255210.25</v>
          </cell>
          <cell r="W11">
            <v>3505</v>
          </cell>
          <cell r="X11">
            <v>98548.5</v>
          </cell>
          <cell r="Z11">
            <v>0</v>
          </cell>
          <cell r="AA11">
            <v>0</v>
          </cell>
        </row>
        <row r="12">
          <cell r="E12">
            <v>315016</v>
          </cell>
          <cell r="F12">
            <v>5677957.8099999996</v>
          </cell>
          <cell r="H12">
            <v>188732</v>
          </cell>
          <cell r="I12">
            <v>2664420.36</v>
          </cell>
          <cell r="K12">
            <v>29466</v>
          </cell>
          <cell r="L12">
            <v>633890.19999999995</v>
          </cell>
          <cell r="N12">
            <v>50901</v>
          </cell>
          <cell r="O12">
            <v>1091103.75</v>
          </cell>
          <cell r="Q12">
            <v>2707</v>
          </cell>
          <cell r="R12">
            <v>74438.5</v>
          </cell>
          <cell r="T12">
            <v>40866</v>
          </cell>
          <cell r="U12">
            <v>1150206.75</v>
          </cell>
          <cell r="W12">
            <v>2344</v>
          </cell>
          <cell r="X12">
            <v>63898.25</v>
          </cell>
          <cell r="Z12">
            <v>0</v>
          </cell>
          <cell r="AA12">
            <v>0</v>
          </cell>
        </row>
        <row r="13">
          <cell r="E13">
            <v>21389</v>
          </cell>
          <cell r="F13">
            <v>393431.7</v>
          </cell>
          <cell r="H13">
            <v>11475</v>
          </cell>
          <cell r="I13">
            <v>162388.65000000002</v>
          </cell>
          <cell r="K13">
            <v>2625</v>
          </cell>
          <cell r="L13">
            <v>56003.4</v>
          </cell>
          <cell r="N13">
            <v>4289</v>
          </cell>
          <cell r="O13">
            <v>90402.9</v>
          </cell>
          <cell r="Q13">
            <v>223</v>
          </cell>
          <cell r="R13">
            <v>5636.75</v>
          </cell>
          <cell r="T13">
            <v>937</v>
          </cell>
          <cell r="U13">
            <v>25477</v>
          </cell>
          <cell r="W13">
            <v>1840</v>
          </cell>
          <cell r="X13">
            <v>53523</v>
          </cell>
          <cell r="Z13">
            <v>0</v>
          </cell>
          <cell r="AA13">
            <v>0</v>
          </cell>
        </row>
        <row r="14">
          <cell r="E14">
            <v>784602</v>
          </cell>
          <cell r="F14">
            <v>13985800.029999999</v>
          </cell>
          <cell r="H14">
            <v>461109</v>
          </cell>
          <cell r="I14">
            <v>6362585.9799999986</v>
          </cell>
          <cell r="K14">
            <v>81735</v>
          </cell>
          <cell r="L14">
            <v>1845716.6</v>
          </cell>
          <cell r="N14">
            <v>120636</v>
          </cell>
          <cell r="O14">
            <v>2474963.5499999998</v>
          </cell>
          <cell r="Q14">
            <v>3620</v>
          </cell>
          <cell r="R14">
            <v>100247</v>
          </cell>
          <cell r="T14">
            <v>109825</v>
          </cell>
          <cell r="U14">
            <v>2983228.4</v>
          </cell>
          <cell r="W14">
            <v>7677</v>
          </cell>
          <cell r="X14">
            <v>219058.5</v>
          </cell>
          <cell r="Z14">
            <v>0</v>
          </cell>
          <cell r="AA14">
            <v>0</v>
          </cell>
        </row>
        <row r="15">
          <cell r="E15">
            <v>95588</v>
          </cell>
          <cell r="F15">
            <v>1544401.7100000002</v>
          </cell>
          <cell r="H15">
            <v>68304</v>
          </cell>
          <cell r="I15">
            <v>933294.01</v>
          </cell>
          <cell r="K15">
            <v>8880</v>
          </cell>
          <cell r="L15">
            <v>189273.35</v>
          </cell>
          <cell r="N15">
            <v>11186</v>
          </cell>
          <cell r="O15">
            <v>228367.1</v>
          </cell>
          <cell r="Q15">
            <v>354</v>
          </cell>
          <cell r="R15">
            <v>9190</v>
          </cell>
          <cell r="T15">
            <v>5108</v>
          </cell>
          <cell r="U15">
            <v>138777.75</v>
          </cell>
          <cell r="W15">
            <v>1756</v>
          </cell>
          <cell r="X15">
            <v>45499.5</v>
          </cell>
          <cell r="Z15">
            <v>0</v>
          </cell>
          <cell r="AA15">
            <v>0</v>
          </cell>
        </row>
        <row r="16">
          <cell r="E16">
            <v>133511</v>
          </cell>
          <cell r="F16">
            <v>2205028.2199999997</v>
          </cell>
          <cell r="H16">
            <v>87579</v>
          </cell>
          <cell r="I16">
            <v>1162743.97</v>
          </cell>
          <cell r="K16">
            <v>14157</v>
          </cell>
          <cell r="L16">
            <v>301675.30000000005</v>
          </cell>
          <cell r="N16">
            <v>16910</v>
          </cell>
          <cell r="O16">
            <v>334270.89999999997</v>
          </cell>
          <cell r="Q16">
            <v>779</v>
          </cell>
          <cell r="R16">
            <v>20018.75</v>
          </cell>
          <cell r="T16">
            <v>11512</v>
          </cell>
          <cell r="U16">
            <v>313665.55</v>
          </cell>
          <cell r="W16">
            <v>2574</v>
          </cell>
          <cell r="X16">
            <v>72653.75</v>
          </cell>
          <cell r="Z16">
            <v>0</v>
          </cell>
          <cell r="AA16">
            <v>0</v>
          </cell>
        </row>
        <row r="17">
          <cell r="E17">
            <v>232956</v>
          </cell>
          <cell r="F17">
            <v>4184393.13</v>
          </cell>
          <cell r="H17">
            <v>134850</v>
          </cell>
          <cell r="I17">
            <v>1932344.43</v>
          </cell>
          <cell r="K17">
            <v>22822</v>
          </cell>
          <cell r="L17">
            <v>488522.25</v>
          </cell>
          <cell r="N17">
            <v>44914</v>
          </cell>
          <cell r="O17">
            <v>967983.95000000007</v>
          </cell>
          <cell r="Q17">
            <v>1512</v>
          </cell>
          <cell r="R17">
            <v>41144</v>
          </cell>
          <cell r="T17">
            <v>27771</v>
          </cell>
          <cell r="U17">
            <v>726936.25</v>
          </cell>
          <cell r="W17">
            <v>1087</v>
          </cell>
          <cell r="X17">
            <v>27462.25</v>
          </cell>
          <cell r="Z17">
            <v>0</v>
          </cell>
          <cell r="AA17">
            <v>0</v>
          </cell>
        </row>
        <row r="18">
          <cell r="E18">
            <v>108764</v>
          </cell>
          <cell r="F18">
            <v>1851065.2000000002</v>
          </cell>
          <cell r="H18">
            <v>73601</v>
          </cell>
          <cell r="I18">
            <v>1017734.35</v>
          </cell>
          <cell r="K18">
            <v>11423</v>
          </cell>
          <cell r="L18">
            <v>260960.2</v>
          </cell>
          <cell r="N18">
            <v>13179</v>
          </cell>
          <cell r="O18">
            <v>278520.90000000002</v>
          </cell>
          <cell r="Q18">
            <v>3432</v>
          </cell>
          <cell r="R18">
            <v>97562.5</v>
          </cell>
          <cell r="T18">
            <v>5697</v>
          </cell>
          <cell r="U18">
            <v>157660.25</v>
          </cell>
          <cell r="W18">
            <v>1432</v>
          </cell>
          <cell r="X18">
            <v>38627</v>
          </cell>
          <cell r="Z18">
            <v>0</v>
          </cell>
          <cell r="AA18">
            <v>0</v>
          </cell>
        </row>
        <row r="19">
          <cell r="E19">
            <v>65275</v>
          </cell>
          <cell r="F19">
            <v>1110480.4099999999</v>
          </cell>
          <cell r="H19">
            <v>39440</v>
          </cell>
          <cell r="I19">
            <v>538250.36</v>
          </cell>
          <cell r="K19">
            <v>10088</v>
          </cell>
          <cell r="L19">
            <v>216108.05</v>
          </cell>
          <cell r="N19">
            <v>10294</v>
          </cell>
          <cell r="O19">
            <v>208659.75</v>
          </cell>
          <cell r="Q19">
            <v>1496</v>
          </cell>
          <cell r="R19">
            <v>40842.5</v>
          </cell>
          <cell r="T19">
            <v>2871</v>
          </cell>
          <cell r="U19">
            <v>77775.25</v>
          </cell>
          <cell r="W19">
            <v>1086</v>
          </cell>
          <cell r="X19">
            <v>28844.5</v>
          </cell>
          <cell r="Z19">
            <v>0</v>
          </cell>
          <cell r="AA19">
            <v>0</v>
          </cell>
        </row>
        <row r="20">
          <cell r="E20">
            <v>324350</v>
          </cell>
          <cell r="F20">
            <v>5951401.5200000005</v>
          </cell>
          <cell r="H20">
            <v>172716</v>
          </cell>
          <cell r="I20">
            <v>2426294.6200000006</v>
          </cell>
          <cell r="K20">
            <v>46367</v>
          </cell>
          <cell r="L20">
            <v>1025681.2500000001</v>
          </cell>
          <cell r="N20">
            <v>48670</v>
          </cell>
          <cell r="O20">
            <v>992893.4</v>
          </cell>
          <cell r="Q20">
            <v>1552</v>
          </cell>
          <cell r="R20">
            <v>41410.25</v>
          </cell>
          <cell r="T20">
            <v>51492</v>
          </cell>
          <cell r="U20">
            <v>1372386.5</v>
          </cell>
          <cell r="W20">
            <v>3553</v>
          </cell>
          <cell r="X20">
            <v>92735.5</v>
          </cell>
          <cell r="Z20">
            <v>0</v>
          </cell>
          <cell r="AA20">
            <v>0</v>
          </cell>
        </row>
        <row r="21">
          <cell r="E21">
            <v>83832</v>
          </cell>
          <cell r="F21">
            <v>1524053.3</v>
          </cell>
          <cell r="H21">
            <v>42325</v>
          </cell>
          <cell r="I21">
            <v>584038.60000000009</v>
          </cell>
          <cell r="K21">
            <v>11873</v>
          </cell>
          <cell r="L21">
            <v>254198.84999999998</v>
          </cell>
          <cell r="N21">
            <v>19126</v>
          </cell>
          <cell r="O21">
            <v>406710.1</v>
          </cell>
          <cell r="Q21">
            <v>550</v>
          </cell>
          <cell r="R21">
            <v>14440</v>
          </cell>
          <cell r="T21">
            <v>9061</v>
          </cell>
          <cell r="U21">
            <v>241059.75</v>
          </cell>
          <cell r="W21">
            <v>897</v>
          </cell>
          <cell r="X21">
            <v>23606</v>
          </cell>
          <cell r="Z21">
            <v>0</v>
          </cell>
          <cell r="AA21">
            <v>0</v>
          </cell>
        </row>
        <row r="22">
          <cell r="E22">
            <v>442531</v>
          </cell>
          <cell r="F22">
            <v>7818404.4199999999</v>
          </cell>
          <cell r="H22">
            <v>272847</v>
          </cell>
          <cell r="I22">
            <v>3807098.6399999997</v>
          </cell>
          <cell r="K22">
            <v>56889</v>
          </cell>
          <cell r="L22">
            <v>1299667.96</v>
          </cell>
          <cell r="N22">
            <v>53817</v>
          </cell>
          <cell r="O22">
            <v>1097886.07</v>
          </cell>
          <cell r="Q22">
            <v>2577</v>
          </cell>
          <cell r="R22">
            <v>71814.25</v>
          </cell>
          <cell r="T22">
            <v>43301</v>
          </cell>
          <cell r="U22">
            <v>1172410.75</v>
          </cell>
          <cell r="W22">
            <v>13100</v>
          </cell>
          <cell r="X22">
            <v>369526.75</v>
          </cell>
          <cell r="Z22">
            <v>0</v>
          </cell>
          <cell r="AA22">
            <v>0</v>
          </cell>
        </row>
        <row r="23">
          <cell r="E23">
            <v>93714</v>
          </cell>
          <cell r="F23">
            <v>1626118.47</v>
          </cell>
          <cell r="H23">
            <v>52054</v>
          </cell>
          <cell r="I23">
            <v>673417.02</v>
          </cell>
          <cell r="K23">
            <v>11622</v>
          </cell>
          <cell r="L23">
            <v>265998</v>
          </cell>
          <cell r="N23">
            <v>17983</v>
          </cell>
          <cell r="O23">
            <v>365300.05000000005</v>
          </cell>
          <cell r="Q23">
            <v>1001</v>
          </cell>
          <cell r="R23">
            <v>26670.5</v>
          </cell>
          <cell r="T23">
            <v>9814</v>
          </cell>
          <cell r="U23">
            <v>260657.15</v>
          </cell>
          <cell r="W23">
            <v>1240</v>
          </cell>
          <cell r="X23">
            <v>34075.75</v>
          </cell>
          <cell r="Z23">
            <v>0</v>
          </cell>
          <cell r="AA23">
            <v>0</v>
          </cell>
        </row>
        <row r="24">
          <cell r="E24">
            <v>662035</v>
          </cell>
          <cell r="F24">
            <v>12547110.119999999</v>
          </cell>
          <cell r="H24">
            <v>342157</v>
          </cell>
          <cell r="I24">
            <v>4971327.87</v>
          </cell>
          <cell r="K24">
            <v>92215</v>
          </cell>
          <cell r="L24">
            <v>2053730.2999999998</v>
          </cell>
          <cell r="N24">
            <v>115572</v>
          </cell>
          <cell r="O24">
            <v>2423221.6</v>
          </cell>
          <cell r="Q24">
            <v>2541</v>
          </cell>
          <cell r="R24">
            <v>68321.5</v>
          </cell>
          <cell r="T24">
            <v>104799</v>
          </cell>
          <cell r="U24">
            <v>2898764.35</v>
          </cell>
          <cell r="W24">
            <v>4751</v>
          </cell>
          <cell r="X24">
            <v>131744.5</v>
          </cell>
          <cell r="Z24">
            <v>0</v>
          </cell>
          <cell r="AA24">
            <v>0</v>
          </cell>
        </row>
        <row r="25">
          <cell r="E25">
            <v>106472</v>
          </cell>
          <cell r="F25">
            <v>1691361.8300000003</v>
          </cell>
          <cell r="H25">
            <v>77242</v>
          </cell>
          <cell r="I25">
            <v>1037508.8800000001</v>
          </cell>
          <cell r="K25">
            <v>5345</v>
          </cell>
          <cell r="L25">
            <v>113429.6</v>
          </cell>
          <cell r="N25">
            <v>15861</v>
          </cell>
          <cell r="O25">
            <v>326798.60000000003</v>
          </cell>
          <cell r="Q25">
            <v>557</v>
          </cell>
          <cell r="R25">
            <v>15348.25</v>
          </cell>
          <cell r="T25">
            <v>6362</v>
          </cell>
          <cell r="U25">
            <v>166461.5</v>
          </cell>
          <cell r="W25">
            <v>1105</v>
          </cell>
          <cell r="X25">
            <v>31815</v>
          </cell>
          <cell r="Z25">
            <v>0</v>
          </cell>
          <cell r="AA25">
            <v>0</v>
          </cell>
        </row>
        <row r="26">
          <cell r="E26">
            <v>45851</v>
          </cell>
          <cell r="F26">
            <v>833973.87999999989</v>
          </cell>
          <cell r="H26">
            <v>21593</v>
          </cell>
          <cell r="I26">
            <v>303113.82999999996</v>
          </cell>
          <cell r="K26">
            <v>8893</v>
          </cell>
          <cell r="L26">
            <v>191413.55</v>
          </cell>
          <cell r="N26">
            <v>10647</v>
          </cell>
          <cell r="O26">
            <v>216804.75</v>
          </cell>
          <cell r="Q26">
            <v>515</v>
          </cell>
          <cell r="R26">
            <v>12936.25</v>
          </cell>
          <cell r="T26">
            <v>4138</v>
          </cell>
          <cell r="U26">
            <v>108301.5</v>
          </cell>
          <cell r="W26">
            <v>65</v>
          </cell>
          <cell r="X26">
            <v>1404</v>
          </cell>
          <cell r="Z26">
            <v>0</v>
          </cell>
          <cell r="AA26">
            <v>0</v>
          </cell>
        </row>
        <row r="27">
          <cell r="E27">
            <v>68949</v>
          </cell>
          <cell r="F27">
            <v>1210404.46</v>
          </cell>
          <cell r="H27">
            <v>41518</v>
          </cell>
          <cell r="I27">
            <v>579543.01</v>
          </cell>
          <cell r="K27">
            <v>5197</v>
          </cell>
          <cell r="L27">
            <v>109589.54999999999</v>
          </cell>
          <cell r="N27">
            <v>9971</v>
          </cell>
          <cell r="O27">
            <v>198763.15</v>
          </cell>
          <cell r="Q27">
            <v>437</v>
          </cell>
          <cell r="R27">
            <v>11174</v>
          </cell>
          <cell r="T27">
            <v>11482</v>
          </cell>
          <cell r="U27">
            <v>302345.75</v>
          </cell>
          <cell r="W27">
            <v>344</v>
          </cell>
          <cell r="X27">
            <v>8989</v>
          </cell>
          <cell r="Z27">
            <v>0</v>
          </cell>
          <cell r="AA27">
            <v>0</v>
          </cell>
        </row>
        <row r="28">
          <cell r="E28">
            <v>345518</v>
          </cell>
          <cell r="F28">
            <v>6254749.54</v>
          </cell>
          <cell r="H28">
            <v>192996</v>
          </cell>
          <cell r="I28">
            <v>2748444.2399999998</v>
          </cell>
          <cell r="K28">
            <v>36487</v>
          </cell>
          <cell r="L28">
            <v>783069.35</v>
          </cell>
          <cell r="N28">
            <v>64693</v>
          </cell>
          <cell r="O28">
            <v>1340084.1499999999</v>
          </cell>
          <cell r="Q28">
            <v>1783</v>
          </cell>
          <cell r="R28">
            <v>47139.5</v>
          </cell>
          <cell r="T28">
            <v>48026</v>
          </cell>
          <cell r="U28">
            <v>1293443.8</v>
          </cell>
          <cell r="W28">
            <v>1533</v>
          </cell>
          <cell r="X28">
            <v>42568.5</v>
          </cell>
          <cell r="Z28">
            <v>0</v>
          </cell>
          <cell r="AA28">
            <v>0</v>
          </cell>
        </row>
        <row r="29">
          <cell r="E29">
            <v>56306</v>
          </cell>
          <cell r="F29">
            <v>966688.29999999993</v>
          </cell>
          <cell r="H29">
            <v>31953</v>
          </cell>
          <cell r="I29">
            <v>427516.49999999994</v>
          </cell>
          <cell r="K29">
            <v>4895</v>
          </cell>
          <cell r="L29">
            <v>102445.4</v>
          </cell>
          <cell r="N29">
            <v>12721</v>
          </cell>
          <cell r="O29">
            <v>254680.90000000002</v>
          </cell>
          <cell r="Q29">
            <v>508</v>
          </cell>
          <cell r="R29">
            <v>12811.5</v>
          </cell>
          <cell r="T29">
            <v>5415</v>
          </cell>
          <cell r="U29">
            <v>146296.5</v>
          </cell>
          <cell r="W29">
            <v>814</v>
          </cell>
          <cell r="X29">
            <v>22937.5</v>
          </cell>
          <cell r="Z29">
            <v>0</v>
          </cell>
          <cell r="AA29">
            <v>0</v>
          </cell>
        </row>
      </sheetData>
      <sheetData sheetId="9">
        <row r="3">
          <cell r="E3">
            <v>3025443</v>
          </cell>
          <cell r="F3">
            <v>61432478.780000009</v>
          </cell>
          <cell r="H3">
            <v>1432792</v>
          </cell>
          <cell r="I3">
            <v>21353477.620000005</v>
          </cell>
          <cell r="K3">
            <v>195762</v>
          </cell>
          <cell r="L3">
            <v>4327258.3499999996</v>
          </cell>
          <cell r="N3">
            <v>579983</v>
          </cell>
          <cell r="O3">
            <v>12879361.960000001</v>
          </cell>
          <cell r="Q3">
            <v>43276</v>
          </cell>
          <cell r="R3">
            <v>1250241</v>
          </cell>
          <cell r="T3">
            <v>745180</v>
          </cell>
          <cell r="U3">
            <v>20930916.600000001</v>
          </cell>
          <cell r="W3">
            <v>12436</v>
          </cell>
          <cell r="X3">
            <v>342723.25</v>
          </cell>
          <cell r="Z3">
            <v>16014</v>
          </cell>
          <cell r="AA3">
            <v>348500</v>
          </cell>
        </row>
        <row r="4">
          <cell r="E4">
            <v>56260</v>
          </cell>
          <cell r="F4">
            <v>937288.84999999986</v>
          </cell>
          <cell r="H4">
            <v>37383</v>
          </cell>
          <cell r="I4">
            <v>524010.84999999992</v>
          </cell>
          <cell r="K4">
            <v>4362</v>
          </cell>
          <cell r="L4">
            <v>91730.75</v>
          </cell>
          <cell r="N4">
            <v>9227</v>
          </cell>
          <cell r="O4">
            <v>186682.25</v>
          </cell>
          <cell r="Q4">
            <v>150</v>
          </cell>
          <cell r="R4">
            <v>3878.25</v>
          </cell>
          <cell r="T4">
            <v>4800</v>
          </cell>
          <cell r="U4">
            <v>121921.5</v>
          </cell>
          <cell r="W4">
            <v>338</v>
          </cell>
          <cell r="X4">
            <v>9065.25</v>
          </cell>
          <cell r="Z4">
            <v>0</v>
          </cell>
          <cell r="AA4">
            <v>0</v>
          </cell>
        </row>
        <row r="5">
          <cell r="E5">
            <v>269442</v>
          </cell>
          <cell r="F5">
            <v>4466039.1399999997</v>
          </cell>
          <cell r="H5">
            <v>198387</v>
          </cell>
          <cell r="I5">
            <v>2766674.44</v>
          </cell>
          <cell r="K5">
            <v>3981</v>
          </cell>
          <cell r="L5">
            <v>84919.8</v>
          </cell>
          <cell r="N5">
            <v>34613</v>
          </cell>
          <cell r="O5">
            <v>707108.45000000007</v>
          </cell>
          <cell r="Q5">
            <v>285</v>
          </cell>
          <cell r="R5">
            <v>6971</v>
          </cell>
          <cell r="T5">
            <v>28516</v>
          </cell>
          <cell r="U5">
            <v>796373.7</v>
          </cell>
          <cell r="W5">
            <v>3660</v>
          </cell>
          <cell r="X5">
            <v>103991.75</v>
          </cell>
          <cell r="Z5">
            <v>0</v>
          </cell>
          <cell r="AA5">
            <v>0</v>
          </cell>
        </row>
        <row r="6">
          <cell r="E6">
            <v>491464</v>
          </cell>
          <cell r="F6">
            <v>8919847.3699999992</v>
          </cell>
          <cell r="H6">
            <v>294402</v>
          </cell>
          <cell r="I6">
            <v>4115394.51</v>
          </cell>
          <cell r="K6">
            <v>87000</v>
          </cell>
          <cell r="L6">
            <v>2009053.05</v>
          </cell>
          <cell r="N6">
            <v>47074</v>
          </cell>
          <cell r="O6">
            <v>1023299.4099999999</v>
          </cell>
          <cell r="Q6">
            <v>9265</v>
          </cell>
          <cell r="R6">
            <v>269085</v>
          </cell>
          <cell r="T6">
            <v>52077</v>
          </cell>
          <cell r="U6">
            <v>1462706.65</v>
          </cell>
          <cell r="W6">
            <v>1123</v>
          </cell>
          <cell r="X6">
            <v>32463.75</v>
          </cell>
          <cell r="Z6">
            <v>523</v>
          </cell>
          <cell r="AA6">
            <v>7845</v>
          </cell>
        </row>
        <row r="7">
          <cell r="E7">
            <v>122624</v>
          </cell>
          <cell r="F7">
            <v>2320777.7300000004</v>
          </cell>
          <cell r="H7">
            <v>49864</v>
          </cell>
          <cell r="I7">
            <v>707502.73</v>
          </cell>
          <cell r="K7">
            <v>31090</v>
          </cell>
          <cell r="L7">
            <v>675954.45000000007</v>
          </cell>
          <cell r="N7">
            <v>32970</v>
          </cell>
          <cell r="O7">
            <v>699420.3</v>
          </cell>
          <cell r="Q7">
            <v>1273</v>
          </cell>
          <cell r="R7">
            <v>33817</v>
          </cell>
          <cell r="T7">
            <v>7329</v>
          </cell>
          <cell r="U7">
            <v>201821.25</v>
          </cell>
          <cell r="W7">
            <v>98</v>
          </cell>
          <cell r="X7">
            <v>2262</v>
          </cell>
          <cell r="Z7">
            <v>0</v>
          </cell>
          <cell r="AA7">
            <v>0</v>
          </cell>
        </row>
        <row r="8">
          <cell r="E8">
            <v>110921</v>
          </cell>
          <cell r="F8">
            <v>2098139.79</v>
          </cell>
          <cell r="H8">
            <v>47302</v>
          </cell>
          <cell r="I8">
            <v>654486.79</v>
          </cell>
          <cell r="K8">
            <v>19669</v>
          </cell>
          <cell r="L8">
            <v>427447.85000000003</v>
          </cell>
          <cell r="N8">
            <v>30939</v>
          </cell>
          <cell r="O8">
            <v>670138.4</v>
          </cell>
          <cell r="Q8">
            <v>852</v>
          </cell>
          <cell r="R8">
            <v>22112.75</v>
          </cell>
          <cell r="T8">
            <v>9918</v>
          </cell>
          <cell r="U8">
            <v>260910.75</v>
          </cell>
          <cell r="W8">
            <v>2241</v>
          </cell>
          <cell r="X8">
            <v>63043.25</v>
          </cell>
          <cell r="Z8">
            <v>0</v>
          </cell>
          <cell r="AA8">
            <v>0</v>
          </cell>
        </row>
        <row r="9">
          <cell r="E9">
            <v>74652</v>
          </cell>
          <cell r="F9">
            <v>1259219.0299999998</v>
          </cell>
          <cell r="H9">
            <v>49556</v>
          </cell>
          <cell r="I9">
            <v>699898.07999999984</v>
          </cell>
          <cell r="K9">
            <v>2470</v>
          </cell>
          <cell r="L9">
            <v>51792.200000000004</v>
          </cell>
          <cell r="N9">
            <v>15594</v>
          </cell>
          <cell r="O9">
            <v>326117.5</v>
          </cell>
          <cell r="Q9">
            <v>204</v>
          </cell>
          <cell r="R9">
            <v>5076</v>
          </cell>
          <cell r="T9">
            <v>6732</v>
          </cell>
          <cell r="U9">
            <v>173956.25</v>
          </cell>
          <cell r="W9">
            <v>96</v>
          </cell>
          <cell r="X9">
            <v>2379</v>
          </cell>
          <cell r="Z9">
            <v>0</v>
          </cell>
          <cell r="AA9">
            <v>0</v>
          </cell>
        </row>
        <row r="10">
          <cell r="E10">
            <v>145790</v>
          </cell>
          <cell r="F10">
            <v>2691914.17</v>
          </cell>
          <cell r="H10">
            <v>76336</v>
          </cell>
          <cell r="I10">
            <v>1116415.22</v>
          </cell>
          <cell r="K10">
            <v>22338</v>
          </cell>
          <cell r="L10">
            <v>473002.85</v>
          </cell>
          <cell r="N10">
            <v>24235</v>
          </cell>
          <cell r="O10">
            <v>498262.85</v>
          </cell>
          <cell r="Q10">
            <v>465</v>
          </cell>
          <cell r="R10">
            <v>11508</v>
          </cell>
          <cell r="T10">
            <v>19132</v>
          </cell>
          <cell r="U10">
            <v>498902.5</v>
          </cell>
          <cell r="W10">
            <v>3284</v>
          </cell>
          <cell r="X10">
            <v>93822.75</v>
          </cell>
          <cell r="Z10">
            <v>0</v>
          </cell>
          <cell r="AA10">
            <v>0</v>
          </cell>
        </row>
        <row r="11">
          <cell r="E11">
            <v>105816</v>
          </cell>
          <cell r="F11">
            <v>1808691.0899999999</v>
          </cell>
          <cell r="H11">
            <v>68322</v>
          </cell>
          <cell r="I11">
            <v>967895.23999999987</v>
          </cell>
          <cell r="K11">
            <v>8640</v>
          </cell>
          <cell r="L11">
            <v>182005</v>
          </cell>
          <cell r="N11">
            <v>15903</v>
          </cell>
          <cell r="O11">
            <v>315924.84999999998</v>
          </cell>
          <cell r="Q11">
            <v>226</v>
          </cell>
          <cell r="R11">
            <v>5612.5</v>
          </cell>
          <cell r="T11">
            <v>8607</v>
          </cell>
          <cell r="U11">
            <v>220566.25</v>
          </cell>
          <cell r="W11">
            <v>4118</v>
          </cell>
          <cell r="X11">
            <v>116687.25</v>
          </cell>
          <cell r="Z11">
            <v>0</v>
          </cell>
          <cell r="AA11">
            <v>0</v>
          </cell>
        </row>
        <row r="12">
          <cell r="E12">
            <v>323894</v>
          </cell>
          <cell r="F12">
            <v>5849786.4199999999</v>
          </cell>
          <cell r="H12">
            <v>193914</v>
          </cell>
          <cell r="I12">
            <v>2749865.1999999997</v>
          </cell>
          <cell r="K12">
            <v>29545</v>
          </cell>
          <cell r="L12">
            <v>636572.69999999995</v>
          </cell>
          <cell r="N12">
            <v>54848</v>
          </cell>
          <cell r="O12">
            <v>1186188.77</v>
          </cell>
          <cell r="Q12">
            <v>2217</v>
          </cell>
          <cell r="R12">
            <v>60688</v>
          </cell>
          <cell r="T12">
            <v>41517</v>
          </cell>
          <cell r="U12">
            <v>1166688.75</v>
          </cell>
          <cell r="W12">
            <v>1853</v>
          </cell>
          <cell r="X12">
            <v>49783</v>
          </cell>
          <cell r="Z12">
            <v>0</v>
          </cell>
          <cell r="AA12">
            <v>0</v>
          </cell>
        </row>
        <row r="13">
          <cell r="E13">
            <v>19013</v>
          </cell>
          <cell r="F13">
            <v>341813.17</v>
          </cell>
          <cell r="H13">
            <v>10364</v>
          </cell>
          <cell r="I13">
            <v>139074.56999999998</v>
          </cell>
          <cell r="K13">
            <v>2292</v>
          </cell>
          <cell r="L13">
            <v>48920.9</v>
          </cell>
          <cell r="N13">
            <v>3803</v>
          </cell>
          <cell r="O13">
            <v>80716.2</v>
          </cell>
          <cell r="Q13">
            <v>179</v>
          </cell>
          <cell r="R13">
            <v>4531</v>
          </cell>
          <cell r="T13">
            <v>854</v>
          </cell>
          <cell r="U13">
            <v>24615.5</v>
          </cell>
          <cell r="W13">
            <v>1521</v>
          </cell>
          <cell r="X13">
            <v>43955</v>
          </cell>
          <cell r="Z13">
            <v>0</v>
          </cell>
          <cell r="AA13">
            <v>0</v>
          </cell>
        </row>
        <row r="14">
          <cell r="E14">
            <v>778541</v>
          </cell>
          <cell r="F14">
            <v>13783800.84</v>
          </cell>
          <cell r="H14">
            <v>466587</v>
          </cell>
          <cell r="I14">
            <v>6463742.3399999999</v>
          </cell>
          <cell r="K14">
            <v>71834</v>
          </cell>
          <cell r="L14">
            <v>1623472.7999999998</v>
          </cell>
          <cell r="N14">
            <v>124881</v>
          </cell>
          <cell r="O14">
            <v>2558539.7000000002</v>
          </cell>
          <cell r="Q14">
            <v>3300</v>
          </cell>
          <cell r="R14">
            <v>90964</v>
          </cell>
          <cell r="T14">
            <v>105352</v>
          </cell>
          <cell r="U14">
            <v>2860072.75</v>
          </cell>
          <cell r="W14">
            <v>6587</v>
          </cell>
          <cell r="X14">
            <v>187009.25</v>
          </cell>
          <cell r="Z14">
            <v>0</v>
          </cell>
          <cell r="AA14">
            <v>0</v>
          </cell>
        </row>
        <row r="15">
          <cell r="E15">
            <v>101292</v>
          </cell>
          <cell r="F15">
            <v>1630150.6400000001</v>
          </cell>
          <cell r="H15">
            <v>75988</v>
          </cell>
          <cell r="I15">
            <v>1065194.0900000001</v>
          </cell>
          <cell r="K15">
            <v>6936</v>
          </cell>
          <cell r="L15">
            <v>147477.79999999999</v>
          </cell>
          <cell r="N15">
            <v>11234</v>
          </cell>
          <cell r="O15">
            <v>227397.7</v>
          </cell>
          <cell r="Q15">
            <v>263</v>
          </cell>
          <cell r="R15">
            <v>6662.5</v>
          </cell>
          <cell r="T15">
            <v>5246</v>
          </cell>
          <cell r="U15">
            <v>142054.29999999999</v>
          </cell>
          <cell r="W15">
            <v>1625</v>
          </cell>
          <cell r="X15">
            <v>41364.25</v>
          </cell>
          <cell r="Z15">
            <v>0</v>
          </cell>
          <cell r="AA15">
            <v>0</v>
          </cell>
        </row>
        <row r="16">
          <cell r="E16">
            <v>139181</v>
          </cell>
          <cell r="F16">
            <v>2290650.7599999998</v>
          </cell>
          <cell r="H16">
            <v>94363</v>
          </cell>
          <cell r="I16">
            <v>1273824.6599999997</v>
          </cell>
          <cell r="K16">
            <v>11604</v>
          </cell>
          <cell r="L16">
            <v>248113.65</v>
          </cell>
          <cell r="N16">
            <v>18217</v>
          </cell>
          <cell r="O16">
            <v>356441.7</v>
          </cell>
          <cell r="Q16">
            <v>509</v>
          </cell>
          <cell r="R16">
            <v>12982.5</v>
          </cell>
          <cell r="T16">
            <v>11106</v>
          </cell>
          <cell r="U16">
            <v>302783.25</v>
          </cell>
          <cell r="W16">
            <v>3382</v>
          </cell>
          <cell r="X16">
            <v>96505</v>
          </cell>
          <cell r="Z16">
            <v>0</v>
          </cell>
          <cell r="AA16">
            <v>0</v>
          </cell>
        </row>
        <row r="17">
          <cell r="E17">
            <v>227577</v>
          </cell>
          <cell r="F17">
            <v>4055157.88</v>
          </cell>
          <cell r="H17">
            <v>133608</v>
          </cell>
          <cell r="I17">
            <v>1906739.0799999998</v>
          </cell>
          <cell r="K17">
            <v>20089</v>
          </cell>
          <cell r="L17">
            <v>430134.14999999997</v>
          </cell>
          <cell r="N17">
            <v>45568</v>
          </cell>
          <cell r="O17">
            <v>977307.20000000007</v>
          </cell>
          <cell r="Q17">
            <v>1074</v>
          </cell>
          <cell r="R17">
            <v>28564.75</v>
          </cell>
          <cell r="T17">
            <v>26232</v>
          </cell>
          <cell r="U17">
            <v>686983.2</v>
          </cell>
          <cell r="W17">
            <v>1006</v>
          </cell>
          <cell r="X17">
            <v>25429.5</v>
          </cell>
          <cell r="Z17">
            <v>0</v>
          </cell>
          <cell r="AA17">
            <v>0</v>
          </cell>
        </row>
        <row r="18">
          <cell r="E18">
            <v>105874</v>
          </cell>
          <cell r="F18">
            <v>1772218.35</v>
          </cell>
          <cell r="H18">
            <v>73382</v>
          </cell>
          <cell r="I18">
            <v>1006345.25</v>
          </cell>
          <cell r="K18">
            <v>9014</v>
          </cell>
          <cell r="L18">
            <v>208573.75</v>
          </cell>
          <cell r="N18">
            <v>13299</v>
          </cell>
          <cell r="O18">
            <v>276770.05</v>
          </cell>
          <cell r="Q18">
            <v>2791</v>
          </cell>
          <cell r="R18">
            <v>78795</v>
          </cell>
          <cell r="T18">
            <v>5964</v>
          </cell>
          <cell r="U18">
            <v>164338.54999999999</v>
          </cell>
          <cell r="W18">
            <v>1424</v>
          </cell>
          <cell r="X18">
            <v>37395.75</v>
          </cell>
          <cell r="Z18">
            <v>0</v>
          </cell>
          <cell r="AA18">
            <v>0</v>
          </cell>
        </row>
        <row r="19">
          <cell r="E19">
            <v>65770</v>
          </cell>
          <cell r="F19">
            <v>1107795.06</v>
          </cell>
          <cell r="H19">
            <v>41941</v>
          </cell>
          <cell r="I19">
            <v>577579.50999999989</v>
          </cell>
          <cell r="K19">
            <v>6971</v>
          </cell>
          <cell r="L19">
            <v>148828.90000000002</v>
          </cell>
          <cell r="N19">
            <v>11623</v>
          </cell>
          <cell r="O19">
            <v>239321.4</v>
          </cell>
          <cell r="Q19">
            <v>1073</v>
          </cell>
          <cell r="R19">
            <v>28510.5</v>
          </cell>
          <cell r="T19">
            <v>2981</v>
          </cell>
          <cell r="U19">
            <v>81817.25</v>
          </cell>
          <cell r="W19">
            <v>1181</v>
          </cell>
          <cell r="X19">
            <v>31737.5</v>
          </cell>
          <cell r="Z19">
            <v>0</v>
          </cell>
          <cell r="AA19">
            <v>0</v>
          </cell>
        </row>
        <row r="20">
          <cell r="E20">
            <v>296686</v>
          </cell>
          <cell r="F20">
            <v>5357842.18</v>
          </cell>
          <cell r="H20">
            <v>161594</v>
          </cell>
          <cell r="I20">
            <v>2222520.1300000004</v>
          </cell>
          <cell r="K20">
            <v>38122</v>
          </cell>
          <cell r="L20">
            <v>846164.15</v>
          </cell>
          <cell r="N20">
            <v>46328</v>
          </cell>
          <cell r="O20">
            <v>943863.74999999988</v>
          </cell>
          <cell r="Q20">
            <v>1183</v>
          </cell>
          <cell r="R20">
            <v>30797.75</v>
          </cell>
          <cell r="T20">
            <v>46348</v>
          </cell>
          <cell r="U20">
            <v>1233345.6499999999</v>
          </cell>
          <cell r="W20">
            <v>3111</v>
          </cell>
          <cell r="X20">
            <v>81150.75</v>
          </cell>
          <cell r="Z20">
            <v>0</v>
          </cell>
          <cell r="AA20">
            <v>0</v>
          </cell>
        </row>
        <row r="21">
          <cell r="E21">
            <v>82016</v>
          </cell>
          <cell r="F21">
            <v>1474960.4000000001</v>
          </cell>
          <cell r="H21">
            <v>43353</v>
          </cell>
          <cell r="I21">
            <v>599519.45000000007</v>
          </cell>
          <cell r="K21">
            <v>10797</v>
          </cell>
          <cell r="L21">
            <v>230990.75</v>
          </cell>
          <cell r="N21">
            <v>18417</v>
          </cell>
          <cell r="O21">
            <v>393521.95</v>
          </cell>
          <cell r="Q21">
            <v>540</v>
          </cell>
          <cell r="R21">
            <v>13962.75</v>
          </cell>
          <cell r="T21">
            <v>7991</v>
          </cell>
          <cell r="U21">
            <v>212309</v>
          </cell>
          <cell r="W21">
            <v>918</v>
          </cell>
          <cell r="X21">
            <v>24656.5</v>
          </cell>
          <cell r="Z21">
            <v>0</v>
          </cell>
          <cell r="AA21">
            <v>0</v>
          </cell>
        </row>
        <row r="22">
          <cell r="E22">
            <v>418650</v>
          </cell>
          <cell r="F22">
            <v>7331972.0899999999</v>
          </cell>
          <cell r="H22">
            <v>259659</v>
          </cell>
          <cell r="I22">
            <v>3565563.39</v>
          </cell>
          <cell r="K22">
            <v>51042</v>
          </cell>
          <cell r="L22">
            <v>1163478.3500000001</v>
          </cell>
          <cell r="N22">
            <v>51289</v>
          </cell>
          <cell r="O22">
            <v>1045260.6000000001</v>
          </cell>
          <cell r="Q22">
            <v>1935</v>
          </cell>
          <cell r="R22">
            <v>53272.25</v>
          </cell>
          <cell r="T22">
            <v>40711</v>
          </cell>
          <cell r="U22">
            <v>1106907.25</v>
          </cell>
          <cell r="W22">
            <v>14014</v>
          </cell>
          <cell r="X22">
            <v>397490.25</v>
          </cell>
          <cell r="Z22">
            <v>0</v>
          </cell>
          <cell r="AA22">
            <v>0</v>
          </cell>
        </row>
        <row r="23">
          <cell r="E23">
            <v>92057</v>
          </cell>
          <cell r="F23">
            <v>1598716.67</v>
          </cell>
          <cell r="H23">
            <v>51628</v>
          </cell>
          <cell r="I23">
            <v>671545.77</v>
          </cell>
          <cell r="K23">
            <v>9732</v>
          </cell>
          <cell r="L23">
            <v>222558.50000000003</v>
          </cell>
          <cell r="N23">
            <v>18598</v>
          </cell>
          <cell r="O23">
            <v>380298.39999999997</v>
          </cell>
          <cell r="Q23">
            <v>797</v>
          </cell>
          <cell r="R23">
            <v>20995.75</v>
          </cell>
          <cell r="T23">
            <v>10371</v>
          </cell>
          <cell r="U23">
            <v>278482</v>
          </cell>
          <cell r="W23">
            <v>931</v>
          </cell>
          <cell r="X23">
            <v>24836.25</v>
          </cell>
          <cell r="Z23">
            <v>0</v>
          </cell>
          <cell r="AA23">
            <v>0</v>
          </cell>
        </row>
        <row r="24">
          <cell r="E24">
            <v>623288</v>
          </cell>
          <cell r="F24">
            <v>11747150.539999999</v>
          </cell>
          <cell r="H24">
            <v>326800</v>
          </cell>
          <cell r="I24">
            <v>4712270.2399999993</v>
          </cell>
          <cell r="K24">
            <v>79131</v>
          </cell>
          <cell r="L24">
            <v>1765726.2000000002</v>
          </cell>
          <cell r="N24">
            <v>113830</v>
          </cell>
          <cell r="O24">
            <v>2400475.2999999998</v>
          </cell>
          <cell r="Q24">
            <v>1932</v>
          </cell>
          <cell r="R24">
            <v>50819</v>
          </cell>
          <cell r="T24">
            <v>96969</v>
          </cell>
          <cell r="U24">
            <v>2689577.05</v>
          </cell>
          <cell r="W24">
            <v>4626</v>
          </cell>
          <cell r="X24">
            <v>128282.75</v>
          </cell>
          <cell r="Z24">
            <v>0</v>
          </cell>
          <cell r="AA24">
            <v>0</v>
          </cell>
        </row>
        <row r="25">
          <cell r="E25">
            <v>109313</v>
          </cell>
          <cell r="F25">
            <v>1727388.37</v>
          </cell>
          <cell r="H25">
            <v>81443</v>
          </cell>
          <cell r="I25">
            <v>1101022.67</v>
          </cell>
          <cell r="K25">
            <v>4355</v>
          </cell>
          <cell r="L25">
            <v>93272.05</v>
          </cell>
          <cell r="N25">
            <v>15833</v>
          </cell>
          <cell r="O25">
            <v>325747.15000000002</v>
          </cell>
          <cell r="Q25">
            <v>334</v>
          </cell>
          <cell r="R25">
            <v>9012.75</v>
          </cell>
          <cell r="T25">
            <v>6214</v>
          </cell>
          <cell r="U25">
            <v>165854.5</v>
          </cell>
          <cell r="W25">
            <v>1134</v>
          </cell>
          <cell r="X25">
            <v>32479.25</v>
          </cell>
          <cell r="Z25">
            <v>0</v>
          </cell>
          <cell r="AA25">
            <v>0</v>
          </cell>
        </row>
        <row r="26">
          <cell r="E26">
            <v>44131</v>
          </cell>
          <cell r="F26">
            <v>796849.05</v>
          </cell>
          <cell r="H26">
            <v>21044</v>
          </cell>
          <cell r="I26">
            <v>292549.25</v>
          </cell>
          <cell r="K26">
            <v>8847</v>
          </cell>
          <cell r="L26">
            <v>191263.45</v>
          </cell>
          <cell r="N26">
            <v>9932</v>
          </cell>
          <cell r="O26">
            <v>198603.1</v>
          </cell>
          <cell r="Q26">
            <v>434</v>
          </cell>
          <cell r="R26">
            <v>10810.5</v>
          </cell>
          <cell r="T26">
            <v>3828</v>
          </cell>
          <cell r="U26">
            <v>102698.75</v>
          </cell>
          <cell r="W26">
            <v>46</v>
          </cell>
          <cell r="X26">
            <v>924</v>
          </cell>
          <cell r="Z26">
            <v>0</v>
          </cell>
          <cell r="AA26">
            <v>0</v>
          </cell>
        </row>
        <row r="27">
          <cell r="E27">
            <v>67739</v>
          </cell>
          <cell r="F27">
            <v>1176822.6000000001</v>
          </cell>
          <cell r="H27">
            <v>42196</v>
          </cell>
          <cell r="I27">
            <v>590127.50000000012</v>
          </cell>
          <cell r="K27">
            <v>4396</v>
          </cell>
          <cell r="L27">
            <v>93492.95</v>
          </cell>
          <cell r="N27">
            <v>9692</v>
          </cell>
          <cell r="O27">
            <v>191284.65</v>
          </cell>
          <cell r="Q27">
            <v>391</v>
          </cell>
          <cell r="R27">
            <v>10116.5</v>
          </cell>
          <cell r="T27">
            <v>10724</v>
          </cell>
          <cell r="U27">
            <v>282922.5</v>
          </cell>
          <cell r="W27">
            <v>340</v>
          </cell>
          <cell r="X27">
            <v>8878.5</v>
          </cell>
          <cell r="Z27">
            <v>0</v>
          </cell>
          <cell r="AA27">
            <v>0</v>
          </cell>
        </row>
        <row r="28">
          <cell r="E28">
            <v>328109</v>
          </cell>
          <cell r="F28">
            <v>5875038.9900000002</v>
          </cell>
          <cell r="H28">
            <v>188512</v>
          </cell>
          <cell r="I28">
            <v>2658515.14</v>
          </cell>
          <cell r="K28">
            <v>27746</v>
          </cell>
          <cell r="L28">
            <v>596623.60000000009</v>
          </cell>
          <cell r="N28">
            <v>64353</v>
          </cell>
          <cell r="O28">
            <v>1336364.9000000001</v>
          </cell>
          <cell r="Q28">
            <v>1573</v>
          </cell>
          <cell r="R28">
            <v>40881.25</v>
          </cell>
          <cell r="T28">
            <v>44269</v>
          </cell>
          <cell r="U28">
            <v>1196965.1000000001</v>
          </cell>
          <cell r="W28">
            <v>1656</v>
          </cell>
          <cell r="X28">
            <v>45689</v>
          </cell>
          <cell r="Z28">
            <v>0</v>
          </cell>
          <cell r="AA28">
            <v>0</v>
          </cell>
        </row>
        <row r="29">
          <cell r="E29">
            <v>53021</v>
          </cell>
          <cell r="F29">
            <v>895519.65</v>
          </cell>
          <cell r="H29">
            <v>31844</v>
          </cell>
          <cell r="I29">
            <v>425436.25</v>
          </cell>
          <cell r="K29">
            <v>3435</v>
          </cell>
          <cell r="L29">
            <v>70988.399999999994</v>
          </cell>
          <cell r="N29">
            <v>11430</v>
          </cell>
          <cell r="O29">
            <v>225057.5</v>
          </cell>
          <cell r="Q29">
            <v>387</v>
          </cell>
          <cell r="R29">
            <v>10346</v>
          </cell>
          <cell r="T29">
            <v>5235</v>
          </cell>
          <cell r="U29">
            <v>144320.25</v>
          </cell>
          <cell r="W29">
            <v>690</v>
          </cell>
          <cell r="X29">
            <v>19371.25</v>
          </cell>
          <cell r="Z29">
            <v>0</v>
          </cell>
          <cell r="AA29">
            <v>0</v>
          </cell>
        </row>
      </sheetData>
      <sheetData sheetId="10">
        <row r="3">
          <cell r="E3">
            <v>2860605</v>
          </cell>
          <cell r="F3">
            <v>57966085.310000002</v>
          </cell>
          <cell r="H3">
            <v>1333813</v>
          </cell>
          <cell r="I3">
            <v>19633191.379999999</v>
          </cell>
          <cell r="K3">
            <v>174392</v>
          </cell>
          <cell r="L3">
            <v>3861675.36</v>
          </cell>
          <cell r="N3">
            <v>581462</v>
          </cell>
          <cell r="O3">
            <v>12915390.960000001</v>
          </cell>
          <cell r="Q3">
            <v>29116</v>
          </cell>
          <cell r="R3">
            <v>838689.2</v>
          </cell>
          <cell r="T3">
            <v>713016</v>
          </cell>
          <cell r="U3">
            <v>20016973.16</v>
          </cell>
          <cell r="W3">
            <v>12787</v>
          </cell>
          <cell r="X3">
            <v>351665.25</v>
          </cell>
          <cell r="Z3">
            <v>16019</v>
          </cell>
          <cell r="AA3">
            <v>348500</v>
          </cell>
        </row>
        <row r="4">
          <cell r="E4">
            <v>52054</v>
          </cell>
          <cell r="F4">
            <v>852144.47</v>
          </cell>
          <cell r="H4">
            <v>34427</v>
          </cell>
          <cell r="I4">
            <v>470688.82</v>
          </cell>
          <cell r="K4">
            <v>4374</v>
          </cell>
          <cell r="L4">
            <v>91980.200000000012</v>
          </cell>
          <cell r="N4">
            <v>8446</v>
          </cell>
          <cell r="O4">
            <v>168833.95</v>
          </cell>
          <cell r="Q4">
            <v>144</v>
          </cell>
          <cell r="R4">
            <v>3833.25</v>
          </cell>
          <cell r="T4">
            <v>4365</v>
          </cell>
          <cell r="U4">
            <v>108745.5</v>
          </cell>
          <cell r="W4">
            <v>298</v>
          </cell>
          <cell r="X4">
            <v>8062.75</v>
          </cell>
          <cell r="Z4">
            <v>0</v>
          </cell>
          <cell r="AA4">
            <v>0</v>
          </cell>
        </row>
        <row r="5">
          <cell r="E5">
            <v>238920</v>
          </cell>
          <cell r="F5">
            <v>3920631.9600000004</v>
          </cell>
          <cell r="H5">
            <v>172810</v>
          </cell>
          <cell r="I5">
            <v>2350634.5600000005</v>
          </cell>
          <cell r="K5">
            <v>4685</v>
          </cell>
          <cell r="L5">
            <v>99744.6</v>
          </cell>
          <cell r="N5">
            <v>33832</v>
          </cell>
          <cell r="O5">
            <v>695256.4</v>
          </cell>
          <cell r="Q5">
            <v>285</v>
          </cell>
          <cell r="R5">
            <v>6770</v>
          </cell>
          <cell r="T5">
            <v>23852</v>
          </cell>
          <cell r="U5">
            <v>669517.9</v>
          </cell>
          <cell r="W5">
            <v>3456</v>
          </cell>
          <cell r="X5">
            <v>98708.5</v>
          </cell>
          <cell r="Z5">
            <v>0</v>
          </cell>
          <cell r="AA5">
            <v>0</v>
          </cell>
        </row>
        <row r="6">
          <cell r="E6">
            <v>443552</v>
          </cell>
          <cell r="F6">
            <v>8006335.0499999998</v>
          </cell>
          <cell r="H6">
            <v>255454</v>
          </cell>
          <cell r="I6">
            <v>3421464.57</v>
          </cell>
          <cell r="K6">
            <v>89076</v>
          </cell>
          <cell r="L6">
            <v>2062255.2000000002</v>
          </cell>
          <cell r="N6">
            <v>41544</v>
          </cell>
          <cell r="O6">
            <v>893116.2</v>
          </cell>
          <cell r="Q6">
            <v>9915</v>
          </cell>
          <cell r="R6">
            <v>288694.75</v>
          </cell>
          <cell r="T6">
            <v>45676</v>
          </cell>
          <cell r="U6">
            <v>1292519.08</v>
          </cell>
          <cell r="W6">
            <v>1410</v>
          </cell>
          <cell r="X6">
            <v>41130.25</v>
          </cell>
          <cell r="Z6">
            <v>477</v>
          </cell>
          <cell r="AA6">
            <v>7155</v>
          </cell>
        </row>
        <row r="7">
          <cell r="E7">
            <v>118227</v>
          </cell>
          <cell r="F7">
            <v>2235573.83</v>
          </cell>
          <cell r="H7">
            <v>45515</v>
          </cell>
          <cell r="I7">
            <v>634877.03</v>
          </cell>
          <cell r="K7">
            <v>33092</v>
          </cell>
          <cell r="L7">
            <v>719092.75</v>
          </cell>
          <cell r="N7">
            <v>31671</v>
          </cell>
          <cell r="O7">
            <v>666777.05000000005</v>
          </cell>
          <cell r="Q7">
            <v>832</v>
          </cell>
          <cell r="R7">
            <v>20688</v>
          </cell>
          <cell r="T7">
            <v>7026</v>
          </cell>
          <cell r="U7">
            <v>191961</v>
          </cell>
          <cell r="W7">
            <v>91</v>
          </cell>
          <cell r="X7">
            <v>2178</v>
          </cell>
          <cell r="Z7">
            <v>0</v>
          </cell>
          <cell r="AA7">
            <v>0</v>
          </cell>
        </row>
        <row r="8">
          <cell r="E8">
            <v>109752</v>
          </cell>
          <cell r="F8">
            <v>2098138.79</v>
          </cell>
          <cell r="H8">
            <v>44662</v>
          </cell>
          <cell r="I8">
            <v>607949.14</v>
          </cell>
          <cell r="K8">
            <v>20573</v>
          </cell>
          <cell r="L8">
            <v>445869.85</v>
          </cell>
          <cell r="N8">
            <v>31126</v>
          </cell>
          <cell r="O8">
            <v>685022.05</v>
          </cell>
          <cell r="Q8">
            <v>884</v>
          </cell>
          <cell r="R8">
            <v>23064.25</v>
          </cell>
          <cell r="T8">
            <v>9877</v>
          </cell>
          <cell r="U8">
            <v>262096.25</v>
          </cell>
          <cell r="W8">
            <v>2630</v>
          </cell>
          <cell r="X8">
            <v>74137.25</v>
          </cell>
          <cell r="Z8">
            <v>0</v>
          </cell>
          <cell r="AA8">
            <v>0</v>
          </cell>
        </row>
        <row r="9">
          <cell r="E9">
            <v>72413</v>
          </cell>
          <cell r="F9">
            <v>1230437.49</v>
          </cell>
          <cell r="H9">
            <v>47188</v>
          </cell>
          <cell r="I9">
            <v>664264.78999999992</v>
          </cell>
          <cell r="K9">
            <v>2654</v>
          </cell>
          <cell r="L9">
            <v>56254.05</v>
          </cell>
          <cell r="N9">
            <v>15603</v>
          </cell>
          <cell r="O9">
            <v>327998.40000000002</v>
          </cell>
          <cell r="Q9">
            <v>157</v>
          </cell>
          <cell r="R9">
            <v>4026</v>
          </cell>
          <cell r="T9">
            <v>6709</v>
          </cell>
          <cell r="U9">
            <v>175370.25</v>
          </cell>
          <cell r="W9">
            <v>102</v>
          </cell>
          <cell r="X9">
            <v>2524</v>
          </cell>
          <cell r="Z9">
            <v>0</v>
          </cell>
          <cell r="AA9">
            <v>0</v>
          </cell>
        </row>
        <row r="10">
          <cell r="E10">
            <v>144395</v>
          </cell>
          <cell r="F10">
            <v>2658779.67</v>
          </cell>
          <cell r="H10">
            <v>75011</v>
          </cell>
          <cell r="I10">
            <v>1091833.3699999999</v>
          </cell>
          <cell r="K10">
            <v>23815</v>
          </cell>
          <cell r="L10">
            <v>506052.25</v>
          </cell>
          <cell r="N10">
            <v>23404</v>
          </cell>
          <cell r="O10">
            <v>477909.05</v>
          </cell>
          <cell r="Q10">
            <v>368</v>
          </cell>
          <cell r="R10">
            <v>8777.5</v>
          </cell>
          <cell r="T10">
            <v>19112</v>
          </cell>
          <cell r="U10">
            <v>497942.25</v>
          </cell>
          <cell r="W10">
            <v>2685</v>
          </cell>
          <cell r="X10">
            <v>76265.25</v>
          </cell>
          <cell r="Z10">
            <v>0</v>
          </cell>
          <cell r="AA10">
            <v>0</v>
          </cell>
        </row>
        <row r="11">
          <cell r="E11">
            <v>99834</v>
          </cell>
          <cell r="F11">
            <v>1722214.2999999998</v>
          </cell>
          <cell r="H11">
            <v>61916</v>
          </cell>
          <cell r="I11">
            <v>863087.74999999988</v>
          </cell>
          <cell r="K11">
            <v>9123</v>
          </cell>
          <cell r="L11">
            <v>192470.9</v>
          </cell>
          <cell r="N11">
            <v>15481</v>
          </cell>
          <cell r="O11">
            <v>309858.15000000002</v>
          </cell>
          <cell r="Q11">
            <v>182</v>
          </cell>
          <cell r="R11">
            <v>4367.25</v>
          </cell>
          <cell r="T11">
            <v>8442</v>
          </cell>
          <cell r="U11">
            <v>219041.25</v>
          </cell>
          <cell r="W11">
            <v>4690</v>
          </cell>
          <cell r="X11">
            <v>133389</v>
          </cell>
          <cell r="Z11">
            <v>0</v>
          </cell>
          <cell r="AA11">
            <v>0</v>
          </cell>
        </row>
        <row r="12">
          <cell r="E12">
            <v>298449</v>
          </cell>
          <cell r="F12">
            <v>5386192.6100000003</v>
          </cell>
          <cell r="H12">
            <v>175844</v>
          </cell>
          <cell r="I12">
            <v>2446441.7600000002</v>
          </cell>
          <cell r="K12">
            <v>24934</v>
          </cell>
          <cell r="L12">
            <v>536805.54999999993</v>
          </cell>
          <cell r="N12">
            <v>54407</v>
          </cell>
          <cell r="O12">
            <v>1186307.8</v>
          </cell>
          <cell r="Q12">
            <v>2460</v>
          </cell>
          <cell r="R12">
            <v>68190.25</v>
          </cell>
          <cell r="T12">
            <v>38935</v>
          </cell>
          <cell r="U12">
            <v>1097444.75</v>
          </cell>
          <cell r="W12">
            <v>1869</v>
          </cell>
          <cell r="X12">
            <v>51002.5</v>
          </cell>
          <cell r="Z12">
            <v>0</v>
          </cell>
          <cell r="AA12">
            <v>0</v>
          </cell>
        </row>
        <row r="13">
          <cell r="E13">
            <v>17195</v>
          </cell>
          <cell r="F13">
            <v>318986.78000000003</v>
          </cell>
          <cell r="H13">
            <v>8097</v>
          </cell>
          <cell r="I13">
            <v>103553.53</v>
          </cell>
          <cell r="K13">
            <v>2517</v>
          </cell>
          <cell r="L13">
            <v>53726.1</v>
          </cell>
          <cell r="N13">
            <v>3631</v>
          </cell>
          <cell r="O13">
            <v>77575.75</v>
          </cell>
          <cell r="Q13">
            <v>176</v>
          </cell>
          <cell r="R13">
            <v>4186</v>
          </cell>
          <cell r="T13">
            <v>848</v>
          </cell>
          <cell r="U13">
            <v>23981.9</v>
          </cell>
          <cell r="W13">
            <v>1926</v>
          </cell>
          <cell r="X13">
            <v>55963.5</v>
          </cell>
          <cell r="Z13">
            <v>0</v>
          </cell>
          <cell r="AA13">
            <v>0</v>
          </cell>
        </row>
        <row r="14">
          <cell r="E14">
            <v>739358</v>
          </cell>
          <cell r="F14">
            <v>13145352.039999999</v>
          </cell>
          <cell r="H14">
            <v>422868</v>
          </cell>
          <cell r="I14">
            <v>5709553.5899999989</v>
          </cell>
          <cell r="K14">
            <v>81873</v>
          </cell>
          <cell r="L14">
            <v>1845771.9</v>
          </cell>
          <cell r="N14">
            <v>122144</v>
          </cell>
          <cell r="O14">
            <v>2522359.7999999998</v>
          </cell>
          <cell r="Q14">
            <v>3174</v>
          </cell>
          <cell r="R14">
            <v>87503.5</v>
          </cell>
          <cell r="T14">
            <v>102468</v>
          </cell>
          <cell r="U14">
            <v>2785923.25</v>
          </cell>
          <cell r="W14">
            <v>6831</v>
          </cell>
          <cell r="X14">
            <v>194240</v>
          </cell>
          <cell r="Z14">
            <v>0</v>
          </cell>
          <cell r="AA14">
            <v>0</v>
          </cell>
        </row>
        <row r="15">
          <cell r="E15">
            <v>85452</v>
          </cell>
          <cell r="F15">
            <v>1367291.9800000002</v>
          </cell>
          <cell r="H15">
            <v>61440</v>
          </cell>
          <cell r="I15">
            <v>824475.53000000014</v>
          </cell>
          <cell r="K15">
            <v>6807</v>
          </cell>
          <cell r="L15">
            <v>145238.45000000001</v>
          </cell>
          <cell r="N15">
            <v>10401</v>
          </cell>
          <cell r="O15">
            <v>212104.5</v>
          </cell>
          <cell r="Q15">
            <v>291</v>
          </cell>
          <cell r="R15">
            <v>7503</v>
          </cell>
          <cell r="T15">
            <v>4812</v>
          </cell>
          <cell r="U15">
            <v>133533</v>
          </cell>
          <cell r="W15">
            <v>1701</v>
          </cell>
          <cell r="X15">
            <v>44437.5</v>
          </cell>
          <cell r="Z15">
            <v>0</v>
          </cell>
          <cell r="AA15">
            <v>0</v>
          </cell>
        </row>
        <row r="16">
          <cell r="E16">
            <v>115318</v>
          </cell>
          <cell r="F16">
            <v>1879154.8699999999</v>
          </cell>
          <cell r="H16">
            <v>74854</v>
          </cell>
          <cell r="I16">
            <v>960951.17</v>
          </cell>
          <cell r="K16">
            <v>12124</v>
          </cell>
          <cell r="L16">
            <v>259439.25</v>
          </cell>
          <cell r="N16">
            <v>15755</v>
          </cell>
          <cell r="O16">
            <v>312802.7</v>
          </cell>
          <cell r="Q16">
            <v>378</v>
          </cell>
          <cell r="R16">
            <v>9949</v>
          </cell>
          <cell r="T16">
            <v>8977</v>
          </cell>
          <cell r="U16">
            <v>243471</v>
          </cell>
          <cell r="W16">
            <v>3230</v>
          </cell>
          <cell r="X16">
            <v>92541.75</v>
          </cell>
          <cell r="Z16">
            <v>0</v>
          </cell>
          <cell r="AA16">
            <v>0</v>
          </cell>
        </row>
        <row r="17">
          <cell r="E17">
            <v>223144</v>
          </cell>
          <cell r="F17">
            <v>3998986.99</v>
          </cell>
          <cell r="H17">
            <v>127990</v>
          </cell>
          <cell r="I17">
            <v>1815639.07</v>
          </cell>
          <cell r="K17">
            <v>22195</v>
          </cell>
          <cell r="L17">
            <v>475657.25</v>
          </cell>
          <cell r="N17">
            <v>43924</v>
          </cell>
          <cell r="O17">
            <v>941503.66999999993</v>
          </cell>
          <cell r="Q17">
            <v>964</v>
          </cell>
          <cell r="R17">
            <v>24862</v>
          </cell>
          <cell r="T17">
            <v>27076</v>
          </cell>
          <cell r="U17">
            <v>716424.75</v>
          </cell>
          <cell r="W17">
            <v>995</v>
          </cell>
          <cell r="X17">
            <v>24900.25</v>
          </cell>
          <cell r="Z17">
            <v>0</v>
          </cell>
          <cell r="AA17">
            <v>0</v>
          </cell>
        </row>
        <row r="18">
          <cell r="E18">
            <v>97157</v>
          </cell>
          <cell r="F18">
            <v>1636699.21</v>
          </cell>
          <cell r="H18">
            <v>63995</v>
          </cell>
          <cell r="I18">
            <v>851319.06</v>
          </cell>
          <cell r="K18">
            <v>11290</v>
          </cell>
          <cell r="L18">
            <v>256432</v>
          </cell>
          <cell r="N18">
            <v>11921</v>
          </cell>
          <cell r="O18">
            <v>249962.40000000002</v>
          </cell>
          <cell r="Q18">
            <v>3718</v>
          </cell>
          <cell r="R18">
            <v>106387.25</v>
          </cell>
          <cell r="T18">
            <v>4982</v>
          </cell>
          <cell r="U18">
            <v>139676</v>
          </cell>
          <cell r="W18">
            <v>1251</v>
          </cell>
          <cell r="X18">
            <v>32922.5</v>
          </cell>
          <cell r="Z18">
            <v>0</v>
          </cell>
          <cell r="AA18">
            <v>0</v>
          </cell>
        </row>
        <row r="19">
          <cell r="E19">
            <v>60466</v>
          </cell>
          <cell r="F19">
            <v>1022698.2899999999</v>
          </cell>
          <cell r="H19">
            <v>36146</v>
          </cell>
          <cell r="I19">
            <v>484801.93999999994</v>
          </cell>
          <cell r="K19">
            <v>9133</v>
          </cell>
          <cell r="L19">
            <v>195756.5</v>
          </cell>
          <cell r="N19">
            <v>10268</v>
          </cell>
          <cell r="O19">
            <v>209755.35</v>
          </cell>
          <cell r="Q19">
            <v>1260</v>
          </cell>
          <cell r="R19">
            <v>33977</v>
          </cell>
          <cell r="T19">
            <v>2592</v>
          </cell>
          <cell r="U19">
            <v>70272.5</v>
          </cell>
          <cell r="W19">
            <v>1067</v>
          </cell>
          <cell r="X19">
            <v>28135</v>
          </cell>
          <cell r="Z19">
            <v>0</v>
          </cell>
          <cell r="AA19">
            <v>0</v>
          </cell>
        </row>
        <row r="20">
          <cell r="E20">
            <v>301005</v>
          </cell>
          <cell r="F20">
            <v>5467028.7599999998</v>
          </cell>
          <cell r="H20">
            <v>158664</v>
          </cell>
          <cell r="I20">
            <v>2173524.21</v>
          </cell>
          <cell r="K20">
            <v>44022</v>
          </cell>
          <cell r="L20">
            <v>975280.14999999991</v>
          </cell>
          <cell r="N20">
            <v>47150</v>
          </cell>
          <cell r="O20">
            <v>961978.65</v>
          </cell>
          <cell r="Q20">
            <v>1084</v>
          </cell>
          <cell r="R20">
            <v>27585.25</v>
          </cell>
          <cell r="T20">
            <v>46822</v>
          </cell>
          <cell r="U20">
            <v>1242934</v>
          </cell>
          <cell r="W20">
            <v>3263</v>
          </cell>
          <cell r="X20">
            <v>85726.5</v>
          </cell>
          <cell r="Z20">
            <v>0</v>
          </cell>
          <cell r="AA20">
            <v>0</v>
          </cell>
        </row>
        <row r="21">
          <cell r="E21">
            <v>84431</v>
          </cell>
          <cell r="F21">
            <v>1541095.17</v>
          </cell>
          <cell r="H21">
            <v>41569</v>
          </cell>
          <cell r="I21">
            <v>573443.32000000007</v>
          </cell>
          <cell r="K21">
            <v>14043</v>
          </cell>
          <cell r="L21">
            <v>302717.75</v>
          </cell>
          <cell r="N21">
            <v>18954</v>
          </cell>
          <cell r="O21">
            <v>403485.1</v>
          </cell>
          <cell r="Q21">
            <v>626</v>
          </cell>
          <cell r="R21">
            <v>16660.5</v>
          </cell>
          <cell r="T21">
            <v>8454</v>
          </cell>
          <cell r="U21">
            <v>224364</v>
          </cell>
          <cell r="W21">
            <v>785</v>
          </cell>
          <cell r="X21">
            <v>20424.5</v>
          </cell>
          <cell r="Z21">
            <v>0</v>
          </cell>
          <cell r="AA21">
            <v>0</v>
          </cell>
        </row>
        <row r="22">
          <cell r="E22">
            <v>416861</v>
          </cell>
          <cell r="F22">
            <v>7309585.8599999994</v>
          </cell>
          <cell r="H22">
            <v>255106</v>
          </cell>
          <cell r="I22">
            <v>3499471.66</v>
          </cell>
          <cell r="K22">
            <v>55512</v>
          </cell>
          <cell r="L22">
            <v>1264914.75</v>
          </cell>
          <cell r="N22">
            <v>51297</v>
          </cell>
          <cell r="O22">
            <v>1039344.55</v>
          </cell>
          <cell r="Q22">
            <v>1841</v>
          </cell>
          <cell r="R22">
            <v>50291.25</v>
          </cell>
          <cell r="T22">
            <v>39970</v>
          </cell>
          <cell r="U22">
            <v>1084124.1499999999</v>
          </cell>
          <cell r="W22">
            <v>13135</v>
          </cell>
          <cell r="X22">
            <v>371439.5</v>
          </cell>
          <cell r="Z22">
            <v>0</v>
          </cell>
          <cell r="AA22">
            <v>0</v>
          </cell>
        </row>
        <row r="23">
          <cell r="E23">
            <v>91099</v>
          </cell>
          <cell r="F23">
            <v>1583335.5</v>
          </cell>
          <cell r="H23">
            <v>49204</v>
          </cell>
          <cell r="I23">
            <v>626886.23</v>
          </cell>
          <cell r="K23">
            <v>12494</v>
          </cell>
          <cell r="L23">
            <v>285973.2</v>
          </cell>
          <cell r="N23">
            <v>17840</v>
          </cell>
          <cell r="O23">
            <v>362297.31999999995</v>
          </cell>
          <cell r="Q23">
            <v>972</v>
          </cell>
          <cell r="R23">
            <v>25634.25</v>
          </cell>
          <cell r="T23">
            <v>9643</v>
          </cell>
          <cell r="U23">
            <v>257256.5</v>
          </cell>
          <cell r="W23">
            <v>946</v>
          </cell>
          <cell r="X23">
            <v>25288</v>
          </cell>
          <cell r="Z23">
            <v>0</v>
          </cell>
          <cell r="AA23">
            <v>0</v>
          </cell>
        </row>
        <row r="24">
          <cell r="E24">
            <v>641141</v>
          </cell>
          <cell r="F24">
            <v>12140414.699999999</v>
          </cell>
          <cell r="H24">
            <v>329454</v>
          </cell>
          <cell r="I24">
            <v>4763602.84</v>
          </cell>
          <cell r="K24">
            <v>87608</v>
          </cell>
          <cell r="L24">
            <v>1950596.35</v>
          </cell>
          <cell r="N24">
            <v>120110</v>
          </cell>
          <cell r="O24">
            <v>2553069.5099999998</v>
          </cell>
          <cell r="Q24">
            <v>1970</v>
          </cell>
          <cell r="R24">
            <v>53100</v>
          </cell>
          <cell r="T24">
            <v>97795</v>
          </cell>
          <cell r="U24">
            <v>2704547</v>
          </cell>
          <cell r="W24">
            <v>4204</v>
          </cell>
          <cell r="X24">
            <v>115499</v>
          </cell>
          <cell r="Z24">
            <v>0</v>
          </cell>
          <cell r="AA24">
            <v>0</v>
          </cell>
        </row>
        <row r="25">
          <cell r="E25">
            <v>104301</v>
          </cell>
          <cell r="F25">
            <v>1652940.9</v>
          </cell>
          <cell r="H25">
            <v>75541</v>
          </cell>
          <cell r="I25">
            <v>1013315.2</v>
          </cell>
          <cell r="K25">
            <v>4838</v>
          </cell>
          <cell r="L25">
            <v>103089.15</v>
          </cell>
          <cell r="N25">
            <v>16248</v>
          </cell>
          <cell r="O25">
            <v>332325.3</v>
          </cell>
          <cell r="Q25">
            <v>388</v>
          </cell>
          <cell r="R25">
            <v>10434.5</v>
          </cell>
          <cell r="T25">
            <v>6598</v>
          </cell>
          <cell r="U25">
            <v>174738.5</v>
          </cell>
          <cell r="W25">
            <v>688</v>
          </cell>
          <cell r="X25">
            <v>19038.25</v>
          </cell>
          <cell r="Z25">
            <v>0</v>
          </cell>
          <cell r="AA25">
            <v>0</v>
          </cell>
        </row>
        <row r="26">
          <cell r="E26">
            <v>44530</v>
          </cell>
          <cell r="F26">
            <v>807978.81</v>
          </cell>
          <cell r="H26">
            <v>20309</v>
          </cell>
          <cell r="I26">
            <v>283714.61</v>
          </cell>
          <cell r="K26">
            <v>9524</v>
          </cell>
          <cell r="L26">
            <v>204859.65</v>
          </cell>
          <cell r="N26">
            <v>10228</v>
          </cell>
          <cell r="O26">
            <v>202418.05</v>
          </cell>
          <cell r="Q26">
            <v>521</v>
          </cell>
          <cell r="R26">
            <v>13108.25</v>
          </cell>
          <cell r="T26">
            <v>3912</v>
          </cell>
          <cell r="U26">
            <v>102840.25</v>
          </cell>
          <cell r="W26">
            <v>36</v>
          </cell>
          <cell r="X26">
            <v>1038</v>
          </cell>
          <cell r="Z26">
            <v>0</v>
          </cell>
          <cell r="AA26">
            <v>0</v>
          </cell>
        </row>
        <row r="27">
          <cell r="E27">
            <v>64504</v>
          </cell>
          <cell r="F27">
            <v>1111301.8999999999</v>
          </cell>
          <cell r="H27">
            <v>39251</v>
          </cell>
          <cell r="I27">
            <v>534939.25</v>
          </cell>
          <cell r="K27">
            <v>5100</v>
          </cell>
          <cell r="L27">
            <v>107573.05</v>
          </cell>
          <cell r="N27">
            <v>9369</v>
          </cell>
          <cell r="O27">
            <v>185354.85</v>
          </cell>
          <cell r="Q27">
            <v>449</v>
          </cell>
          <cell r="R27">
            <v>11424.25</v>
          </cell>
          <cell r="T27">
            <v>9996</v>
          </cell>
          <cell r="U27">
            <v>263093</v>
          </cell>
          <cell r="W27">
            <v>339</v>
          </cell>
          <cell r="X27">
            <v>8917.5</v>
          </cell>
          <cell r="Z27">
            <v>0</v>
          </cell>
          <cell r="AA27">
            <v>0</v>
          </cell>
        </row>
        <row r="28">
          <cell r="E28">
            <v>341483</v>
          </cell>
          <cell r="F28">
            <v>6156723.9800000004</v>
          </cell>
          <cell r="H28">
            <v>193272</v>
          </cell>
          <cell r="I28">
            <v>2744102.48</v>
          </cell>
          <cell r="K28">
            <v>31786</v>
          </cell>
          <cell r="L28">
            <v>685942.14999999991</v>
          </cell>
          <cell r="N28">
            <v>66767</v>
          </cell>
          <cell r="O28">
            <v>1389754.6</v>
          </cell>
          <cell r="Q28">
            <v>1754</v>
          </cell>
          <cell r="R28">
            <v>45608</v>
          </cell>
          <cell r="T28">
            <v>46355</v>
          </cell>
          <cell r="U28">
            <v>1248449</v>
          </cell>
          <cell r="W28">
            <v>1549</v>
          </cell>
          <cell r="X28">
            <v>42867.75</v>
          </cell>
          <cell r="Z28">
            <v>0</v>
          </cell>
          <cell r="AA28">
            <v>0</v>
          </cell>
        </row>
        <row r="29">
          <cell r="E29">
            <v>52399</v>
          </cell>
          <cell r="F29">
            <v>892328.05</v>
          </cell>
          <cell r="H29">
            <v>30280</v>
          </cell>
          <cell r="I29">
            <v>398992.75</v>
          </cell>
          <cell r="K29">
            <v>3994</v>
          </cell>
          <cell r="L29">
            <v>82967.75</v>
          </cell>
          <cell r="N29">
            <v>11566</v>
          </cell>
          <cell r="O29">
            <v>229489.3</v>
          </cell>
          <cell r="Q29">
            <v>322</v>
          </cell>
          <cell r="R29">
            <v>8715</v>
          </cell>
          <cell r="T29">
            <v>5472</v>
          </cell>
          <cell r="U29">
            <v>150657.75</v>
          </cell>
          <cell r="W29">
            <v>765</v>
          </cell>
          <cell r="X29">
            <v>21505.5</v>
          </cell>
          <cell r="Z29">
            <v>0</v>
          </cell>
          <cell r="AA29">
            <v>0</v>
          </cell>
        </row>
      </sheetData>
      <sheetData sheetId="11">
        <row r="3">
          <cell r="E3">
            <v>2711914</v>
          </cell>
          <cell r="F3">
            <v>54881391.969999999</v>
          </cell>
          <cell r="H3">
            <v>1248653</v>
          </cell>
          <cell r="I3">
            <v>18108288.880000003</v>
          </cell>
          <cell r="K3">
            <v>156714</v>
          </cell>
          <cell r="L3">
            <v>3471858.3</v>
          </cell>
          <cell r="N3">
            <v>560463</v>
          </cell>
          <cell r="O3">
            <v>12422499.539999999</v>
          </cell>
          <cell r="Q3">
            <v>26801</v>
          </cell>
          <cell r="R3">
            <v>772122.25</v>
          </cell>
          <cell r="T3">
            <v>689257</v>
          </cell>
          <cell r="U3">
            <v>19387877.75</v>
          </cell>
          <cell r="W3">
            <v>13379</v>
          </cell>
          <cell r="X3">
            <v>370245.25</v>
          </cell>
          <cell r="Z3">
            <v>16647</v>
          </cell>
          <cell r="AA3">
            <v>348500</v>
          </cell>
        </row>
        <row r="4">
          <cell r="E4">
            <v>50695</v>
          </cell>
          <cell r="F4">
            <v>828691.21000000008</v>
          </cell>
          <cell r="H4">
            <v>33201</v>
          </cell>
          <cell r="I4">
            <v>451222.66000000003</v>
          </cell>
          <cell r="K4">
            <v>5041</v>
          </cell>
          <cell r="L4">
            <v>106193.15</v>
          </cell>
          <cell r="N4">
            <v>7825</v>
          </cell>
          <cell r="O4">
            <v>154895.15</v>
          </cell>
          <cell r="Q4">
            <v>166</v>
          </cell>
          <cell r="R4">
            <v>4373.25</v>
          </cell>
          <cell r="T4">
            <v>4199</v>
          </cell>
          <cell r="U4">
            <v>104799</v>
          </cell>
          <cell r="W4">
            <v>263</v>
          </cell>
          <cell r="X4">
            <v>7208</v>
          </cell>
          <cell r="Z4">
            <v>0</v>
          </cell>
          <cell r="AA4">
            <v>0</v>
          </cell>
        </row>
        <row r="5">
          <cell r="E5">
            <v>226375</v>
          </cell>
          <cell r="F5">
            <v>3686231.08</v>
          </cell>
          <cell r="H5">
            <v>163089</v>
          </cell>
          <cell r="I5">
            <v>2175438.73</v>
          </cell>
          <cell r="K5">
            <v>5151</v>
          </cell>
          <cell r="L5">
            <v>110340.7</v>
          </cell>
          <cell r="N5">
            <v>32122</v>
          </cell>
          <cell r="O5">
            <v>662030.4</v>
          </cell>
          <cell r="Q5">
            <v>326</v>
          </cell>
          <cell r="R5">
            <v>8143.5</v>
          </cell>
          <cell r="T5">
            <v>22214</v>
          </cell>
          <cell r="U5">
            <v>631373.75</v>
          </cell>
          <cell r="W5">
            <v>3473</v>
          </cell>
          <cell r="X5">
            <v>98904</v>
          </cell>
          <cell r="Z5">
            <v>0</v>
          </cell>
          <cell r="AA5">
            <v>0</v>
          </cell>
        </row>
        <row r="6">
          <cell r="E6">
            <v>424074</v>
          </cell>
          <cell r="F6">
            <v>7615226.6000000006</v>
          </cell>
          <cell r="H6">
            <v>240929</v>
          </cell>
          <cell r="I6">
            <v>3166333.6700000004</v>
          </cell>
          <cell r="K6">
            <v>90343</v>
          </cell>
          <cell r="L6">
            <v>2084865.2799999998</v>
          </cell>
          <cell r="N6">
            <v>39327</v>
          </cell>
          <cell r="O6">
            <v>847315.9</v>
          </cell>
          <cell r="Q6">
            <v>11090</v>
          </cell>
          <cell r="R6">
            <v>322363.25</v>
          </cell>
          <cell r="T6">
            <v>41263</v>
          </cell>
          <cell r="U6">
            <v>1167986.5</v>
          </cell>
          <cell r="W6">
            <v>678</v>
          </cell>
          <cell r="X6">
            <v>19702</v>
          </cell>
          <cell r="Z6">
            <v>444</v>
          </cell>
          <cell r="AA6">
            <v>6660</v>
          </cell>
        </row>
        <row r="7">
          <cell r="E7">
            <v>107118</v>
          </cell>
          <cell r="F7">
            <v>2031804.82</v>
          </cell>
          <cell r="H7">
            <v>39906</v>
          </cell>
          <cell r="I7">
            <v>547272.76</v>
          </cell>
          <cell r="K7">
            <v>31767</v>
          </cell>
          <cell r="L7">
            <v>690549</v>
          </cell>
          <cell r="N7">
            <v>28568</v>
          </cell>
          <cell r="O7">
            <v>608486.26</v>
          </cell>
          <cell r="Q7">
            <v>726</v>
          </cell>
          <cell r="R7">
            <v>18029.5</v>
          </cell>
          <cell r="T7">
            <v>6068</v>
          </cell>
          <cell r="U7">
            <v>165337.29999999999</v>
          </cell>
          <cell r="W7">
            <v>83</v>
          </cell>
          <cell r="X7">
            <v>2130</v>
          </cell>
          <cell r="Z7">
            <v>0</v>
          </cell>
          <cell r="AA7">
            <v>0</v>
          </cell>
        </row>
        <row r="8">
          <cell r="E8">
            <v>105122</v>
          </cell>
          <cell r="F8">
            <v>2005497.34</v>
          </cell>
          <cell r="H8">
            <v>42632</v>
          </cell>
          <cell r="I8">
            <v>576491.89000000013</v>
          </cell>
          <cell r="K8">
            <v>19794</v>
          </cell>
          <cell r="L8">
            <v>429284.6</v>
          </cell>
          <cell r="N8">
            <v>29663</v>
          </cell>
          <cell r="O8">
            <v>649804.85</v>
          </cell>
          <cell r="Q8">
            <v>813</v>
          </cell>
          <cell r="R8">
            <v>21301</v>
          </cell>
          <cell r="T8">
            <v>9659</v>
          </cell>
          <cell r="U8">
            <v>256433.25</v>
          </cell>
          <cell r="W8">
            <v>2561</v>
          </cell>
          <cell r="X8">
            <v>72181.75</v>
          </cell>
          <cell r="Z8">
            <v>0</v>
          </cell>
          <cell r="AA8">
            <v>0</v>
          </cell>
        </row>
        <row r="9">
          <cell r="E9">
            <v>70666</v>
          </cell>
          <cell r="F9">
            <v>1200870.1299999999</v>
          </cell>
          <cell r="H9">
            <v>44720</v>
          </cell>
          <cell r="I9">
            <v>620176.37999999989</v>
          </cell>
          <cell r="K9">
            <v>3654</v>
          </cell>
          <cell r="L9">
            <v>77889.899999999994</v>
          </cell>
          <cell r="N9">
            <v>15339</v>
          </cell>
          <cell r="O9">
            <v>324323.90000000002</v>
          </cell>
          <cell r="Q9">
            <v>270</v>
          </cell>
          <cell r="R9">
            <v>6859</v>
          </cell>
          <cell r="T9">
            <v>6581</v>
          </cell>
          <cell r="U9">
            <v>169096.95</v>
          </cell>
          <cell r="W9">
            <v>102</v>
          </cell>
          <cell r="X9">
            <v>2524</v>
          </cell>
          <cell r="Z9">
            <v>0</v>
          </cell>
          <cell r="AA9">
            <v>0</v>
          </cell>
        </row>
        <row r="10">
          <cell r="E10">
            <v>131656</v>
          </cell>
          <cell r="F10">
            <v>2404483.0499999998</v>
          </cell>
          <cell r="H10">
            <v>67922</v>
          </cell>
          <cell r="I10">
            <v>964898</v>
          </cell>
          <cell r="K10">
            <v>22348</v>
          </cell>
          <cell r="L10">
            <v>475088.80000000005</v>
          </cell>
          <cell r="N10">
            <v>21668</v>
          </cell>
          <cell r="O10">
            <v>444790</v>
          </cell>
          <cell r="Q10">
            <v>385</v>
          </cell>
          <cell r="R10">
            <v>9217</v>
          </cell>
          <cell r="T10">
            <v>17077</v>
          </cell>
          <cell r="U10">
            <v>446071</v>
          </cell>
          <cell r="W10">
            <v>2256</v>
          </cell>
          <cell r="X10">
            <v>64418.25</v>
          </cell>
          <cell r="Z10">
            <v>0</v>
          </cell>
          <cell r="AA10">
            <v>0</v>
          </cell>
        </row>
        <row r="11">
          <cell r="E11">
            <v>85971</v>
          </cell>
          <cell r="F11">
            <v>1475122.07</v>
          </cell>
          <cell r="H11">
            <v>52818</v>
          </cell>
          <cell r="I11">
            <v>717085.72</v>
          </cell>
          <cell r="K11">
            <v>9193</v>
          </cell>
          <cell r="L11">
            <v>205563.25</v>
          </cell>
          <cell r="N11">
            <v>13382</v>
          </cell>
          <cell r="O11">
            <v>270100.3</v>
          </cell>
          <cell r="Q11">
            <v>147</v>
          </cell>
          <cell r="R11">
            <v>3030.8</v>
          </cell>
          <cell r="T11">
            <v>7819</v>
          </cell>
          <cell r="U11">
            <v>205946.5</v>
          </cell>
          <cell r="W11">
            <v>2612</v>
          </cell>
          <cell r="X11">
            <v>73395.5</v>
          </cell>
          <cell r="Z11">
            <v>0</v>
          </cell>
          <cell r="AA11">
            <v>0</v>
          </cell>
        </row>
        <row r="12">
          <cell r="E12">
            <v>287382</v>
          </cell>
          <cell r="F12">
            <v>5154974.43</v>
          </cell>
          <cell r="H12">
            <v>170050</v>
          </cell>
          <cell r="I12">
            <v>2341465.6799999997</v>
          </cell>
          <cell r="K12">
            <v>24948</v>
          </cell>
          <cell r="L12">
            <v>537567.6</v>
          </cell>
          <cell r="N12">
            <v>50565</v>
          </cell>
          <cell r="O12">
            <v>1094659.1499999999</v>
          </cell>
          <cell r="Q12">
            <v>2245</v>
          </cell>
          <cell r="R12">
            <v>61239</v>
          </cell>
          <cell r="T12">
            <v>37873</v>
          </cell>
          <cell r="U12">
            <v>1073477</v>
          </cell>
          <cell r="W12">
            <v>1701</v>
          </cell>
          <cell r="X12">
            <v>46566</v>
          </cell>
          <cell r="Z12">
            <v>0</v>
          </cell>
          <cell r="AA12">
            <v>0</v>
          </cell>
        </row>
        <row r="13">
          <cell r="E13">
            <v>16733</v>
          </cell>
          <cell r="F13">
            <v>307927.09999999998</v>
          </cell>
          <cell r="H13">
            <v>8170</v>
          </cell>
          <cell r="I13">
            <v>106194.54999999999</v>
          </cell>
          <cell r="K13">
            <v>1913</v>
          </cell>
          <cell r="L13">
            <v>40636.800000000003</v>
          </cell>
          <cell r="N13">
            <v>3790</v>
          </cell>
          <cell r="O13">
            <v>79849.5</v>
          </cell>
          <cell r="Q13">
            <v>182</v>
          </cell>
          <cell r="R13">
            <v>4298</v>
          </cell>
          <cell r="T13">
            <v>844</v>
          </cell>
          <cell r="U13">
            <v>23648.5</v>
          </cell>
          <cell r="W13">
            <v>1834</v>
          </cell>
          <cell r="X13">
            <v>53299.75</v>
          </cell>
          <cell r="Z13">
            <v>0</v>
          </cell>
          <cell r="AA13">
            <v>0</v>
          </cell>
        </row>
        <row r="14">
          <cell r="E14">
            <v>719936</v>
          </cell>
          <cell r="F14">
            <v>12752834.180000002</v>
          </cell>
          <cell r="H14">
            <v>414789</v>
          </cell>
          <cell r="I14">
            <v>5572760.1799999997</v>
          </cell>
          <cell r="K14">
            <v>77181</v>
          </cell>
          <cell r="L14">
            <v>1743510.4</v>
          </cell>
          <cell r="N14">
            <v>116634</v>
          </cell>
          <cell r="O14">
            <v>2397983.9500000002</v>
          </cell>
          <cell r="Q14">
            <v>2419</v>
          </cell>
          <cell r="R14">
            <v>66131.5</v>
          </cell>
          <cell r="T14">
            <v>101943</v>
          </cell>
          <cell r="U14">
            <v>2773271.6500000004</v>
          </cell>
          <cell r="W14">
            <v>6970</v>
          </cell>
          <cell r="X14">
            <v>199176.5</v>
          </cell>
          <cell r="Z14">
            <v>0</v>
          </cell>
          <cell r="AA14">
            <v>0</v>
          </cell>
        </row>
        <row r="15">
          <cell r="E15">
            <v>88363</v>
          </cell>
          <cell r="F15">
            <v>1416267.04</v>
          </cell>
          <cell r="H15">
            <v>62992</v>
          </cell>
          <cell r="I15">
            <v>841099.69</v>
          </cell>
          <cell r="K15">
            <v>7475</v>
          </cell>
          <cell r="L15">
            <v>159226.85</v>
          </cell>
          <cell r="N15">
            <v>10662</v>
          </cell>
          <cell r="O15">
            <v>218478.5</v>
          </cell>
          <cell r="Q15">
            <v>282</v>
          </cell>
          <cell r="R15">
            <v>7311.5</v>
          </cell>
          <cell r="T15">
            <v>4938</v>
          </cell>
          <cell r="U15">
            <v>136529.5</v>
          </cell>
          <cell r="W15">
            <v>2014</v>
          </cell>
          <cell r="X15">
            <v>53621</v>
          </cell>
          <cell r="Z15">
            <v>0</v>
          </cell>
          <cell r="AA15">
            <v>0</v>
          </cell>
        </row>
        <row r="16">
          <cell r="E16">
            <v>108006</v>
          </cell>
          <cell r="F16">
            <v>1749565.9000000001</v>
          </cell>
          <cell r="H16">
            <v>69691</v>
          </cell>
          <cell r="I16">
            <v>882340.45000000007</v>
          </cell>
          <cell r="K16">
            <v>12326</v>
          </cell>
          <cell r="L16">
            <v>264067.20000000001</v>
          </cell>
          <cell r="N16">
            <v>14413</v>
          </cell>
          <cell r="O16">
            <v>286737.39999999997</v>
          </cell>
          <cell r="Q16">
            <v>350</v>
          </cell>
          <cell r="R16">
            <v>8976</v>
          </cell>
          <cell r="T16">
            <v>8238</v>
          </cell>
          <cell r="U16">
            <v>222815.25</v>
          </cell>
          <cell r="W16">
            <v>2988</v>
          </cell>
          <cell r="X16">
            <v>84629.6</v>
          </cell>
          <cell r="Z16">
            <v>0</v>
          </cell>
          <cell r="AA16">
            <v>0</v>
          </cell>
        </row>
        <row r="17">
          <cell r="E17">
            <v>210482</v>
          </cell>
          <cell r="F17">
            <v>3740395.42</v>
          </cell>
          <cell r="H17">
            <v>119008</v>
          </cell>
          <cell r="I17">
            <v>1648200.82</v>
          </cell>
          <cell r="K17">
            <v>22924</v>
          </cell>
          <cell r="L17">
            <v>492302.55000000005</v>
          </cell>
          <cell r="N17">
            <v>41940</v>
          </cell>
          <cell r="O17">
            <v>897266.54999999993</v>
          </cell>
          <cell r="Q17">
            <v>933</v>
          </cell>
          <cell r="R17">
            <v>24785</v>
          </cell>
          <cell r="T17">
            <v>24760</v>
          </cell>
          <cell r="U17">
            <v>654980.5</v>
          </cell>
          <cell r="W17">
            <v>917</v>
          </cell>
          <cell r="X17">
            <v>22860</v>
          </cell>
          <cell r="Z17">
            <v>0</v>
          </cell>
          <cell r="AA17">
            <v>0</v>
          </cell>
        </row>
        <row r="18">
          <cell r="E18">
            <v>93586</v>
          </cell>
          <cell r="F18">
            <v>1577706.94</v>
          </cell>
          <cell r="H18">
            <v>61802</v>
          </cell>
          <cell r="I18">
            <v>819349.44</v>
          </cell>
          <cell r="K18">
            <v>9812</v>
          </cell>
          <cell r="L18">
            <v>223339</v>
          </cell>
          <cell r="N18">
            <v>11748</v>
          </cell>
          <cell r="O18">
            <v>246902.44999999998</v>
          </cell>
          <cell r="Q18">
            <v>4652</v>
          </cell>
          <cell r="R18">
            <v>133970</v>
          </cell>
          <cell r="T18">
            <v>4469</v>
          </cell>
          <cell r="U18">
            <v>124810.55</v>
          </cell>
          <cell r="W18">
            <v>1103</v>
          </cell>
          <cell r="X18">
            <v>29335.5</v>
          </cell>
          <cell r="Z18">
            <v>0</v>
          </cell>
          <cell r="AA18">
            <v>0</v>
          </cell>
        </row>
        <row r="19">
          <cell r="E19">
            <v>57921</v>
          </cell>
          <cell r="F19">
            <v>977696.9</v>
          </cell>
          <cell r="H19">
            <v>34468</v>
          </cell>
          <cell r="I19">
            <v>456216.10000000003</v>
          </cell>
          <cell r="K19">
            <v>8996</v>
          </cell>
          <cell r="L19">
            <v>193308.7</v>
          </cell>
          <cell r="N19">
            <v>10117</v>
          </cell>
          <cell r="O19">
            <v>210263.6</v>
          </cell>
          <cell r="Q19">
            <v>1072</v>
          </cell>
          <cell r="R19">
            <v>28761</v>
          </cell>
          <cell r="T19">
            <v>2306</v>
          </cell>
          <cell r="U19">
            <v>63657.25</v>
          </cell>
          <cell r="W19">
            <v>962</v>
          </cell>
          <cell r="X19">
            <v>25490.25</v>
          </cell>
          <cell r="Z19">
            <v>0</v>
          </cell>
          <cell r="AA19">
            <v>0</v>
          </cell>
        </row>
        <row r="20">
          <cell r="E20">
            <v>297840</v>
          </cell>
          <cell r="F20">
            <v>5406930.3599999994</v>
          </cell>
          <cell r="H20">
            <v>157427</v>
          </cell>
          <cell r="I20">
            <v>2155918.2200000002</v>
          </cell>
          <cell r="K20">
            <v>44790</v>
          </cell>
          <cell r="L20">
            <v>993566.74</v>
          </cell>
          <cell r="N20">
            <v>46004</v>
          </cell>
          <cell r="O20">
            <v>942122.14999999991</v>
          </cell>
          <cell r="Q20">
            <v>1124</v>
          </cell>
          <cell r="R20">
            <v>28965</v>
          </cell>
          <cell r="T20">
            <v>45446</v>
          </cell>
          <cell r="U20">
            <v>1206918.25</v>
          </cell>
          <cell r="W20">
            <v>3049</v>
          </cell>
          <cell r="X20">
            <v>79440</v>
          </cell>
          <cell r="Z20">
            <v>0</v>
          </cell>
          <cell r="AA20">
            <v>0</v>
          </cell>
        </row>
        <row r="21">
          <cell r="E21">
            <v>79785</v>
          </cell>
          <cell r="F21">
            <v>1456462.8599999999</v>
          </cell>
          <cell r="H21">
            <v>38691</v>
          </cell>
          <cell r="I21">
            <v>524464.96</v>
          </cell>
          <cell r="K21">
            <v>14007</v>
          </cell>
          <cell r="L21">
            <v>301952.09999999998</v>
          </cell>
          <cell r="N21">
            <v>18118</v>
          </cell>
          <cell r="O21">
            <v>392678.30000000005</v>
          </cell>
          <cell r="Q21">
            <v>374</v>
          </cell>
          <cell r="R21">
            <v>9187</v>
          </cell>
          <cell r="T21">
            <v>7879</v>
          </cell>
          <cell r="U21">
            <v>209582</v>
          </cell>
          <cell r="W21">
            <v>716</v>
          </cell>
          <cell r="X21">
            <v>18598.5</v>
          </cell>
          <cell r="Z21">
            <v>0</v>
          </cell>
          <cell r="AA21">
            <v>0</v>
          </cell>
        </row>
        <row r="22">
          <cell r="E22">
            <v>394860</v>
          </cell>
          <cell r="F22">
            <v>6913221.1999999993</v>
          </cell>
          <cell r="H22">
            <v>236967</v>
          </cell>
          <cell r="I22">
            <v>3188370.1499999994</v>
          </cell>
          <cell r="K22">
            <v>53672</v>
          </cell>
          <cell r="L22">
            <v>1219552.51</v>
          </cell>
          <cell r="N22">
            <v>50436</v>
          </cell>
          <cell r="O22">
            <v>1032182.69</v>
          </cell>
          <cell r="Q22">
            <v>1800</v>
          </cell>
          <cell r="R22">
            <v>49470.25</v>
          </cell>
          <cell r="T22">
            <v>39758</v>
          </cell>
          <cell r="U22">
            <v>1077424.55</v>
          </cell>
          <cell r="W22">
            <v>12227</v>
          </cell>
          <cell r="X22">
            <v>346221.05</v>
          </cell>
          <cell r="Z22">
            <v>0</v>
          </cell>
          <cell r="AA22">
            <v>0</v>
          </cell>
        </row>
        <row r="23">
          <cell r="E23">
            <v>87812</v>
          </cell>
          <cell r="F23">
            <v>1540644.52</v>
          </cell>
          <cell r="H23">
            <v>45789</v>
          </cell>
          <cell r="I23">
            <v>575504.1</v>
          </cell>
          <cell r="K23">
            <v>13992</v>
          </cell>
          <cell r="L23">
            <v>318176.59999999998</v>
          </cell>
          <cell r="N23">
            <v>17119</v>
          </cell>
          <cell r="O23">
            <v>353657.57</v>
          </cell>
          <cell r="Q23">
            <v>862</v>
          </cell>
          <cell r="R23">
            <v>22561.75</v>
          </cell>
          <cell r="T23">
            <v>9191</v>
          </cell>
          <cell r="U23">
            <v>248058.5</v>
          </cell>
          <cell r="W23">
            <v>859</v>
          </cell>
          <cell r="X23">
            <v>22686</v>
          </cell>
          <cell r="Z23">
            <v>0</v>
          </cell>
          <cell r="AA23">
            <v>0</v>
          </cell>
        </row>
        <row r="24">
          <cell r="E24">
            <v>619563</v>
          </cell>
          <cell r="F24">
            <v>11739969.779999999</v>
          </cell>
          <cell r="H24">
            <v>314315</v>
          </cell>
          <cell r="I24">
            <v>4500212.93</v>
          </cell>
          <cell r="K24">
            <v>86857</v>
          </cell>
          <cell r="L24">
            <v>1933615.1</v>
          </cell>
          <cell r="N24">
            <v>115908</v>
          </cell>
          <cell r="O24">
            <v>2461498.9</v>
          </cell>
          <cell r="Q24">
            <v>1842</v>
          </cell>
          <cell r="R24">
            <v>48574.25</v>
          </cell>
          <cell r="T24">
            <v>97366</v>
          </cell>
          <cell r="U24">
            <v>2706840.35</v>
          </cell>
          <cell r="W24">
            <v>3275</v>
          </cell>
          <cell r="X24">
            <v>89228.25</v>
          </cell>
          <cell r="Z24">
            <v>0</v>
          </cell>
          <cell r="AA24">
            <v>0</v>
          </cell>
        </row>
        <row r="25">
          <cell r="E25">
            <v>97911</v>
          </cell>
          <cell r="F25">
            <v>1534474.9600000002</v>
          </cell>
          <cell r="H25">
            <v>70672</v>
          </cell>
          <cell r="I25">
            <v>928032.4600000002</v>
          </cell>
          <cell r="K25">
            <v>4385</v>
          </cell>
          <cell r="L25">
            <v>93790</v>
          </cell>
          <cell r="N25">
            <v>15391</v>
          </cell>
          <cell r="O25">
            <v>314244</v>
          </cell>
          <cell r="Q25">
            <v>425</v>
          </cell>
          <cell r="R25">
            <v>11592.5</v>
          </cell>
          <cell r="T25">
            <v>6371</v>
          </cell>
          <cell r="U25">
            <v>168238.25</v>
          </cell>
          <cell r="W25">
            <v>667</v>
          </cell>
          <cell r="X25">
            <v>18577.75</v>
          </cell>
          <cell r="Z25">
            <v>0</v>
          </cell>
          <cell r="AA25">
            <v>0</v>
          </cell>
        </row>
        <row r="26">
          <cell r="E26">
            <v>43095</v>
          </cell>
          <cell r="F26">
            <v>783178.27</v>
          </cell>
          <cell r="H26">
            <v>19650</v>
          </cell>
          <cell r="I26">
            <v>271797.97000000003</v>
          </cell>
          <cell r="K26">
            <v>9259</v>
          </cell>
          <cell r="L26">
            <v>199136.55</v>
          </cell>
          <cell r="N26">
            <v>9771</v>
          </cell>
          <cell r="O26">
            <v>195301.09999999998</v>
          </cell>
          <cell r="Q26">
            <v>461</v>
          </cell>
          <cell r="R26">
            <v>11581.5</v>
          </cell>
          <cell r="T26">
            <v>3909</v>
          </cell>
          <cell r="U26">
            <v>104350.15</v>
          </cell>
          <cell r="W26">
            <v>45</v>
          </cell>
          <cell r="X26">
            <v>1011</v>
          </cell>
          <cell r="Z26">
            <v>0</v>
          </cell>
          <cell r="AA26">
            <v>0</v>
          </cell>
        </row>
        <row r="27">
          <cell r="E27">
            <v>63156</v>
          </cell>
          <cell r="F27">
            <v>1091152.28</v>
          </cell>
          <cell r="H27">
            <v>38323</v>
          </cell>
          <cell r="I27">
            <v>526309.23</v>
          </cell>
          <cell r="K27">
            <v>5287</v>
          </cell>
          <cell r="L27">
            <v>111966.05</v>
          </cell>
          <cell r="N27">
            <v>9233</v>
          </cell>
          <cell r="O27">
            <v>182247</v>
          </cell>
          <cell r="Q27">
            <v>439</v>
          </cell>
          <cell r="R27">
            <v>10842</v>
          </cell>
          <cell r="T27">
            <v>9521</v>
          </cell>
          <cell r="U27">
            <v>250480.5</v>
          </cell>
          <cell r="W27">
            <v>353</v>
          </cell>
          <cell r="X27">
            <v>9307.5</v>
          </cell>
          <cell r="Z27">
            <v>0</v>
          </cell>
          <cell r="AA27">
            <v>0</v>
          </cell>
        </row>
        <row r="28">
          <cell r="E28">
            <v>322282</v>
          </cell>
          <cell r="F28">
            <v>5777403.1699999999</v>
          </cell>
          <cell r="H28">
            <v>181826</v>
          </cell>
          <cell r="I28">
            <v>2544953.5100000002</v>
          </cell>
          <cell r="K28">
            <v>32766</v>
          </cell>
          <cell r="L28">
            <v>708514.5</v>
          </cell>
          <cell r="N28">
            <v>62097</v>
          </cell>
          <cell r="O28">
            <v>1290140.4999999998</v>
          </cell>
          <cell r="Q28">
            <v>1558</v>
          </cell>
          <cell r="R28">
            <v>40203</v>
          </cell>
          <cell r="T28">
            <v>42631</v>
          </cell>
          <cell r="U28">
            <v>1154660.4100000001</v>
          </cell>
          <cell r="W28">
            <v>1404</v>
          </cell>
          <cell r="X28">
            <v>38931.25</v>
          </cell>
          <cell r="Z28">
            <v>0</v>
          </cell>
          <cell r="AA28">
            <v>0</v>
          </cell>
        </row>
        <row r="29">
          <cell r="E29">
            <v>47986</v>
          </cell>
          <cell r="F29">
            <v>816150.12</v>
          </cell>
          <cell r="H29">
            <v>26493</v>
          </cell>
          <cell r="I29">
            <v>336499.12</v>
          </cell>
          <cell r="K29">
            <v>4727</v>
          </cell>
          <cell r="L29">
            <v>98519</v>
          </cell>
          <cell r="N29">
            <v>10519</v>
          </cell>
          <cell r="O29">
            <v>209397.25</v>
          </cell>
          <cell r="Q29">
            <v>298</v>
          </cell>
          <cell r="R29">
            <v>7774</v>
          </cell>
          <cell r="T29">
            <v>5237</v>
          </cell>
          <cell r="U29">
            <v>143885</v>
          </cell>
          <cell r="W29">
            <v>712</v>
          </cell>
          <cell r="X29">
            <v>20075.75</v>
          </cell>
          <cell r="Z29">
            <v>0</v>
          </cell>
          <cell r="AA29">
            <v>0</v>
          </cell>
        </row>
      </sheetData>
      <sheetData sheetId="12">
        <row r="3">
          <cell r="E3">
            <v>2800431</v>
          </cell>
          <cell r="F3">
            <v>56957203.709999993</v>
          </cell>
          <cell r="H3">
            <v>1290579</v>
          </cell>
          <cell r="I3">
            <v>18886485.969999999</v>
          </cell>
          <cell r="K3">
            <v>144287</v>
          </cell>
          <cell r="L3">
            <v>3200314</v>
          </cell>
          <cell r="N3">
            <v>601483</v>
          </cell>
          <cell r="O3">
            <v>13508193.839999998</v>
          </cell>
          <cell r="Q3">
            <v>26525</v>
          </cell>
          <cell r="R3">
            <v>765059.75</v>
          </cell>
          <cell r="T3">
            <v>707341</v>
          </cell>
          <cell r="U3">
            <v>19884483.149999999</v>
          </cell>
          <cell r="W3">
            <v>13018</v>
          </cell>
          <cell r="X3">
            <v>360108</v>
          </cell>
          <cell r="Z3">
            <v>17198</v>
          </cell>
          <cell r="AA3">
            <v>352559</v>
          </cell>
        </row>
        <row r="4">
          <cell r="E4">
            <v>50619</v>
          </cell>
          <cell r="F4">
            <v>829940.36999999988</v>
          </cell>
          <cell r="H4">
            <v>33071</v>
          </cell>
          <cell r="I4">
            <v>447521.56999999995</v>
          </cell>
          <cell r="K4">
            <v>4947</v>
          </cell>
          <cell r="L4">
            <v>104239.35</v>
          </cell>
          <cell r="N4">
            <v>7870</v>
          </cell>
          <cell r="O4">
            <v>157076.95000000001</v>
          </cell>
          <cell r="Q4">
            <v>154</v>
          </cell>
          <cell r="R4">
            <v>3550</v>
          </cell>
          <cell r="T4">
            <v>4330</v>
          </cell>
          <cell r="U4">
            <v>110842.25</v>
          </cell>
          <cell r="W4">
            <v>247</v>
          </cell>
          <cell r="X4">
            <v>6710.25</v>
          </cell>
          <cell r="Z4">
            <v>0</v>
          </cell>
          <cell r="AA4">
            <v>0</v>
          </cell>
        </row>
        <row r="5">
          <cell r="E5">
            <v>227258</v>
          </cell>
          <cell r="F5">
            <v>3685856.4899999998</v>
          </cell>
          <cell r="H5">
            <v>165274</v>
          </cell>
          <cell r="I5">
            <v>2208749.1399999997</v>
          </cell>
          <cell r="K5">
            <v>3616</v>
          </cell>
          <cell r="L5">
            <v>77508.649999999994</v>
          </cell>
          <cell r="N5">
            <v>32556</v>
          </cell>
          <cell r="O5">
            <v>669496.85</v>
          </cell>
          <cell r="Q5">
            <v>254</v>
          </cell>
          <cell r="R5">
            <v>6317.25</v>
          </cell>
          <cell r="T5">
            <v>21831</v>
          </cell>
          <cell r="U5">
            <v>617593.10000000009</v>
          </cell>
          <cell r="W5">
            <v>3727</v>
          </cell>
          <cell r="X5">
            <v>106191.5</v>
          </cell>
          <cell r="Z5">
            <v>0</v>
          </cell>
          <cell r="AA5">
            <v>0</v>
          </cell>
        </row>
        <row r="6">
          <cell r="E6">
            <v>420166</v>
          </cell>
          <cell r="F6">
            <v>7521209.8899999997</v>
          </cell>
          <cell r="H6">
            <v>243190</v>
          </cell>
          <cell r="I6">
            <v>3214197.23</v>
          </cell>
          <cell r="K6">
            <v>84510</v>
          </cell>
          <cell r="L6">
            <v>1951857.91</v>
          </cell>
          <cell r="N6">
            <v>40708</v>
          </cell>
          <cell r="O6">
            <v>880904.75</v>
          </cell>
          <cell r="Q6">
            <v>8479</v>
          </cell>
          <cell r="R6">
            <v>246895.5</v>
          </cell>
          <cell r="T6">
            <v>42113</v>
          </cell>
          <cell r="U6">
            <v>1199852.5</v>
          </cell>
          <cell r="W6">
            <v>691</v>
          </cell>
          <cell r="X6">
            <v>20377</v>
          </cell>
          <cell r="Z6">
            <v>475</v>
          </cell>
          <cell r="AA6">
            <v>7125</v>
          </cell>
        </row>
        <row r="7">
          <cell r="E7">
            <v>115539</v>
          </cell>
          <cell r="F7">
            <v>2218679.48</v>
          </cell>
          <cell r="H7">
            <v>40829</v>
          </cell>
          <cell r="I7">
            <v>561432.06999999995</v>
          </cell>
          <cell r="K7">
            <v>35909</v>
          </cell>
          <cell r="L7">
            <v>780358.7</v>
          </cell>
          <cell r="N7">
            <v>30916</v>
          </cell>
          <cell r="O7">
            <v>662719.96</v>
          </cell>
          <cell r="Q7">
            <v>714</v>
          </cell>
          <cell r="R7">
            <v>17937.5</v>
          </cell>
          <cell r="T7">
            <v>7085</v>
          </cell>
          <cell r="U7">
            <v>194077.25</v>
          </cell>
          <cell r="W7">
            <v>86</v>
          </cell>
          <cell r="X7">
            <v>2154</v>
          </cell>
          <cell r="Z7">
            <v>0</v>
          </cell>
          <cell r="AA7">
            <v>0</v>
          </cell>
        </row>
        <row r="8">
          <cell r="E8">
            <v>104123</v>
          </cell>
          <cell r="F8">
            <v>1976712.5</v>
          </cell>
          <cell r="H8">
            <v>43200</v>
          </cell>
          <cell r="I8">
            <v>588184.80000000005</v>
          </cell>
          <cell r="K8">
            <v>19433</v>
          </cell>
          <cell r="L8">
            <v>420989.65</v>
          </cell>
          <cell r="N8">
            <v>29152</v>
          </cell>
          <cell r="O8">
            <v>637523.30000000005</v>
          </cell>
          <cell r="Q8">
            <v>577</v>
          </cell>
          <cell r="R8">
            <v>15006</v>
          </cell>
          <cell r="T8">
            <v>9263</v>
          </cell>
          <cell r="U8">
            <v>244786.5</v>
          </cell>
          <cell r="W8">
            <v>2498</v>
          </cell>
          <cell r="X8">
            <v>70222.25</v>
          </cell>
          <cell r="Z8">
            <v>0</v>
          </cell>
          <cell r="AA8">
            <v>0</v>
          </cell>
        </row>
        <row r="9">
          <cell r="E9">
            <v>69789</v>
          </cell>
          <cell r="F9">
            <v>1182107.28</v>
          </cell>
          <cell r="H9">
            <v>44493</v>
          </cell>
          <cell r="I9">
            <v>614577.73</v>
          </cell>
          <cell r="K9">
            <v>2942</v>
          </cell>
          <cell r="L9">
            <v>62146.1</v>
          </cell>
          <cell r="N9">
            <v>15262</v>
          </cell>
          <cell r="O9">
            <v>320601.45</v>
          </cell>
          <cell r="Q9">
            <v>204</v>
          </cell>
          <cell r="R9">
            <v>4917</v>
          </cell>
          <cell r="T9">
            <v>6771</v>
          </cell>
          <cell r="U9">
            <v>176961.75</v>
          </cell>
          <cell r="W9">
            <v>117</v>
          </cell>
          <cell r="X9">
            <v>2903.25</v>
          </cell>
          <cell r="Z9">
            <v>0</v>
          </cell>
          <cell r="AA9">
            <v>0</v>
          </cell>
        </row>
        <row r="10">
          <cell r="E10">
            <v>134089</v>
          </cell>
          <cell r="F10">
            <v>2437140.0099999998</v>
          </cell>
          <cell r="H10">
            <v>68643</v>
          </cell>
          <cell r="I10">
            <v>964712.61</v>
          </cell>
          <cell r="K10">
            <v>23371</v>
          </cell>
          <cell r="L10">
            <v>497697.05</v>
          </cell>
          <cell r="N10">
            <v>21871</v>
          </cell>
          <cell r="O10">
            <v>449173.6</v>
          </cell>
          <cell r="Q10">
            <v>311</v>
          </cell>
          <cell r="R10">
            <v>7345.25</v>
          </cell>
          <cell r="T10">
            <v>17686</v>
          </cell>
          <cell r="U10">
            <v>455141.25</v>
          </cell>
          <cell r="W10">
            <v>2207</v>
          </cell>
          <cell r="X10">
            <v>63070.25</v>
          </cell>
          <cell r="Z10">
            <v>0</v>
          </cell>
          <cell r="AA10">
            <v>0</v>
          </cell>
        </row>
        <row r="11">
          <cell r="E11">
            <v>90580</v>
          </cell>
          <cell r="F11">
            <v>1547867.8</v>
          </cell>
          <cell r="H11">
            <v>55796</v>
          </cell>
          <cell r="I11">
            <v>771922.4</v>
          </cell>
          <cell r="K11">
            <v>10163</v>
          </cell>
          <cell r="L11">
            <v>214627.5</v>
          </cell>
          <cell r="N11">
            <v>14634</v>
          </cell>
          <cell r="O11">
            <v>295967.15000000002</v>
          </cell>
          <cell r="Q11">
            <v>137</v>
          </cell>
          <cell r="R11">
            <v>3551</v>
          </cell>
          <cell r="T11">
            <v>7981</v>
          </cell>
          <cell r="U11">
            <v>210507</v>
          </cell>
          <cell r="W11">
            <v>1869</v>
          </cell>
          <cell r="X11">
            <v>51292.75</v>
          </cell>
          <cell r="Z11">
            <v>0</v>
          </cell>
          <cell r="AA11">
            <v>0</v>
          </cell>
        </row>
        <row r="12">
          <cell r="E12">
            <v>297461</v>
          </cell>
          <cell r="F12">
            <v>5345272.66</v>
          </cell>
          <cell r="H12">
            <v>173609</v>
          </cell>
          <cell r="I12">
            <v>2403679.8600000003</v>
          </cell>
          <cell r="K12">
            <v>30610</v>
          </cell>
          <cell r="L12">
            <v>659986.69999999995</v>
          </cell>
          <cell r="N12">
            <v>51716</v>
          </cell>
          <cell r="O12">
            <v>1118015.6000000001</v>
          </cell>
          <cell r="Q12">
            <v>2158</v>
          </cell>
          <cell r="R12">
            <v>58917.75</v>
          </cell>
          <cell r="T12">
            <v>37653</v>
          </cell>
          <cell r="U12">
            <v>1056906</v>
          </cell>
          <cell r="W12">
            <v>1715</v>
          </cell>
          <cell r="X12">
            <v>47766.75</v>
          </cell>
          <cell r="Z12">
            <v>0</v>
          </cell>
          <cell r="AA12">
            <v>0</v>
          </cell>
        </row>
        <row r="13">
          <cell r="E13">
            <v>16348</v>
          </cell>
          <cell r="F13">
            <v>294945.05</v>
          </cell>
          <cell r="H13">
            <v>8674</v>
          </cell>
          <cell r="I13">
            <v>115117.74999999999</v>
          </cell>
          <cell r="K13">
            <v>1552</v>
          </cell>
          <cell r="L13">
            <v>32745.35</v>
          </cell>
          <cell r="N13">
            <v>3730</v>
          </cell>
          <cell r="O13">
            <v>79359.199999999997</v>
          </cell>
          <cell r="Q13">
            <v>179</v>
          </cell>
          <cell r="R13">
            <v>4464</v>
          </cell>
          <cell r="T13">
            <v>865</v>
          </cell>
          <cell r="U13">
            <v>24360.5</v>
          </cell>
          <cell r="W13">
            <v>1348</v>
          </cell>
          <cell r="X13">
            <v>38898.25</v>
          </cell>
          <cell r="Z13">
            <v>0</v>
          </cell>
          <cell r="AA13">
            <v>0</v>
          </cell>
        </row>
        <row r="14">
          <cell r="E14">
            <v>716593</v>
          </cell>
          <cell r="F14">
            <v>12700965.949999999</v>
          </cell>
          <cell r="H14">
            <v>413786</v>
          </cell>
          <cell r="I14">
            <v>5563340.5999999996</v>
          </cell>
          <cell r="K14">
            <v>72967</v>
          </cell>
          <cell r="L14">
            <v>1644693.05</v>
          </cell>
          <cell r="N14">
            <v>118718</v>
          </cell>
          <cell r="O14">
            <v>2457352.4</v>
          </cell>
          <cell r="Q14">
            <v>2785</v>
          </cell>
          <cell r="R14">
            <v>77818.75</v>
          </cell>
          <cell r="T14">
            <v>101444</v>
          </cell>
          <cell r="U14">
            <v>2760890.65</v>
          </cell>
          <cell r="W14">
            <v>6893</v>
          </cell>
          <cell r="X14">
            <v>196870.5</v>
          </cell>
          <cell r="Z14">
            <v>0</v>
          </cell>
          <cell r="AA14">
            <v>0</v>
          </cell>
        </row>
        <row r="15">
          <cell r="E15">
            <v>82850</v>
          </cell>
          <cell r="F15">
            <v>1321264.6300000001</v>
          </cell>
          <cell r="H15">
            <v>59595</v>
          </cell>
          <cell r="I15">
            <v>790453.53</v>
          </cell>
          <cell r="K15">
            <v>6108</v>
          </cell>
          <cell r="L15">
            <v>130069.04999999999</v>
          </cell>
          <cell r="N15">
            <v>10301</v>
          </cell>
          <cell r="O15">
            <v>211631.2</v>
          </cell>
          <cell r="Q15">
            <v>278</v>
          </cell>
          <cell r="R15">
            <v>7271.5</v>
          </cell>
          <cell r="T15">
            <v>4789</v>
          </cell>
          <cell r="U15">
            <v>134567.85</v>
          </cell>
          <cell r="W15">
            <v>1779</v>
          </cell>
          <cell r="X15">
            <v>47271.5</v>
          </cell>
          <cell r="Z15">
            <v>0</v>
          </cell>
          <cell r="AA15">
            <v>0</v>
          </cell>
        </row>
        <row r="16">
          <cell r="E16">
            <v>111526</v>
          </cell>
          <cell r="F16">
            <v>1816383.41</v>
          </cell>
          <cell r="H16">
            <v>72519</v>
          </cell>
          <cell r="I16">
            <v>928214.96</v>
          </cell>
          <cell r="K16">
            <v>11580</v>
          </cell>
          <cell r="L16">
            <v>247427.75</v>
          </cell>
          <cell r="N16">
            <v>15364</v>
          </cell>
          <cell r="O16">
            <v>307888.2</v>
          </cell>
          <cell r="Q16">
            <v>354</v>
          </cell>
          <cell r="R16">
            <v>9317</v>
          </cell>
          <cell r="T16">
            <v>8835</v>
          </cell>
          <cell r="U16">
            <v>242576.5</v>
          </cell>
          <cell r="W16">
            <v>2874</v>
          </cell>
          <cell r="X16">
            <v>80959</v>
          </cell>
          <cell r="Z16">
            <v>0</v>
          </cell>
          <cell r="AA16">
            <v>0</v>
          </cell>
        </row>
        <row r="17">
          <cell r="E17">
            <v>211863</v>
          </cell>
          <cell r="F17">
            <v>3780750.4200000004</v>
          </cell>
          <cell r="H17">
            <v>119763</v>
          </cell>
          <cell r="I17">
            <v>1665101.02</v>
          </cell>
          <cell r="K17">
            <v>22078</v>
          </cell>
          <cell r="L17">
            <v>474116.2</v>
          </cell>
          <cell r="N17">
            <v>42822</v>
          </cell>
          <cell r="O17">
            <v>920950.70000000007</v>
          </cell>
          <cell r="Q17">
            <v>826</v>
          </cell>
          <cell r="R17">
            <v>21746</v>
          </cell>
          <cell r="T17">
            <v>25483</v>
          </cell>
          <cell r="U17">
            <v>676629</v>
          </cell>
          <cell r="W17">
            <v>891</v>
          </cell>
          <cell r="X17">
            <v>22207.5</v>
          </cell>
          <cell r="Z17">
            <v>0</v>
          </cell>
          <cell r="AA17">
            <v>0</v>
          </cell>
        </row>
        <row r="18">
          <cell r="E18">
            <v>91472</v>
          </cell>
          <cell r="F18">
            <v>1536965.73</v>
          </cell>
          <cell r="H18">
            <v>60377</v>
          </cell>
          <cell r="I18">
            <v>795919.08</v>
          </cell>
          <cell r="K18">
            <v>9907</v>
          </cell>
          <cell r="L18">
            <v>225359.14999999997</v>
          </cell>
          <cell r="N18">
            <v>11602</v>
          </cell>
          <cell r="O18">
            <v>246379.55000000002</v>
          </cell>
          <cell r="Q18">
            <v>4101</v>
          </cell>
          <cell r="R18">
            <v>118065</v>
          </cell>
          <cell r="T18">
            <v>4370</v>
          </cell>
          <cell r="U18">
            <v>121049.45</v>
          </cell>
          <cell r="W18">
            <v>1115</v>
          </cell>
          <cell r="X18">
            <v>30193.5</v>
          </cell>
          <cell r="Z18">
            <v>0</v>
          </cell>
          <cell r="AA18">
            <v>0</v>
          </cell>
        </row>
        <row r="19">
          <cell r="E19">
            <v>57425</v>
          </cell>
          <cell r="F19">
            <v>970945.97000000009</v>
          </cell>
          <cell r="H19">
            <v>34064</v>
          </cell>
          <cell r="I19">
            <v>450282.17000000004</v>
          </cell>
          <cell r="K19">
            <v>8933</v>
          </cell>
          <cell r="L19">
            <v>192261.9</v>
          </cell>
          <cell r="N19">
            <v>9949</v>
          </cell>
          <cell r="O19">
            <v>207013.4</v>
          </cell>
          <cell r="Q19">
            <v>1154</v>
          </cell>
          <cell r="R19">
            <v>31147.5</v>
          </cell>
          <cell r="T19">
            <v>2398</v>
          </cell>
          <cell r="U19">
            <v>66248</v>
          </cell>
          <cell r="W19">
            <v>927</v>
          </cell>
          <cell r="X19">
            <v>23993</v>
          </cell>
          <cell r="Z19">
            <v>0</v>
          </cell>
          <cell r="AA19">
            <v>0</v>
          </cell>
        </row>
        <row r="20">
          <cell r="E20">
            <v>288861</v>
          </cell>
          <cell r="F20">
            <v>5234649.51</v>
          </cell>
          <cell r="H20">
            <v>152643</v>
          </cell>
          <cell r="I20">
            <v>2075753.7599999998</v>
          </cell>
          <cell r="K20">
            <v>41059</v>
          </cell>
          <cell r="L20">
            <v>911368.85</v>
          </cell>
          <cell r="N20">
            <v>45765</v>
          </cell>
          <cell r="O20">
            <v>938741.2</v>
          </cell>
          <cell r="Q20">
            <v>1167</v>
          </cell>
          <cell r="R20">
            <v>30130</v>
          </cell>
          <cell r="T20">
            <v>45244</v>
          </cell>
          <cell r="U20">
            <v>1200308.7</v>
          </cell>
          <cell r="W20">
            <v>2983</v>
          </cell>
          <cell r="X20">
            <v>78347</v>
          </cell>
          <cell r="Z20">
            <v>0</v>
          </cell>
          <cell r="AA20">
            <v>0</v>
          </cell>
        </row>
        <row r="21">
          <cell r="E21">
            <v>76254</v>
          </cell>
          <cell r="F21">
            <v>1381120.03</v>
          </cell>
          <cell r="H21">
            <v>37672</v>
          </cell>
          <cell r="I21">
            <v>505472.53</v>
          </cell>
          <cell r="K21">
            <v>12288</v>
          </cell>
          <cell r="L21">
            <v>264167.05</v>
          </cell>
          <cell r="N21">
            <v>17707</v>
          </cell>
          <cell r="O21">
            <v>383257.7</v>
          </cell>
          <cell r="Q21">
            <v>396</v>
          </cell>
          <cell r="R21">
            <v>10077</v>
          </cell>
          <cell r="T21">
            <v>7486</v>
          </cell>
          <cell r="U21">
            <v>199271.75</v>
          </cell>
          <cell r="W21">
            <v>705</v>
          </cell>
          <cell r="X21">
            <v>18874</v>
          </cell>
          <cell r="Z21">
            <v>0</v>
          </cell>
          <cell r="AA21">
            <v>0</v>
          </cell>
        </row>
        <row r="22">
          <cell r="E22">
            <v>402110</v>
          </cell>
          <cell r="F22">
            <v>7050237.040000001</v>
          </cell>
          <cell r="H22">
            <v>240666</v>
          </cell>
          <cell r="I22">
            <v>3258743.6300000004</v>
          </cell>
          <cell r="K22">
            <v>58062</v>
          </cell>
          <cell r="L22">
            <v>1316301.76</v>
          </cell>
          <cell r="N22">
            <v>50818</v>
          </cell>
          <cell r="O22">
            <v>1039156.7499999999</v>
          </cell>
          <cell r="Q22">
            <v>1794</v>
          </cell>
          <cell r="R22">
            <v>49025</v>
          </cell>
          <cell r="T22">
            <v>38493</v>
          </cell>
          <cell r="U22">
            <v>1039332.65</v>
          </cell>
          <cell r="W22">
            <v>12277</v>
          </cell>
          <cell r="X22">
            <v>347677.25</v>
          </cell>
          <cell r="Z22">
            <v>0</v>
          </cell>
          <cell r="AA22">
            <v>0</v>
          </cell>
        </row>
        <row r="23">
          <cell r="E23">
            <v>85539</v>
          </cell>
          <cell r="F23">
            <v>1493516.0699999998</v>
          </cell>
          <cell r="H23">
            <v>44915</v>
          </cell>
          <cell r="I23">
            <v>563749.47</v>
          </cell>
          <cell r="K23">
            <v>12904</v>
          </cell>
          <cell r="L23">
            <v>291854.90000000002</v>
          </cell>
          <cell r="N23">
            <v>16984</v>
          </cell>
          <cell r="O23">
            <v>347692.69999999995</v>
          </cell>
          <cell r="Q23">
            <v>653</v>
          </cell>
          <cell r="R23">
            <v>17227</v>
          </cell>
          <cell r="T23">
            <v>9173</v>
          </cell>
          <cell r="U23">
            <v>248706.75</v>
          </cell>
          <cell r="W23">
            <v>910</v>
          </cell>
          <cell r="X23">
            <v>24285.25</v>
          </cell>
          <cell r="Z23">
            <v>0</v>
          </cell>
          <cell r="AA23">
            <v>0</v>
          </cell>
        </row>
        <row r="24">
          <cell r="E24">
            <v>625158</v>
          </cell>
          <cell r="F24">
            <v>11870520.52</v>
          </cell>
          <cell r="H24">
            <v>315237</v>
          </cell>
          <cell r="I24">
            <v>4522410.2699999996</v>
          </cell>
          <cell r="K24">
            <v>87735</v>
          </cell>
          <cell r="L24">
            <v>1950044.9499999997</v>
          </cell>
          <cell r="N24">
            <v>119435</v>
          </cell>
          <cell r="O24">
            <v>2547926.3499999996</v>
          </cell>
          <cell r="Q24">
            <v>1618</v>
          </cell>
          <cell r="R24">
            <v>42745.5</v>
          </cell>
          <cell r="T24">
            <v>97897</v>
          </cell>
          <cell r="U24">
            <v>2719468.7</v>
          </cell>
          <cell r="W24">
            <v>3236</v>
          </cell>
          <cell r="X24">
            <v>87924.75</v>
          </cell>
          <cell r="Z24">
            <v>0</v>
          </cell>
          <cell r="AA24">
            <v>0</v>
          </cell>
        </row>
        <row r="25">
          <cell r="E25">
            <v>99955</v>
          </cell>
          <cell r="F25">
            <v>1587431.85</v>
          </cell>
          <cell r="H25">
            <v>71401</v>
          </cell>
          <cell r="I25">
            <v>944561.70000000007</v>
          </cell>
          <cell r="K25">
            <v>5002</v>
          </cell>
          <cell r="L25">
            <v>107216.85</v>
          </cell>
          <cell r="N25">
            <v>15407</v>
          </cell>
          <cell r="O25">
            <v>317289.05</v>
          </cell>
          <cell r="Q25">
            <v>591</v>
          </cell>
          <cell r="R25">
            <v>16399</v>
          </cell>
          <cell r="T25">
            <v>6180</v>
          </cell>
          <cell r="U25">
            <v>162719.75</v>
          </cell>
          <cell r="W25">
            <v>1374</v>
          </cell>
          <cell r="X25">
            <v>39245.5</v>
          </cell>
          <cell r="Z25">
            <v>0</v>
          </cell>
          <cell r="AA25">
            <v>0</v>
          </cell>
        </row>
        <row r="26">
          <cell r="E26">
            <v>42168</v>
          </cell>
          <cell r="F26">
            <v>768662.4</v>
          </cell>
          <cell r="H26">
            <v>19162</v>
          </cell>
          <cell r="I26">
            <v>262830.59999999998</v>
          </cell>
          <cell r="K26">
            <v>8664</v>
          </cell>
          <cell r="L26">
            <v>186313.9</v>
          </cell>
          <cell r="N26">
            <v>9600</v>
          </cell>
          <cell r="O26">
            <v>192870.39999999999</v>
          </cell>
          <cell r="Q26">
            <v>375</v>
          </cell>
          <cell r="R26">
            <v>9352.5</v>
          </cell>
          <cell r="T26">
            <v>4286</v>
          </cell>
          <cell r="U26">
            <v>115468</v>
          </cell>
          <cell r="W26">
            <v>81</v>
          </cell>
          <cell r="X26">
            <v>1827</v>
          </cell>
          <cell r="Z26">
            <v>0</v>
          </cell>
          <cell r="AA26">
            <v>0</v>
          </cell>
        </row>
        <row r="27">
          <cell r="E27">
            <v>60548</v>
          </cell>
          <cell r="F27">
            <v>1033779.5299999999</v>
          </cell>
          <cell r="H27">
            <v>37120</v>
          </cell>
          <cell r="I27">
            <v>505890.78</v>
          </cell>
          <cell r="K27">
            <v>4995</v>
          </cell>
          <cell r="L27">
            <v>105346.85</v>
          </cell>
          <cell r="N27">
            <v>8799</v>
          </cell>
          <cell r="O27">
            <v>172757.75</v>
          </cell>
          <cell r="Q27">
            <v>336</v>
          </cell>
          <cell r="R27">
            <v>8361.5</v>
          </cell>
          <cell r="T27">
            <v>8865</v>
          </cell>
          <cell r="U27">
            <v>230749.8</v>
          </cell>
          <cell r="W27">
            <v>433</v>
          </cell>
          <cell r="X27">
            <v>10672.85</v>
          </cell>
          <cell r="Z27">
            <v>0</v>
          </cell>
          <cell r="AA27">
            <v>0</v>
          </cell>
        </row>
        <row r="28">
          <cell r="E28">
            <v>328325</v>
          </cell>
          <cell r="F28">
            <v>5876153.6600000001</v>
          </cell>
          <cell r="H28">
            <v>186138</v>
          </cell>
          <cell r="I28">
            <v>2606864.1100000003</v>
          </cell>
          <cell r="K28">
            <v>32815</v>
          </cell>
          <cell r="L28">
            <v>709403.35</v>
          </cell>
          <cell r="N28">
            <v>63276</v>
          </cell>
          <cell r="O28">
            <v>1309284.95</v>
          </cell>
          <cell r="Q28">
            <v>1392</v>
          </cell>
          <cell r="R28">
            <v>35799</v>
          </cell>
          <cell r="T28">
            <v>43384</v>
          </cell>
          <cell r="U28">
            <v>1179056.25</v>
          </cell>
          <cell r="W28">
            <v>1320</v>
          </cell>
          <cell r="X28">
            <v>35746</v>
          </cell>
          <cell r="Z28">
            <v>0</v>
          </cell>
          <cell r="AA28">
            <v>0</v>
          </cell>
        </row>
        <row r="29">
          <cell r="E29">
            <v>51951</v>
          </cell>
          <cell r="F29">
            <v>885009.38</v>
          </cell>
          <cell r="H29">
            <v>29769</v>
          </cell>
          <cell r="I29">
            <v>391937.52999999997</v>
          </cell>
          <cell r="K29">
            <v>4086</v>
          </cell>
          <cell r="L29">
            <v>84625.5</v>
          </cell>
          <cell r="N29">
            <v>11528</v>
          </cell>
          <cell r="O29">
            <v>228638.85</v>
          </cell>
          <cell r="Q29">
            <v>293</v>
          </cell>
          <cell r="R29">
            <v>7973</v>
          </cell>
          <cell r="T29">
            <v>5524</v>
          </cell>
          <cell r="U29">
            <v>150660</v>
          </cell>
          <cell r="W29">
            <v>751</v>
          </cell>
          <cell r="X29">
            <v>21174.5</v>
          </cell>
          <cell r="Z29">
            <v>0</v>
          </cell>
          <cell r="AA29">
            <v>0</v>
          </cell>
        </row>
      </sheetData>
      <sheetData sheetId="13">
        <row r="3">
          <cell r="D3">
            <v>110463</v>
          </cell>
          <cell r="E3">
            <v>2827936</v>
          </cell>
          <cell r="F3">
            <v>57853189.540000007</v>
          </cell>
          <cell r="G3">
            <v>83393</v>
          </cell>
          <cell r="H3">
            <v>1288482</v>
          </cell>
          <cell r="I3">
            <v>18828618.290000003</v>
          </cell>
          <cell r="J3">
            <v>661</v>
          </cell>
          <cell r="K3">
            <v>134196</v>
          </cell>
          <cell r="L3">
            <v>2974984.4000000004</v>
          </cell>
          <cell r="M3">
            <v>17296</v>
          </cell>
          <cell r="N3">
            <v>611003</v>
          </cell>
          <cell r="O3">
            <v>13776852</v>
          </cell>
          <cell r="P3">
            <v>117</v>
          </cell>
          <cell r="Q3">
            <v>30023</v>
          </cell>
          <cell r="R3">
            <v>866311.5</v>
          </cell>
          <cell r="S3">
            <v>8806</v>
          </cell>
          <cell r="T3">
            <v>735533</v>
          </cell>
          <cell r="U3">
            <v>20700456.350000001</v>
          </cell>
          <cell r="V3">
            <v>189</v>
          </cell>
          <cell r="W3">
            <v>12996</v>
          </cell>
          <cell r="X3">
            <v>357467</v>
          </cell>
          <cell r="Y3">
            <v>1</v>
          </cell>
          <cell r="Z3">
            <v>15703</v>
          </cell>
          <cell r="AA3">
            <v>348500</v>
          </cell>
        </row>
        <row r="4">
          <cell r="D4">
            <v>3087</v>
          </cell>
          <cell r="E4">
            <v>51125</v>
          </cell>
          <cell r="F4">
            <v>844900.95</v>
          </cell>
          <cell r="G4">
            <v>2522</v>
          </cell>
          <cell r="H4">
            <v>33084</v>
          </cell>
          <cell r="I4">
            <v>449247.89999999997</v>
          </cell>
          <cell r="J4">
            <v>55</v>
          </cell>
          <cell r="K4">
            <v>4829</v>
          </cell>
          <cell r="L4">
            <v>101344.85</v>
          </cell>
          <cell r="M4">
            <v>382</v>
          </cell>
          <cell r="N4">
            <v>7999</v>
          </cell>
          <cell r="O4">
            <v>160445.45000000001</v>
          </cell>
          <cell r="P4">
            <v>4</v>
          </cell>
          <cell r="Q4">
            <v>206</v>
          </cell>
          <cell r="R4">
            <v>5075</v>
          </cell>
          <cell r="S4">
            <v>120</v>
          </cell>
          <cell r="T4">
            <v>4716</v>
          </cell>
          <cell r="U4">
            <v>120752.5</v>
          </cell>
          <cell r="V4">
            <v>4</v>
          </cell>
          <cell r="W4">
            <v>291</v>
          </cell>
          <cell r="X4">
            <v>8035.25</v>
          </cell>
          <cell r="Y4">
            <v>0</v>
          </cell>
          <cell r="Z4">
            <v>0</v>
          </cell>
          <cell r="AA4">
            <v>0</v>
          </cell>
        </row>
        <row r="5">
          <cell r="D5">
            <v>16182</v>
          </cell>
          <cell r="E5">
            <v>230041</v>
          </cell>
          <cell r="F5">
            <v>3760029.6799999997</v>
          </cell>
          <cell r="G5">
            <v>13852</v>
          </cell>
          <cell r="H5">
            <v>165903</v>
          </cell>
          <cell r="I5">
            <v>2223016.92</v>
          </cell>
          <cell r="J5">
            <v>56</v>
          </cell>
          <cell r="K5">
            <v>3812</v>
          </cell>
          <cell r="L5">
            <v>81739.5</v>
          </cell>
          <cell r="M5">
            <v>1625</v>
          </cell>
          <cell r="N5">
            <v>32794</v>
          </cell>
          <cell r="O5">
            <v>677420.31</v>
          </cell>
          <cell r="P5">
            <v>10</v>
          </cell>
          <cell r="Q5">
            <v>262</v>
          </cell>
          <cell r="R5">
            <v>6457</v>
          </cell>
          <cell r="S5">
            <v>619</v>
          </cell>
          <cell r="T5">
            <v>23355</v>
          </cell>
          <cell r="U5">
            <v>660094.94999999995</v>
          </cell>
          <cell r="V5">
            <v>20</v>
          </cell>
          <cell r="W5">
            <v>3915</v>
          </cell>
          <cell r="X5">
            <v>111301</v>
          </cell>
          <cell r="Y5">
            <v>0</v>
          </cell>
          <cell r="Z5">
            <v>0</v>
          </cell>
          <cell r="AA5">
            <v>0</v>
          </cell>
        </row>
        <row r="6">
          <cell r="D6">
            <v>19702</v>
          </cell>
          <cell r="E6">
            <v>418337</v>
          </cell>
          <cell r="F6">
            <v>7497843.459999999</v>
          </cell>
          <cell r="G6">
            <v>17495</v>
          </cell>
          <cell r="H6">
            <v>242328</v>
          </cell>
          <cell r="I6">
            <v>3205332.3499999996</v>
          </cell>
          <cell r="J6">
            <v>355</v>
          </cell>
          <cell r="K6">
            <v>82560</v>
          </cell>
          <cell r="L6">
            <v>1907778.76</v>
          </cell>
          <cell r="M6">
            <v>1298</v>
          </cell>
          <cell r="N6">
            <v>40569</v>
          </cell>
          <cell r="O6">
            <v>881998.35</v>
          </cell>
          <cell r="P6">
            <v>24</v>
          </cell>
          <cell r="Q6">
            <v>9115</v>
          </cell>
          <cell r="R6">
            <v>264850.5</v>
          </cell>
          <cell r="S6">
            <v>514</v>
          </cell>
          <cell r="T6">
            <v>42704</v>
          </cell>
          <cell r="U6">
            <v>1213153.25</v>
          </cell>
          <cell r="V6">
            <v>15</v>
          </cell>
          <cell r="W6">
            <v>607</v>
          </cell>
          <cell r="X6">
            <v>17920.25</v>
          </cell>
          <cell r="Y6">
            <v>1</v>
          </cell>
          <cell r="Z6">
            <v>454</v>
          </cell>
          <cell r="AA6">
            <v>6810</v>
          </cell>
        </row>
        <row r="7">
          <cell r="D7">
            <v>5137</v>
          </cell>
          <cell r="E7">
            <v>115579</v>
          </cell>
          <cell r="F7">
            <v>2220658.59</v>
          </cell>
          <cell r="G7">
            <v>3622</v>
          </cell>
          <cell r="H7">
            <v>39951</v>
          </cell>
          <cell r="I7">
            <v>547333.09</v>
          </cell>
          <cell r="J7">
            <v>78</v>
          </cell>
          <cell r="K7">
            <v>38102</v>
          </cell>
          <cell r="L7">
            <v>828548.89999999991</v>
          </cell>
          <cell r="M7">
            <v>1231</v>
          </cell>
          <cell r="N7">
            <v>30010</v>
          </cell>
          <cell r="O7">
            <v>639723.6</v>
          </cell>
          <cell r="P7">
            <v>20</v>
          </cell>
          <cell r="Q7">
            <v>605</v>
          </cell>
          <cell r="R7">
            <v>15347.5</v>
          </cell>
          <cell r="S7">
            <v>181</v>
          </cell>
          <cell r="T7">
            <v>6785</v>
          </cell>
          <cell r="U7">
            <v>186489.5</v>
          </cell>
          <cell r="V7">
            <v>5</v>
          </cell>
          <cell r="W7">
            <v>126</v>
          </cell>
          <cell r="X7">
            <v>3216</v>
          </cell>
          <cell r="Y7">
            <v>0</v>
          </cell>
          <cell r="Z7">
            <v>0</v>
          </cell>
          <cell r="AA7">
            <v>0</v>
          </cell>
        </row>
        <row r="8">
          <cell r="D8">
            <v>5310</v>
          </cell>
          <cell r="E8">
            <v>103633</v>
          </cell>
          <cell r="F8">
            <v>1985702.52</v>
          </cell>
          <cell r="G8">
            <v>3634</v>
          </cell>
          <cell r="H8">
            <v>41364</v>
          </cell>
          <cell r="I8">
            <v>551806.47</v>
          </cell>
          <cell r="J8">
            <v>100</v>
          </cell>
          <cell r="K8">
            <v>19709</v>
          </cell>
          <cell r="L8">
            <v>427694.1</v>
          </cell>
          <cell r="M8">
            <v>1283</v>
          </cell>
          <cell r="N8">
            <v>29508</v>
          </cell>
          <cell r="O8">
            <v>655865.19999999995</v>
          </cell>
          <cell r="P8">
            <v>11</v>
          </cell>
          <cell r="Q8">
            <v>618</v>
          </cell>
          <cell r="R8">
            <v>15790.25</v>
          </cell>
          <cell r="S8">
            <v>256</v>
          </cell>
          <cell r="T8">
            <v>9961</v>
          </cell>
          <cell r="U8">
            <v>264699.75</v>
          </cell>
          <cell r="V8">
            <v>26</v>
          </cell>
          <cell r="W8">
            <v>2473</v>
          </cell>
          <cell r="X8">
            <v>69846.75</v>
          </cell>
          <cell r="Y8">
            <v>0</v>
          </cell>
          <cell r="Z8">
            <v>0</v>
          </cell>
          <cell r="AA8">
            <v>0</v>
          </cell>
        </row>
        <row r="9">
          <cell r="D9">
            <v>4055</v>
          </cell>
          <cell r="E9">
            <v>70158</v>
          </cell>
          <cell r="F9">
            <v>1198484.02</v>
          </cell>
          <cell r="G9">
            <v>3099</v>
          </cell>
          <cell r="H9">
            <v>43467</v>
          </cell>
          <cell r="I9">
            <v>603208.97000000009</v>
          </cell>
          <cell r="J9">
            <v>44</v>
          </cell>
          <cell r="K9">
            <v>3265</v>
          </cell>
          <cell r="L9">
            <v>68411.600000000006</v>
          </cell>
          <cell r="M9">
            <v>714</v>
          </cell>
          <cell r="N9">
            <v>16160</v>
          </cell>
          <cell r="O9">
            <v>337025.6</v>
          </cell>
          <cell r="P9">
            <v>10</v>
          </cell>
          <cell r="Q9">
            <v>232</v>
          </cell>
          <cell r="R9">
            <v>5876</v>
          </cell>
          <cell r="S9">
            <v>185</v>
          </cell>
          <cell r="T9">
            <v>6927</v>
          </cell>
          <cell r="U9">
            <v>181321.85</v>
          </cell>
          <cell r="V9">
            <v>3</v>
          </cell>
          <cell r="W9">
            <v>107</v>
          </cell>
          <cell r="X9">
            <v>2640</v>
          </cell>
          <cell r="Y9">
            <v>0</v>
          </cell>
          <cell r="Z9">
            <v>0</v>
          </cell>
          <cell r="AA9">
            <v>0</v>
          </cell>
        </row>
        <row r="10">
          <cell r="D10">
            <v>6501</v>
          </cell>
          <cell r="E10">
            <v>141061</v>
          </cell>
          <cell r="F10">
            <v>2605526.54</v>
          </cell>
          <cell r="G10">
            <v>4959</v>
          </cell>
          <cell r="H10">
            <v>70300</v>
          </cell>
          <cell r="I10">
            <v>1008510.94</v>
          </cell>
          <cell r="J10">
            <v>181</v>
          </cell>
          <cell r="K10">
            <v>27378</v>
          </cell>
          <cell r="L10">
            <v>584656.5</v>
          </cell>
          <cell r="M10">
            <v>890</v>
          </cell>
          <cell r="N10">
            <v>22915</v>
          </cell>
          <cell r="O10">
            <v>468138.25</v>
          </cell>
          <cell r="P10">
            <v>8</v>
          </cell>
          <cell r="Q10">
            <v>331</v>
          </cell>
          <cell r="R10">
            <v>7712</v>
          </cell>
          <cell r="S10">
            <v>448</v>
          </cell>
          <cell r="T10">
            <v>17909</v>
          </cell>
          <cell r="U10">
            <v>472762.6</v>
          </cell>
          <cell r="V10">
            <v>15</v>
          </cell>
          <cell r="W10">
            <v>2228</v>
          </cell>
          <cell r="X10">
            <v>63746.25</v>
          </cell>
          <cell r="Y10">
            <v>0</v>
          </cell>
          <cell r="Z10">
            <v>0</v>
          </cell>
          <cell r="AA10">
            <v>0</v>
          </cell>
        </row>
        <row r="11">
          <cell r="D11">
            <v>5509</v>
          </cell>
          <cell r="E11">
            <v>88070</v>
          </cell>
          <cell r="F11">
            <v>1500784.35</v>
          </cell>
          <cell r="G11">
            <v>4456</v>
          </cell>
          <cell r="H11">
            <v>52517</v>
          </cell>
          <cell r="I11">
            <v>707830.20000000007</v>
          </cell>
          <cell r="J11">
            <v>119</v>
          </cell>
          <cell r="K11">
            <v>11432</v>
          </cell>
          <cell r="L11">
            <v>242149.15</v>
          </cell>
          <cell r="M11">
            <v>679</v>
          </cell>
          <cell r="N11">
            <v>14049</v>
          </cell>
          <cell r="O11">
            <v>283763</v>
          </cell>
          <cell r="P11">
            <v>8</v>
          </cell>
          <cell r="Q11">
            <v>162</v>
          </cell>
          <cell r="R11">
            <v>3621</v>
          </cell>
          <cell r="S11">
            <v>227</v>
          </cell>
          <cell r="T11">
            <v>8247</v>
          </cell>
          <cell r="U11">
            <v>218546</v>
          </cell>
          <cell r="V11">
            <v>20</v>
          </cell>
          <cell r="W11">
            <v>1663</v>
          </cell>
          <cell r="X11">
            <v>44875</v>
          </cell>
          <cell r="Y11">
            <v>0</v>
          </cell>
          <cell r="Z11">
            <v>0</v>
          </cell>
          <cell r="AA11">
            <v>0</v>
          </cell>
        </row>
        <row r="12">
          <cell r="D12">
            <v>15883</v>
          </cell>
          <cell r="E12">
            <v>298724</v>
          </cell>
          <cell r="F12">
            <v>5405009.6499999994</v>
          </cell>
          <cell r="G12">
            <v>12878</v>
          </cell>
          <cell r="H12">
            <v>170084</v>
          </cell>
          <cell r="I12">
            <v>2346900.09</v>
          </cell>
          <cell r="J12">
            <v>202</v>
          </cell>
          <cell r="K12">
            <v>35612</v>
          </cell>
          <cell r="L12">
            <v>767594.55</v>
          </cell>
          <cell r="M12">
            <v>2089</v>
          </cell>
          <cell r="N12">
            <v>50801</v>
          </cell>
          <cell r="O12">
            <v>1106014.75</v>
          </cell>
          <cell r="P12">
            <v>38</v>
          </cell>
          <cell r="Q12">
            <v>2407</v>
          </cell>
          <cell r="R12">
            <v>66272.25</v>
          </cell>
          <cell r="S12">
            <v>643</v>
          </cell>
          <cell r="T12">
            <v>38046</v>
          </cell>
          <cell r="U12">
            <v>1070275.76</v>
          </cell>
          <cell r="V12">
            <v>33</v>
          </cell>
          <cell r="W12">
            <v>1774</v>
          </cell>
          <cell r="X12">
            <v>47952.25</v>
          </cell>
          <cell r="Y12">
            <v>0</v>
          </cell>
          <cell r="Z12">
            <v>0</v>
          </cell>
          <cell r="AA12">
            <v>0</v>
          </cell>
        </row>
        <row r="13">
          <cell r="D13">
            <v>1160</v>
          </cell>
          <cell r="E13">
            <v>16939</v>
          </cell>
          <cell r="F13">
            <v>314353.25</v>
          </cell>
          <cell r="G13">
            <v>843</v>
          </cell>
          <cell r="H13">
            <v>8064</v>
          </cell>
          <cell r="I13">
            <v>104355.45000000001</v>
          </cell>
          <cell r="J13">
            <v>25</v>
          </cell>
          <cell r="K13">
            <v>1564</v>
          </cell>
          <cell r="L13">
            <v>33118.300000000003</v>
          </cell>
          <cell r="M13">
            <v>231</v>
          </cell>
          <cell r="N13">
            <v>4675</v>
          </cell>
          <cell r="O13">
            <v>102067.75</v>
          </cell>
          <cell r="P13">
            <v>6</v>
          </cell>
          <cell r="Q13">
            <v>228</v>
          </cell>
          <cell r="R13">
            <v>5480</v>
          </cell>
          <cell r="S13">
            <v>47</v>
          </cell>
          <cell r="T13">
            <v>838</v>
          </cell>
          <cell r="U13">
            <v>24018</v>
          </cell>
          <cell r="V13">
            <v>8</v>
          </cell>
          <cell r="W13">
            <v>1570</v>
          </cell>
          <cell r="X13">
            <v>45313.75</v>
          </cell>
          <cell r="Y13">
            <v>0</v>
          </cell>
          <cell r="Z13">
            <v>0</v>
          </cell>
          <cell r="AA13">
            <v>0</v>
          </cell>
        </row>
        <row r="14">
          <cell r="D14">
            <v>39665</v>
          </cell>
          <cell r="E14">
            <v>727623</v>
          </cell>
          <cell r="F14">
            <v>12944738.16</v>
          </cell>
          <cell r="G14">
            <v>32186</v>
          </cell>
          <cell r="H14">
            <v>416456</v>
          </cell>
          <cell r="I14">
            <v>5608400.9699999997</v>
          </cell>
          <cell r="J14">
            <v>364</v>
          </cell>
          <cell r="K14">
            <v>80945</v>
          </cell>
          <cell r="L14">
            <v>1825027.4899999998</v>
          </cell>
          <cell r="M14">
            <v>4993</v>
          </cell>
          <cell r="N14">
            <v>119567</v>
          </cell>
          <cell r="O14">
            <v>2480245.4500000002</v>
          </cell>
          <cell r="P14">
            <v>43</v>
          </cell>
          <cell r="Q14">
            <v>3022</v>
          </cell>
          <cell r="R14">
            <v>84543</v>
          </cell>
          <cell r="S14">
            <v>2016</v>
          </cell>
          <cell r="T14">
            <v>101293</v>
          </cell>
          <cell r="U14">
            <v>2764885.25</v>
          </cell>
          <cell r="V14">
            <v>63</v>
          </cell>
          <cell r="W14">
            <v>6340</v>
          </cell>
          <cell r="X14">
            <v>181636</v>
          </cell>
          <cell r="Y14">
            <v>0</v>
          </cell>
          <cell r="Z14">
            <v>0</v>
          </cell>
          <cell r="AA14">
            <v>0</v>
          </cell>
        </row>
        <row r="15">
          <cell r="D15">
            <v>5579</v>
          </cell>
          <cell r="E15">
            <v>88180</v>
          </cell>
          <cell r="F15">
            <v>1423594.9</v>
          </cell>
          <cell r="G15">
            <v>4812</v>
          </cell>
          <cell r="H15">
            <v>63068</v>
          </cell>
          <cell r="I15">
            <v>853330.39999999991</v>
          </cell>
          <cell r="J15">
            <v>60</v>
          </cell>
          <cell r="K15">
            <v>7443</v>
          </cell>
          <cell r="L15">
            <v>158871.79999999999</v>
          </cell>
          <cell r="M15">
            <v>539</v>
          </cell>
          <cell r="N15">
            <v>10485</v>
          </cell>
          <cell r="O15">
            <v>212861.94999999998</v>
          </cell>
          <cell r="P15">
            <v>5</v>
          </cell>
          <cell r="Q15">
            <v>265</v>
          </cell>
          <cell r="R15">
            <v>6919.5</v>
          </cell>
          <cell r="S15">
            <v>129</v>
          </cell>
          <cell r="T15">
            <v>4919</v>
          </cell>
          <cell r="U15">
            <v>138457.25</v>
          </cell>
          <cell r="V15">
            <v>34</v>
          </cell>
          <cell r="W15">
            <v>2000</v>
          </cell>
          <cell r="X15">
            <v>53154</v>
          </cell>
          <cell r="Y15">
            <v>0</v>
          </cell>
          <cell r="Z15">
            <v>0</v>
          </cell>
          <cell r="AA15">
            <v>0</v>
          </cell>
        </row>
        <row r="16">
          <cell r="D16">
            <v>8184</v>
          </cell>
          <cell r="E16">
            <v>110000</v>
          </cell>
          <cell r="F16">
            <v>1781884.48</v>
          </cell>
          <cell r="G16">
            <v>6921</v>
          </cell>
          <cell r="H16">
            <v>71568</v>
          </cell>
          <cell r="I16">
            <v>913690.58</v>
          </cell>
          <cell r="J16">
            <v>98</v>
          </cell>
          <cell r="K16">
            <v>11659</v>
          </cell>
          <cell r="L16">
            <v>248880.65</v>
          </cell>
          <cell r="M16">
            <v>921</v>
          </cell>
          <cell r="N16">
            <v>15230</v>
          </cell>
          <cell r="O16">
            <v>303418.5</v>
          </cell>
          <cell r="P16">
            <v>12</v>
          </cell>
          <cell r="Q16">
            <v>424</v>
          </cell>
          <cell r="R16">
            <v>10978.5</v>
          </cell>
          <cell r="S16">
            <v>215</v>
          </cell>
          <cell r="T16">
            <v>8148</v>
          </cell>
          <cell r="U16">
            <v>221502</v>
          </cell>
          <cell r="V16">
            <v>17</v>
          </cell>
          <cell r="W16">
            <v>2971</v>
          </cell>
          <cell r="X16">
            <v>83414.25</v>
          </cell>
          <cell r="Y16">
            <v>0</v>
          </cell>
          <cell r="Z16">
            <v>0</v>
          </cell>
          <cell r="AA16">
            <v>0</v>
          </cell>
        </row>
        <row r="17">
          <cell r="D17">
            <v>12365</v>
          </cell>
          <cell r="E17">
            <v>210098</v>
          </cell>
          <cell r="F17">
            <v>3743134.6900000004</v>
          </cell>
          <cell r="G17">
            <v>9442</v>
          </cell>
          <cell r="H17">
            <v>118511</v>
          </cell>
          <cell r="I17">
            <v>1638804.6900000002</v>
          </cell>
          <cell r="J17">
            <v>133</v>
          </cell>
          <cell r="K17">
            <v>21720</v>
          </cell>
          <cell r="L17">
            <v>465904.5</v>
          </cell>
          <cell r="M17">
            <v>1929</v>
          </cell>
          <cell r="N17">
            <v>42529</v>
          </cell>
          <cell r="O17">
            <v>914595.85</v>
          </cell>
          <cell r="P17">
            <v>15</v>
          </cell>
          <cell r="Q17">
            <v>880</v>
          </cell>
          <cell r="R17">
            <v>22915</v>
          </cell>
          <cell r="S17">
            <v>821</v>
          </cell>
          <cell r="T17">
            <v>25520</v>
          </cell>
          <cell r="U17">
            <v>677344.15</v>
          </cell>
          <cell r="V17">
            <v>25</v>
          </cell>
          <cell r="W17">
            <v>938</v>
          </cell>
          <cell r="X17">
            <v>23570.5</v>
          </cell>
          <cell r="Y17">
            <v>0</v>
          </cell>
          <cell r="Z17">
            <v>0</v>
          </cell>
          <cell r="AA17">
            <v>0</v>
          </cell>
        </row>
        <row r="18">
          <cell r="D18">
            <v>6117</v>
          </cell>
          <cell r="E18">
            <v>90694</v>
          </cell>
          <cell r="F18">
            <v>1533391.46</v>
          </cell>
          <cell r="G18">
            <v>5199</v>
          </cell>
          <cell r="H18">
            <v>59494</v>
          </cell>
          <cell r="I18">
            <v>778324.15999999992</v>
          </cell>
          <cell r="J18">
            <v>101</v>
          </cell>
          <cell r="K18">
            <v>9476</v>
          </cell>
          <cell r="L18">
            <v>216605.1</v>
          </cell>
          <cell r="M18">
            <v>611</v>
          </cell>
          <cell r="N18">
            <v>11141</v>
          </cell>
          <cell r="O18">
            <v>237603.19999999998</v>
          </cell>
          <cell r="P18">
            <v>16</v>
          </cell>
          <cell r="Q18">
            <v>5169</v>
          </cell>
          <cell r="R18">
            <v>149230.25</v>
          </cell>
          <cell r="S18">
            <v>162</v>
          </cell>
          <cell r="T18">
            <v>4318</v>
          </cell>
          <cell r="U18">
            <v>121643.25</v>
          </cell>
          <cell r="V18">
            <v>28</v>
          </cell>
          <cell r="W18">
            <v>1096</v>
          </cell>
          <cell r="X18">
            <v>29985.5</v>
          </cell>
          <cell r="Y18">
            <v>0</v>
          </cell>
          <cell r="Z18">
            <v>0</v>
          </cell>
          <cell r="AA18">
            <v>0</v>
          </cell>
        </row>
        <row r="19">
          <cell r="D19">
            <v>3748</v>
          </cell>
          <cell r="E19">
            <v>58831</v>
          </cell>
          <cell r="F19">
            <v>1003521.36</v>
          </cell>
          <cell r="G19">
            <v>3143</v>
          </cell>
          <cell r="H19">
            <v>34348</v>
          </cell>
          <cell r="I19">
            <v>455106.61</v>
          </cell>
          <cell r="J19">
            <v>72</v>
          </cell>
          <cell r="K19">
            <v>9565</v>
          </cell>
          <cell r="L19">
            <v>206161.9</v>
          </cell>
          <cell r="M19">
            <v>416</v>
          </cell>
          <cell r="N19">
            <v>10296</v>
          </cell>
          <cell r="O19">
            <v>215516.35</v>
          </cell>
          <cell r="P19">
            <v>11</v>
          </cell>
          <cell r="Q19">
            <v>1284</v>
          </cell>
          <cell r="R19">
            <v>34780.75</v>
          </cell>
          <cell r="S19">
            <v>90</v>
          </cell>
          <cell r="T19">
            <v>2444</v>
          </cell>
          <cell r="U19">
            <v>68497</v>
          </cell>
          <cell r="V19">
            <v>16</v>
          </cell>
          <cell r="W19">
            <v>894</v>
          </cell>
          <cell r="X19">
            <v>23458.75</v>
          </cell>
          <cell r="Y19">
            <v>0</v>
          </cell>
          <cell r="Z19">
            <v>0</v>
          </cell>
          <cell r="AA19">
            <v>0</v>
          </cell>
        </row>
        <row r="20">
          <cell r="D20">
            <v>14921</v>
          </cell>
          <cell r="E20">
            <v>288844</v>
          </cell>
          <cell r="F20">
            <v>5254921.99</v>
          </cell>
          <cell r="G20">
            <v>11274</v>
          </cell>
          <cell r="H20">
            <v>151584</v>
          </cell>
          <cell r="I20">
            <v>2062144.54</v>
          </cell>
          <cell r="J20">
            <v>232</v>
          </cell>
          <cell r="K20">
            <v>41068</v>
          </cell>
          <cell r="L20">
            <v>910966.59999999986</v>
          </cell>
          <cell r="M20">
            <v>2264</v>
          </cell>
          <cell r="N20">
            <v>46262</v>
          </cell>
          <cell r="O20">
            <v>956660.85</v>
          </cell>
          <cell r="P20">
            <v>21</v>
          </cell>
          <cell r="Q20">
            <v>1702</v>
          </cell>
          <cell r="R20">
            <v>45932.5</v>
          </cell>
          <cell r="S20">
            <v>1073</v>
          </cell>
          <cell r="T20">
            <v>45228</v>
          </cell>
          <cell r="U20">
            <v>1200305</v>
          </cell>
          <cell r="V20">
            <v>57</v>
          </cell>
          <cell r="W20">
            <v>3000</v>
          </cell>
          <cell r="X20">
            <v>78912.5</v>
          </cell>
          <cell r="Y20">
            <v>0</v>
          </cell>
          <cell r="Z20">
            <v>0</v>
          </cell>
          <cell r="AA20">
            <v>0</v>
          </cell>
        </row>
        <row r="21">
          <cell r="D21">
            <v>4937</v>
          </cell>
          <cell r="E21">
            <v>77573</v>
          </cell>
          <cell r="F21">
            <v>1408984.51</v>
          </cell>
          <cell r="G21">
            <v>3334</v>
          </cell>
          <cell r="H21">
            <v>38486</v>
          </cell>
          <cell r="I21">
            <v>522135.26</v>
          </cell>
          <cell r="J21">
            <v>113</v>
          </cell>
          <cell r="K21">
            <v>12600</v>
          </cell>
          <cell r="L21">
            <v>271040.55</v>
          </cell>
          <cell r="M21">
            <v>1244</v>
          </cell>
          <cell r="N21">
            <v>17663</v>
          </cell>
          <cell r="O21">
            <v>380024.45</v>
          </cell>
          <cell r="P21">
            <v>13</v>
          </cell>
          <cell r="Q21">
            <v>433</v>
          </cell>
          <cell r="R21">
            <v>10811</v>
          </cell>
          <cell r="S21">
            <v>214</v>
          </cell>
          <cell r="T21">
            <v>7649</v>
          </cell>
          <cell r="U21">
            <v>205811</v>
          </cell>
          <cell r="V21">
            <v>19</v>
          </cell>
          <cell r="W21">
            <v>742</v>
          </cell>
          <cell r="X21">
            <v>19162.25</v>
          </cell>
          <cell r="Y21">
            <v>0</v>
          </cell>
          <cell r="Z21">
            <v>0</v>
          </cell>
          <cell r="AA21">
            <v>0</v>
          </cell>
        </row>
        <row r="22">
          <cell r="D22">
            <v>21959</v>
          </cell>
          <cell r="E22">
            <v>401663</v>
          </cell>
          <cell r="F22">
            <v>7094635.9499999993</v>
          </cell>
          <cell r="G22">
            <v>18547</v>
          </cell>
          <cell r="H22">
            <v>237030</v>
          </cell>
          <cell r="I22">
            <v>3213138.3499999996</v>
          </cell>
          <cell r="J22">
            <v>247</v>
          </cell>
          <cell r="K22">
            <v>59889</v>
          </cell>
          <cell r="L22">
            <v>1354749.35</v>
          </cell>
          <cell r="M22">
            <v>2293</v>
          </cell>
          <cell r="N22">
            <v>49891</v>
          </cell>
          <cell r="O22">
            <v>1017522.3600000001</v>
          </cell>
          <cell r="P22">
            <v>22</v>
          </cell>
          <cell r="Q22">
            <v>1773</v>
          </cell>
          <cell r="R22">
            <v>48315.75</v>
          </cell>
          <cell r="S22">
            <v>773</v>
          </cell>
          <cell r="T22">
            <v>40402</v>
          </cell>
          <cell r="U22">
            <v>1101873.8900000001</v>
          </cell>
          <cell r="V22">
            <v>77</v>
          </cell>
          <cell r="W22">
            <v>12678</v>
          </cell>
          <cell r="X22">
            <v>359036.25</v>
          </cell>
          <cell r="Y22">
            <v>0</v>
          </cell>
          <cell r="Z22">
            <v>0</v>
          </cell>
          <cell r="AA22">
            <v>0</v>
          </cell>
        </row>
        <row r="23">
          <cell r="D23">
            <v>6166</v>
          </cell>
          <cell r="E23">
            <v>86794</v>
          </cell>
          <cell r="F23">
            <v>1483621.09</v>
          </cell>
          <cell r="G23">
            <v>4556</v>
          </cell>
          <cell r="H23">
            <v>46777</v>
          </cell>
          <cell r="I23">
            <v>577748.57000000007</v>
          </cell>
          <cell r="J23">
            <v>99</v>
          </cell>
          <cell r="K23">
            <v>10846</v>
          </cell>
          <cell r="L23">
            <v>249336.30000000002</v>
          </cell>
          <cell r="M23">
            <v>1126</v>
          </cell>
          <cell r="N23">
            <v>17808</v>
          </cell>
          <cell r="O23">
            <v>358391.52</v>
          </cell>
          <cell r="P23">
            <v>20</v>
          </cell>
          <cell r="Q23">
            <v>766</v>
          </cell>
          <cell r="R23">
            <v>19263</v>
          </cell>
          <cell r="S23">
            <v>356</v>
          </cell>
          <cell r="T23">
            <v>9670</v>
          </cell>
          <cell r="U23">
            <v>254105.45</v>
          </cell>
          <cell r="V23">
            <v>9</v>
          </cell>
          <cell r="W23">
            <v>927</v>
          </cell>
          <cell r="X23">
            <v>24776.25</v>
          </cell>
          <cell r="Y23">
            <v>0</v>
          </cell>
          <cell r="Z23">
            <v>0</v>
          </cell>
          <cell r="AA23">
            <v>0</v>
          </cell>
        </row>
        <row r="24">
          <cell r="D24">
            <v>29284</v>
          </cell>
          <cell r="E24">
            <v>651874</v>
          </cell>
          <cell r="F24">
            <v>12465477.309999999</v>
          </cell>
          <cell r="G24">
            <v>22499</v>
          </cell>
          <cell r="H24">
            <v>325378</v>
          </cell>
          <cell r="I24">
            <v>4711865.1599999992</v>
          </cell>
          <cell r="J24">
            <v>384</v>
          </cell>
          <cell r="K24">
            <v>92779</v>
          </cell>
          <cell r="L24">
            <v>2061592.95</v>
          </cell>
          <cell r="M24">
            <v>4680</v>
          </cell>
          <cell r="N24">
            <v>123810</v>
          </cell>
          <cell r="O24">
            <v>2645856.65</v>
          </cell>
          <cell r="P24">
            <v>44</v>
          </cell>
          <cell r="Q24">
            <v>1802</v>
          </cell>
          <cell r="R24">
            <v>47489.5</v>
          </cell>
          <cell r="S24">
            <v>1621</v>
          </cell>
          <cell r="T24">
            <v>104710</v>
          </cell>
          <cell r="U24">
            <v>2906608.55</v>
          </cell>
          <cell r="V24">
            <v>56</v>
          </cell>
          <cell r="W24">
            <v>3395</v>
          </cell>
          <cell r="X24">
            <v>92064.5</v>
          </cell>
          <cell r="Y24">
            <v>0</v>
          </cell>
          <cell r="Z24">
            <v>0</v>
          </cell>
          <cell r="AA24">
            <v>0</v>
          </cell>
        </row>
        <row r="25">
          <cell r="D25">
            <v>7473</v>
          </cell>
          <cell r="E25">
            <v>100651</v>
          </cell>
          <cell r="F25">
            <v>1604018.22</v>
          </cell>
          <cell r="G25">
            <v>6369</v>
          </cell>
          <cell r="H25">
            <v>70576</v>
          </cell>
          <cell r="I25">
            <v>928836.36999999988</v>
          </cell>
          <cell r="J25">
            <v>83</v>
          </cell>
          <cell r="K25">
            <v>5647</v>
          </cell>
          <cell r="L25">
            <v>121310.85</v>
          </cell>
          <cell r="M25">
            <v>799</v>
          </cell>
          <cell r="N25">
            <v>16420</v>
          </cell>
          <cell r="O25">
            <v>340919.05</v>
          </cell>
          <cell r="P25">
            <v>12</v>
          </cell>
          <cell r="Q25">
            <v>398</v>
          </cell>
          <cell r="R25">
            <v>10752.5</v>
          </cell>
          <cell r="S25">
            <v>202</v>
          </cell>
          <cell r="T25">
            <v>6138</v>
          </cell>
          <cell r="U25">
            <v>160065.45000000001</v>
          </cell>
          <cell r="V25">
            <v>8</v>
          </cell>
          <cell r="W25">
            <v>1472</v>
          </cell>
          <cell r="X25">
            <v>42134</v>
          </cell>
          <cell r="Y25">
            <v>0</v>
          </cell>
          <cell r="Z25">
            <v>0</v>
          </cell>
          <cell r="AA25">
            <v>0</v>
          </cell>
        </row>
        <row r="26">
          <cell r="D26">
            <v>2330</v>
          </cell>
          <cell r="E26">
            <v>44044</v>
          </cell>
          <cell r="F26">
            <v>812217.7300000001</v>
          </cell>
          <cell r="G26">
            <v>1579</v>
          </cell>
          <cell r="H26">
            <v>20302</v>
          </cell>
          <cell r="I26">
            <v>287608.18000000005</v>
          </cell>
          <cell r="J26">
            <v>60</v>
          </cell>
          <cell r="K26">
            <v>9597</v>
          </cell>
          <cell r="L26">
            <v>206982.45</v>
          </cell>
          <cell r="M26">
            <v>525</v>
          </cell>
          <cell r="N26">
            <v>9286</v>
          </cell>
          <cell r="O26">
            <v>186518.7</v>
          </cell>
          <cell r="P26">
            <v>12</v>
          </cell>
          <cell r="Q26">
            <v>388</v>
          </cell>
          <cell r="R26">
            <v>9350</v>
          </cell>
          <cell r="S26">
            <v>152</v>
          </cell>
          <cell r="T26">
            <v>4404</v>
          </cell>
          <cell r="U26">
            <v>120309.4</v>
          </cell>
          <cell r="V26">
            <v>2</v>
          </cell>
          <cell r="W26">
            <v>67</v>
          </cell>
          <cell r="X26">
            <v>1449</v>
          </cell>
          <cell r="Y26">
            <v>0</v>
          </cell>
          <cell r="Z26">
            <v>0</v>
          </cell>
          <cell r="AA26">
            <v>0</v>
          </cell>
        </row>
        <row r="27">
          <cell r="D27">
            <v>3744</v>
          </cell>
          <cell r="E27">
            <v>61115</v>
          </cell>
          <cell r="F27">
            <v>1045738.3499999999</v>
          </cell>
          <cell r="G27">
            <v>3000</v>
          </cell>
          <cell r="H27">
            <v>37144</v>
          </cell>
          <cell r="I27">
            <v>501760.05</v>
          </cell>
          <cell r="J27">
            <v>74</v>
          </cell>
          <cell r="K27">
            <v>4825</v>
          </cell>
          <cell r="L27">
            <v>101921.49999999999</v>
          </cell>
          <cell r="M27">
            <v>422</v>
          </cell>
          <cell r="N27">
            <v>9166</v>
          </cell>
          <cell r="O27">
            <v>180796.3</v>
          </cell>
          <cell r="P27">
            <v>10</v>
          </cell>
          <cell r="Q27">
            <v>361</v>
          </cell>
          <cell r="R27">
            <v>9074</v>
          </cell>
          <cell r="S27">
            <v>233</v>
          </cell>
          <cell r="T27">
            <v>9170</v>
          </cell>
          <cell r="U27">
            <v>240383</v>
          </cell>
          <cell r="V27">
            <v>5</v>
          </cell>
          <cell r="W27">
            <v>449</v>
          </cell>
          <cell r="X27">
            <v>11803.5</v>
          </cell>
          <cell r="Y27">
            <v>0</v>
          </cell>
          <cell r="Z27">
            <v>0</v>
          </cell>
          <cell r="AA27">
            <v>0</v>
          </cell>
        </row>
        <row r="28">
          <cell r="D28">
            <v>18785</v>
          </cell>
          <cell r="E28">
            <v>327858</v>
          </cell>
          <cell r="F28">
            <v>5888326.5800000001</v>
          </cell>
          <cell r="G28">
            <v>14158</v>
          </cell>
          <cell r="H28">
            <v>183387</v>
          </cell>
          <cell r="I28">
            <v>2561773.33</v>
          </cell>
          <cell r="J28">
            <v>268</v>
          </cell>
          <cell r="K28">
            <v>34358</v>
          </cell>
          <cell r="L28">
            <v>743290.89999999991</v>
          </cell>
          <cell r="M28">
            <v>3185</v>
          </cell>
          <cell r="N28">
            <v>63689</v>
          </cell>
          <cell r="O28">
            <v>1316251.1000000001</v>
          </cell>
          <cell r="P28">
            <v>27</v>
          </cell>
          <cell r="Q28">
            <v>1316</v>
          </cell>
          <cell r="R28">
            <v>33691.5</v>
          </cell>
          <cell r="S28">
            <v>1120</v>
          </cell>
          <cell r="T28">
            <v>43845</v>
          </cell>
          <cell r="U28">
            <v>1198296</v>
          </cell>
          <cell r="V28">
            <v>27</v>
          </cell>
          <cell r="W28">
            <v>1263</v>
          </cell>
          <cell r="X28">
            <v>35023.75</v>
          </cell>
          <cell r="Y28">
            <v>0</v>
          </cell>
          <cell r="Z28">
            <v>0</v>
          </cell>
          <cell r="AA28">
            <v>0</v>
          </cell>
        </row>
        <row r="29">
          <cell r="D29">
            <v>3511</v>
          </cell>
          <cell r="E29">
            <v>51557</v>
          </cell>
          <cell r="F29">
            <v>884765.74999999988</v>
          </cell>
          <cell r="G29">
            <v>2709</v>
          </cell>
          <cell r="H29">
            <v>29626</v>
          </cell>
          <cell r="I29">
            <v>396311.14999999997</v>
          </cell>
          <cell r="J29">
            <v>51</v>
          </cell>
          <cell r="K29">
            <v>4659</v>
          </cell>
          <cell r="L29">
            <v>97866.9</v>
          </cell>
          <cell r="M29">
            <v>616</v>
          </cell>
          <cell r="N29">
            <v>10941</v>
          </cell>
          <cell r="O29">
            <v>218108.69999999998</v>
          </cell>
          <cell r="P29">
            <v>17</v>
          </cell>
          <cell r="Q29">
            <v>287</v>
          </cell>
          <cell r="R29">
            <v>7721</v>
          </cell>
          <cell r="S29">
            <v>114</v>
          </cell>
          <cell r="T29">
            <v>5429</v>
          </cell>
          <cell r="U29">
            <v>147708.5</v>
          </cell>
          <cell r="V29">
            <v>4</v>
          </cell>
          <cell r="W29">
            <v>615</v>
          </cell>
          <cell r="X29">
            <v>17049.5</v>
          </cell>
          <cell r="Y29">
            <v>0</v>
          </cell>
          <cell r="Z29">
            <v>0</v>
          </cell>
          <cell r="AA2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บบฟอร์มใหม่"/>
      <sheetName val="Sheet1"/>
      <sheetName val="เป้าหมาย กงป. 2560"/>
      <sheetName val="เป้าหมายข้อตกลง60"/>
      <sheetName val="เป้าหมาย 2560"/>
      <sheetName val="ผู้ใช้น้ำขยายเขต"/>
      <sheetName val="โครงการ"/>
      <sheetName val="Sheet2"/>
      <sheetName val="เข้าซอย"/>
      <sheetName val="ต.ค.59"/>
      <sheetName val="พ.ย.59"/>
      <sheetName val="2M"/>
      <sheetName val="ธ.ค.59"/>
      <sheetName val="3M"/>
      <sheetName val="ม.ค.60"/>
      <sheetName val="4M"/>
      <sheetName val="ก.พ.60"/>
      <sheetName val="5M"/>
      <sheetName val="มี.ค.60"/>
      <sheetName val="6M"/>
      <sheetName val="เม.ย.60"/>
      <sheetName val="7M"/>
      <sheetName val="พ.ค.60"/>
      <sheetName val="8M"/>
      <sheetName val="มิ.ย.60"/>
      <sheetName val="9M"/>
      <sheetName val="ก.ค.60"/>
      <sheetName val="10M"/>
      <sheetName val="ส.ค.60"/>
      <sheetName val="11M"/>
      <sheetName val="ก.ย.60"/>
      <sheetName val="estimated"/>
      <sheetName val="Sheet3"/>
      <sheetName val="12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9">
          <cell r="G9">
            <v>820</v>
          </cell>
          <cell r="H9">
            <v>7</v>
          </cell>
          <cell r="I9">
            <v>103</v>
          </cell>
          <cell r="J9">
            <v>139</v>
          </cell>
          <cell r="K9">
            <v>24</v>
          </cell>
          <cell r="L9">
            <v>25</v>
          </cell>
          <cell r="M9">
            <v>13</v>
          </cell>
          <cell r="N9">
            <v>6</v>
          </cell>
          <cell r="O9">
            <v>85</v>
          </cell>
          <cell r="P9">
            <v>4</v>
          </cell>
          <cell r="Q9">
            <v>86</v>
          </cell>
          <cell r="R9">
            <v>14</v>
          </cell>
          <cell r="S9">
            <v>22</v>
          </cell>
          <cell r="T9">
            <v>32</v>
          </cell>
          <cell r="U9">
            <v>5</v>
          </cell>
          <cell r="V9">
            <v>7</v>
          </cell>
          <cell r="W9">
            <v>37</v>
          </cell>
          <cell r="X9">
            <v>5</v>
          </cell>
          <cell r="Y9">
            <v>87</v>
          </cell>
          <cell r="Z9">
            <v>7</v>
          </cell>
          <cell r="AA9">
            <v>77</v>
          </cell>
          <cell r="AB9">
            <v>89</v>
          </cell>
          <cell r="AC9">
            <v>5</v>
          </cell>
          <cell r="AD9">
            <v>32</v>
          </cell>
          <cell r="AE9">
            <v>66</v>
          </cell>
          <cell r="AF9">
            <v>22</v>
          </cell>
          <cell r="AG9">
            <v>27</v>
          </cell>
        </row>
        <row r="12">
          <cell r="G12">
            <v>245</v>
          </cell>
          <cell r="H12">
            <v>0</v>
          </cell>
          <cell r="I12">
            <v>23</v>
          </cell>
          <cell r="J12">
            <v>0</v>
          </cell>
          <cell r="K12">
            <v>5</v>
          </cell>
          <cell r="L12">
            <v>3</v>
          </cell>
          <cell r="M12">
            <v>0</v>
          </cell>
          <cell r="N12">
            <v>0</v>
          </cell>
          <cell r="O12">
            <v>3</v>
          </cell>
          <cell r="P12">
            <v>1</v>
          </cell>
          <cell r="Q12">
            <v>16</v>
          </cell>
          <cell r="S12">
            <v>5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0</v>
          </cell>
          <cell r="Y12">
            <v>83</v>
          </cell>
          <cell r="Z12">
            <v>0</v>
          </cell>
          <cell r="AA12">
            <v>13</v>
          </cell>
          <cell r="AB12">
            <v>78</v>
          </cell>
          <cell r="AC12">
            <v>2</v>
          </cell>
          <cell r="AD12">
            <v>18</v>
          </cell>
          <cell r="AE12">
            <v>6</v>
          </cell>
          <cell r="AF12">
            <v>0</v>
          </cell>
          <cell r="AG12">
            <v>0</v>
          </cell>
        </row>
        <row r="30">
          <cell r="G30">
            <v>2600486</v>
          </cell>
          <cell r="H30">
            <v>44785</v>
          </cell>
          <cell r="I30">
            <v>206149.07</v>
          </cell>
          <cell r="J30">
            <v>386554</v>
          </cell>
          <cell r="K30">
            <v>103203</v>
          </cell>
          <cell r="L30">
            <v>100191</v>
          </cell>
          <cell r="M30">
            <v>124324</v>
          </cell>
          <cell r="N30">
            <v>82790</v>
          </cell>
          <cell r="O30">
            <v>269508</v>
          </cell>
          <cell r="P30">
            <v>15394</v>
          </cell>
          <cell r="Q30">
            <v>677672</v>
          </cell>
          <cell r="R30">
            <v>82737.600000000006</v>
          </cell>
          <cell r="S30">
            <v>103995.9</v>
          </cell>
          <cell r="T30">
            <v>197895</v>
          </cell>
          <cell r="U30">
            <v>87942</v>
          </cell>
          <cell r="V30">
            <v>55337</v>
          </cell>
          <cell r="W30">
            <v>279325</v>
          </cell>
          <cell r="X30">
            <v>75199</v>
          </cell>
          <cell r="Y30">
            <v>373101</v>
          </cell>
          <cell r="Z30">
            <v>75557</v>
          </cell>
          <cell r="AA30">
            <v>575928.92000000004</v>
          </cell>
          <cell r="AB30">
            <v>90923</v>
          </cell>
          <cell r="AC30">
            <v>39318</v>
          </cell>
          <cell r="AD30">
            <v>58688</v>
          </cell>
          <cell r="AE30">
            <v>311998</v>
          </cell>
          <cell r="AF30">
            <v>45471</v>
          </cell>
          <cell r="AG30">
            <v>64384</v>
          </cell>
        </row>
        <row r="37">
          <cell r="G37">
            <v>1240319.06</v>
          </cell>
          <cell r="H37">
            <v>7703.8600000000006</v>
          </cell>
          <cell r="I37">
            <v>86669.899999999965</v>
          </cell>
          <cell r="J37">
            <v>154743</v>
          </cell>
          <cell r="K37">
            <v>34156.390000000014</v>
          </cell>
          <cell r="L37">
            <v>29325.359999999986</v>
          </cell>
          <cell r="M37">
            <v>42768.160000000003</v>
          </cell>
          <cell r="N37">
            <v>12192.699999999997</v>
          </cell>
          <cell r="O37">
            <v>98521</v>
          </cell>
          <cell r="P37">
            <v>4406</v>
          </cell>
          <cell r="Q37">
            <v>274725.65000000002</v>
          </cell>
          <cell r="R37">
            <v>19752.169999999998</v>
          </cell>
          <cell r="S37">
            <v>36153</v>
          </cell>
          <cell r="T37">
            <v>151656.07</v>
          </cell>
          <cell r="U37">
            <v>23103</v>
          </cell>
          <cell r="V37">
            <v>13301.380000000005</v>
          </cell>
          <cell r="W37">
            <v>118745</v>
          </cell>
          <cell r="X37">
            <v>21145</v>
          </cell>
          <cell r="Y37">
            <v>161033</v>
          </cell>
          <cell r="Z37">
            <v>30594</v>
          </cell>
          <cell r="AA37">
            <v>166186.07999999996</v>
          </cell>
          <cell r="AB37">
            <v>36282.509999999995</v>
          </cell>
          <cell r="AC37">
            <v>6652.0400000000009</v>
          </cell>
          <cell r="AD37">
            <v>16908</v>
          </cell>
          <cell r="AE37">
            <v>147500</v>
          </cell>
          <cell r="AF37">
            <v>12525</v>
          </cell>
          <cell r="AG37">
            <v>15622</v>
          </cell>
        </row>
        <row r="39">
          <cell r="E39">
            <v>29.351898823447168</v>
          </cell>
          <cell r="G39">
            <v>32.287034978111087</v>
          </cell>
          <cell r="H39">
            <v>14.677133395543359</v>
          </cell>
          <cell r="I39">
            <v>29.598458050719863</v>
          </cell>
          <cell r="J39">
            <v>28.587448295482886</v>
          </cell>
          <cell r="K39">
            <v>24.866439782529618</v>
          </cell>
          <cell r="L39">
            <v>22.642205200949121</v>
          </cell>
          <cell r="M39">
            <v>25.533815222987798</v>
          </cell>
          <cell r="N39">
            <v>12.836082987586812</v>
          </cell>
          <cell r="O39">
            <v>26.76990128495309</v>
          </cell>
          <cell r="P39">
            <v>22.252525252525253</v>
          </cell>
          <cell r="Q39">
            <v>28.842507682262092</v>
          </cell>
          <cell r="R39">
            <v>19.272333228965191</v>
          </cell>
          <cell r="S39">
            <v>25.796135395996689</v>
          </cell>
          <cell r="T39">
            <v>43.385582665365618</v>
          </cell>
          <cell r="U39">
            <v>20.800957980318184</v>
          </cell>
          <cell r="V39">
            <v>19.376101810414177</v>
          </cell>
          <cell r="W39">
            <v>29.83018062149873</v>
          </cell>
          <cell r="X39">
            <v>21.933054653707718</v>
          </cell>
          <cell r="Y39">
            <v>30.141429796091028</v>
          </cell>
          <cell r="Z39">
            <v>28.821207525129296</v>
          </cell>
          <cell r="AA39">
            <v>22.393031976748098</v>
          </cell>
          <cell r="AB39">
            <v>28.458095960367231</v>
          </cell>
          <cell r="AC39">
            <v>14.470381143892849</v>
          </cell>
          <cell r="AD39">
            <v>22.366262765225674</v>
          </cell>
          <cell r="AE39">
            <v>32.074700346189303</v>
          </cell>
          <cell r="AF39">
            <v>21.59631698737844</v>
          </cell>
          <cell r="AG39">
            <v>19.526035547333951</v>
          </cell>
        </row>
        <row r="63">
          <cell r="E63">
            <v>148375127.75</v>
          </cell>
          <cell r="G63">
            <v>56988654.710000001</v>
          </cell>
          <cell r="H63">
            <v>831433.23</v>
          </cell>
          <cell r="I63">
            <v>3964307.31</v>
          </cell>
          <cell r="J63">
            <v>8068025.2299999995</v>
          </cell>
          <cell r="K63">
            <v>2127829.4300000002</v>
          </cell>
          <cell r="L63">
            <v>2711660.1</v>
          </cell>
          <cell r="M63">
            <v>2537346.8000000003</v>
          </cell>
          <cell r="N63">
            <v>1585775.07</v>
          </cell>
          <cell r="O63">
            <v>5447742.6300000008</v>
          </cell>
          <cell r="P63">
            <v>320040.14</v>
          </cell>
          <cell r="Q63">
            <v>13428030.460000001</v>
          </cell>
          <cell r="R63">
            <v>1506105.96</v>
          </cell>
          <cell r="S63">
            <v>1953343.1199999999</v>
          </cell>
          <cell r="T63">
            <v>3996509.85</v>
          </cell>
          <cell r="U63">
            <v>1705601.7699999998</v>
          </cell>
          <cell r="V63">
            <v>1065770.29</v>
          </cell>
          <cell r="W63">
            <v>5659043.9799999995</v>
          </cell>
          <cell r="X63">
            <v>1545145.5799999998</v>
          </cell>
          <cell r="Y63">
            <v>7342662.080000001</v>
          </cell>
          <cell r="Z63">
            <v>1528646.5499999998</v>
          </cell>
          <cell r="AA63">
            <v>11918241.130000001</v>
          </cell>
          <cell r="AB63">
            <v>1740023.25</v>
          </cell>
          <cell r="AC63">
            <v>786659.92</v>
          </cell>
          <cell r="AD63">
            <v>1160262.47</v>
          </cell>
          <cell r="AE63">
            <v>6266606.8099999996</v>
          </cell>
          <cell r="AF63">
            <v>898372.23</v>
          </cell>
          <cell r="AG63">
            <v>1245087.6499999999</v>
          </cell>
        </row>
        <row r="423">
          <cell r="E423">
            <v>54857293.530000009</v>
          </cell>
          <cell r="G423">
            <v>15907794.939999998</v>
          </cell>
          <cell r="H423">
            <v>624153.47</v>
          </cell>
          <cell r="I423">
            <v>1297278.2499999998</v>
          </cell>
          <cell r="J423">
            <v>2263387.8000000003</v>
          </cell>
          <cell r="K423">
            <v>1054085.05</v>
          </cell>
          <cell r="L423">
            <v>874274.84000000008</v>
          </cell>
          <cell r="M423">
            <v>1162952.98</v>
          </cell>
          <cell r="N423">
            <v>916118.44000000018</v>
          </cell>
          <cell r="O423">
            <v>1863126.68</v>
          </cell>
          <cell r="P423">
            <v>296919.40999999997</v>
          </cell>
          <cell r="Q423">
            <v>4142520.54</v>
          </cell>
          <cell r="R423">
            <v>1018266.38</v>
          </cell>
          <cell r="S423">
            <v>956181.49</v>
          </cell>
          <cell r="T423">
            <v>1605869.25</v>
          </cell>
          <cell r="U423">
            <v>851760.74</v>
          </cell>
          <cell r="V423">
            <v>706882.9</v>
          </cell>
          <cell r="W423">
            <v>1743759.4499999997</v>
          </cell>
          <cell r="X423">
            <v>775382.95</v>
          </cell>
          <cell r="Y423">
            <v>2921907.05</v>
          </cell>
          <cell r="Z423">
            <v>785974.8</v>
          </cell>
          <cell r="AA423">
            <v>2518335.75</v>
          </cell>
          <cell r="AB423">
            <v>947936.89000000013</v>
          </cell>
          <cell r="AC423">
            <v>467331.28</v>
          </cell>
          <cell r="AD423">
            <v>669585.35</v>
          </cell>
          <cell r="AE423">
            <v>1988013.2199999995</v>
          </cell>
          <cell r="AF423">
            <v>465128.08999999997</v>
          </cell>
          <cell r="AG423">
            <v>685887.04000000015</v>
          </cell>
        </row>
      </sheetData>
      <sheetData sheetId="10">
        <row r="9">
          <cell r="G9">
            <v>404</v>
          </cell>
          <cell r="H9">
            <v>11</v>
          </cell>
          <cell r="I9">
            <v>124</v>
          </cell>
          <cell r="J9">
            <v>151</v>
          </cell>
          <cell r="K9">
            <v>18</v>
          </cell>
          <cell r="L9">
            <v>48</v>
          </cell>
          <cell r="M9">
            <v>7</v>
          </cell>
          <cell r="N9">
            <v>12</v>
          </cell>
          <cell r="O9">
            <v>32</v>
          </cell>
          <cell r="P9">
            <v>2</v>
          </cell>
          <cell r="Q9">
            <v>123</v>
          </cell>
          <cell r="R9">
            <v>11</v>
          </cell>
          <cell r="S9">
            <v>15</v>
          </cell>
          <cell r="T9">
            <v>42</v>
          </cell>
          <cell r="U9">
            <v>7</v>
          </cell>
          <cell r="V9">
            <v>3</v>
          </cell>
          <cell r="W9">
            <v>21</v>
          </cell>
          <cell r="X9">
            <v>16</v>
          </cell>
          <cell r="Y9">
            <v>121</v>
          </cell>
          <cell r="Z9">
            <v>24</v>
          </cell>
          <cell r="AA9">
            <v>166</v>
          </cell>
          <cell r="AB9">
            <v>30</v>
          </cell>
          <cell r="AC9">
            <v>10</v>
          </cell>
          <cell r="AD9">
            <v>9</v>
          </cell>
          <cell r="AE9">
            <v>66</v>
          </cell>
          <cell r="AF9">
            <v>17</v>
          </cell>
          <cell r="AG9">
            <v>21</v>
          </cell>
        </row>
        <row r="12">
          <cell r="G12">
            <v>16</v>
          </cell>
          <cell r="H12">
            <v>0</v>
          </cell>
          <cell r="I12">
            <v>10</v>
          </cell>
          <cell r="J12">
            <v>0</v>
          </cell>
          <cell r="K12">
            <v>1</v>
          </cell>
          <cell r="L12">
            <v>2</v>
          </cell>
          <cell r="M12">
            <v>0</v>
          </cell>
          <cell r="N12">
            <v>1</v>
          </cell>
          <cell r="O12">
            <v>1</v>
          </cell>
          <cell r="P12">
            <v>1</v>
          </cell>
          <cell r="Q12">
            <v>4</v>
          </cell>
          <cell r="S12">
            <v>3</v>
          </cell>
          <cell r="T12">
            <v>1</v>
          </cell>
          <cell r="U12">
            <v>3</v>
          </cell>
          <cell r="V12">
            <v>0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  <cell r="AA12">
            <v>10</v>
          </cell>
          <cell r="AB12">
            <v>16</v>
          </cell>
          <cell r="AC12">
            <v>0</v>
          </cell>
          <cell r="AD12">
            <v>3</v>
          </cell>
          <cell r="AE12">
            <v>8</v>
          </cell>
          <cell r="AF12">
            <v>0</v>
          </cell>
          <cell r="AG12">
            <v>2</v>
          </cell>
        </row>
        <row r="30">
          <cell r="G30">
            <v>2655626</v>
          </cell>
          <cell r="H30">
            <v>49244</v>
          </cell>
          <cell r="I30">
            <v>220512.2</v>
          </cell>
          <cell r="J30">
            <v>409171</v>
          </cell>
          <cell r="K30">
            <v>105242</v>
          </cell>
          <cell r="L30">
            <v>103040</v>
          </cell>
          <cell r="M30">
            <v>132190</v>
          </cell>
          <cell r="N30">
            <v>85692</v>
          </cell>
          <cell r="O30">
            <v>267922</v>
          </cell>
          <cell r="P30">
            <v>15425</v>
          </cell>
          <cell r="Q30">
            <v>680149</v>
          </cell>
          <cell r="R30">
            <v>86150.2</v>
          </cell>
          <cell r="S30">
            <v>107218.4</v>
          </cell>
          <cell r="T30">
            <v>209906</v>
          </cell>
          <cell r="U30">
            <v>87985</v>
          </cell>
          <cell r="V30">
            <v>56029</v>
          </cell>
          <cell r="W30">
            <v>277258</v>
          </cell>
          <cell r="X30">
            <v>75903</v>
          </cell>
          <cell r="Y30">
            <v>376182</v>
          </cell>
          <cell r="Z30">
            <v>86360</v>
          </cell>
          <cell r="AA30">
            <v>601610.52</v>
          </cell>
          <cell r="AB30">
            <v>95257</v>
          </cell>
          <cell r="AC30">
            <v>40953</v>
          </cell>
          <cell r="AD30">
            <v>61984</v>
          </cell>
          <cell r="AE30">
            <v>318542</v>
          </cell>
          <cell r="AF30">
            <v>47188</v>
          </cell>
          <cell r="AG30">
            <v>67426</v>
          </cell>
        </row>
        <row r="37">
          <cell r="G37">
            <v>990432.02</v>
          </cell>
          <cell r="H37">
            <v>6936.0899999999965</v>
          </cell>
          <cell r="I37">
            <v>120769.78999999998</v>
          </cell>
          <cell r="J37">
            <v>145035</v>
          </cell>
          <cell r="K37">
            <v>32348.369999999995</v>
          </cell>
          <cell r="L37">
            <v>30469.75</v>
          </cell>
          <cell r="M37">
            <v>47806.359999999986</v>
          </cell>
          <cell r="N37">
            <v>7242</v>
          </cell>
          <cell r="O37">
            <v>98564</v>
          </cell>
          <cell r="P37">
            <v>4425</v>
          </cell>
          <cell r="Q37">
            <v>275998.65000000002</v>
          </cell>
          <cell r="R37">
            <v>20257.37000000001</v>
          </cell>
          <cell r="S37">
            <v>47309.140000000014</v>
          </cell>
          <cell r="T37">
            <v>127745.22999999998</v>
          </cell>
          <cell r="U37">
            <v>22945</v>
          </cell>
          <cell r="V37">
            <v>9472.7799999999988</v>
          </cell>
          <cell r="W37">
            <v>119539</v>
          </cell>
          <cell r="X37">
            <v>36021</v>
          </cell>
          <cell r="Y37">
            <v>132204</v>
          </cell>
          <cell r="Z37">
            <v>24218</v>
          </cell>
          <cell r="AA37">
            <v>179862.92999999993</v>
          </cell>
          <cell r="AB37">
            <v>27239.199999999997</v>
          </cell>
          <cell r="AC37">
            <v>5011.5500000000029</v>
          </cell>
          <cell r="AD37">
            <v>9711</v>
          </cell>
          <cell r="AE37">
            <v>186250</v>
          </cell>
          <cell r="AF37">
            <v>10302</v>
          </cell>
          <cell r="AG37">
            <v>15251</v>
          </cell>
        </row>
        <row r="39">
          <cell r="E39">
            <v>27.182677341924759</v>
          </cell>
          <cell r="G39">
            <v>27.158934259301663</v>
          </cell>
          <cell r="H39">
            <v>12.346171036749846</v>
          </cell>
          <cell r="I39">
            <v>35.387097338479535</v>
          </cell>
          <cell r="J39">
            <v>26.169871852704592</v>
          </cell>
          <cell r="K39">
            <v>23.510635228323025</v>
          </cell>
          <cell r="L39">
            <v>22.822115987783665</v>
          </cell>
          <cell r="M39">
            <v>26.519992526573045</v>
          </cell>
          <cell r="N39">
            <v>7.7923754801639822</v>
          </cell>
          <cell r="O39">
            <v>26.894342485115391</v>
          </cell>
          <cell r="P39">
            <v>22.292191435768263</v>
          </cell>
          <cell r="Q39">
            <v>28.856398098542265</v>
          </cell>
          <cell r="R39">
            <v>19.037527123305239</v>
          </cell>
          <cell r="S39">
            <v>30.61534532938272</v>
          </cell>
          <cell r="T39">
            <v>37.833037563197223</v>
          </cell>
          <cell r="U39">
            <v>20.681045904801394</v>
          </cell>
          <cell r="V39">
            <v>14.461866532482018</v>
          </cell>
          <cell r="W39">
            <v>30.125983815401831</v>
          </cell>
          <cell r="X39">
            <v>32.15041191013843</v>
          </cell>
          <cell r="Y39">
            <v>26.00275754637379</v>
          </cell>
          <cell r="Z39">
            <v>21.901282352728391</v>
          </cell>
          <cell r="AA39">
            <v>23.014988609455266</v>
          </cell>
          <cell r="AB39">
            <v>22.186781698136873</v>
          </cell>
          <cell r="AC39">
            <v>10.903076392567757</v>
          </cell>
          <cell r="AD39">
            <v>13.544877606527653</v>
          </cell>
          <cell r="AE39">
            <v>36.882502742672017</v>
          </cell>
          <cell r="AF39">
            <v>17.919638197947467</v>
          </cell>
          <cell r="AG39">
            <v>18.441577286303339</v>
          </cell>
        </row>
        <row r="63">
          <cell r="E63">
            <v>153603775.86000001</v>
          </cell>
          <cell r="G63">
            <v>59688689</v>
          </cell>
          <cell r="H63">
            <v>920369.33000000007</v>
          </cell>
          <cell r="I63">
            <v>4352307.53</v>
          </cell>
          <cell r="J63">
            <v>8112551.7299999995</v>
          </cell>
          <cell r="K63">
            <v>2189406.2800000003</v>
          </cell>
          <cell r="L63">
            <v>2200071.7599999998</v>
          </cell>
          <cell r="M63">
            <v>2676403.1</v>
          </cell>
          <cell r="N63">
            <v>1646570.6099999999</v>
          </cell>
          <cell r="O63">
            <v>5481459.6000000006</v>
          </cell>
          <cell r="P63">
            <v>315366.68</v>
          </cell>
          <cell r="Q63">
            <v>13238157.280000001</v>
          </cell>
          <cell r="R63">
            <v>1546256.4999999998</v>
          </cell>
          <cell r="S63">
            <v>2000151.1500000001</v>
          </cell>
          <cell r="T63">
            <v>4351350.8900000006</v>
          </cell>
          <cell r="U63">
            <v>1688591.6400000001</v>
          </cell>
          <cell r="V63">
            <v>1057656.72</v>
          </cell>
          <cell r="W63">
            <v>5592775.3899999997</v>
          </cell>
          <cell r="X63">
            <v>1553592.7</v>
          </cell>
          <cell r="Y63">
            <v>7730755.4700000007</v>
          </cell>
          <cell r="Z63">
            <v>1762671.8699999999</v>
          </cell>
          <cell r="AA63">
            <v>12952982.430000002</v>
          </cell>
          <cell r="AB63">
            <v>1751075.4499999997</v>
          </cell>
          <cell r="AC63">
            <v>877604.73</v>
          </cell>
          <cell r="AD63">
            <v>1201710.4400000002</v>
          </cell>
          <cell r="AE63">
            <v>6436836.7800000003</v>
          </cell>
          <cell r="AF63">
            <v>916297.51</v>
          </cell>
          <cell r="AG63">
            <v>1335763.29</v>
          </cell>
        </row>
        <row r="423">
          <cell r="E423">
            <v>58375268.369999997</v>
          </cell>
          <cell r="G423">
            <v>16720712.43</v>
          </cell>
          <cell r="H423">
            <v>596695.57000000007</v>
          </cell>
          <cell r="I423">
            <v>1363393.72</v>
          </cell>
          <cell r="J423">
            <v>2232498.81</v>
          </cell>
          <cell r="K423">
            <v>969695.4099999998</v>
          </cell>
          <cell r="L423">
            <v>897297.45000000007</v>
          </cell>
          <cell r="M423">
            <v>1129341.19</v>
          </cell>
          <cell r="N423">
            <v>835428.92</v>
          </cell>
          <cell r="O423">
            <v>2299484.2800000003</v>
          </cell>
          <cell r="P423">
            <v>291942.61</v>
          </cell>
          <cell r="Q423">
            <v>5770239.4299999997</v>
          </cell>
          <cell r="R423">
            <v>1110112.1099999999</v>
          </cell>
          <cell r="S423">
            <v>981533.17000000016</v>
          </cell>
          <cell r="T423">
            <v>1502030.0799999998</v>
          </cell>
          <cell r="U423">
            <v>865197.37000000011</v>
          </cell>
          <cell r="V423">
            <v>685258.75000000012</v>
          </cell>
          <cell r="W423">
            <v>1673382.84</v>
          </cell>
          <cell r="X423">
            <v>735602.98000000021</v>
          </cell>
          <cell r="Y423">
            <v>2604215.2000000002</v>
          </cell>
          <cell r="Z423">
            <v>770186.39000000013</v>
          </cell>
          <cell r="AA423">
            <v>2773500.74</v>
          </cell>
          <cell r="AB423">
            <v>1011694.68</v>
          </cell>
          <cell r="AC423">
            <v>468115.13000000006</v>
          </cell>
          <cell r="AD423">
            <v>631448.65</v>
          </cell>
          <cell r="AE423">
            <v>2072924.6599999997</v>
          </cell>
          <cell r="AF423">
            <v>471901.42</v>
          </cell>
          <cell r="AG423">
            <v>713466.76000000013</v>
          </cell>
        </row>
      </sheetData>
      <sheetData sheetId="11"/>
      <sheetData sheetId="12">
        <row r="9">
          <cell r="G9">
            <v>480</v>
          </cell>
          <cell r="H9">
            <v>16</v>
          </cell>
          <cell r="I9">
            <v>80</v>
          </cell>
          <cell r="J9">
            <v>72</v>
          </cell>
          <cell r="K9">
            <v>12</v>
          </cell>
          <cell r="L9">
            <v>19</v>
          </cell>
          <cell r="M9">
            <v>25</v>
          </cell>
          <cell r="N9">
            <v>8</v>
          </cell>
          <cell r="O9">
            <v>70</v>
          </cell>
          <cell r="P9">
            <v>6</v>
          </cell>
          <cell r="Q9">
            <v>76</v>
          </cell>
          <cell r="R9">
            <v>30</v>
          </cell>
          <cell r="S9">
            <v>13</v>
          </cell>
          <cell r="T9">
            <v>14</v>
          </cell>
          <cell r="U9">
            <v>20</v>
          </cell>
          <cell r="V9">
            <v>5</v>
          </cell>
          <cell r="W9">
            <v>17</v>
          </cell>
          <cell r="X9">
            <v>11</v>
          </cell>
          <cell r="Y9">
            <v>69</v>
          </cell>
          <cell r="Z9">
            <v>16</v>
          </cell>
          <cell r="AA9">
            <v>165</v>
          </cell>
          <cell r="AB9">
            <v>63</v>
          </cell>
          <cell r="AC9">
            <v>7</v>
          </cell>
          <cell r="AD9">
            <v>15</v>
          </cell>
          <cell r="AE9">
            <v>120</v>
          </cell>
          <cell r="AF9">
            <v>11</v>
          </cell>
          <cell r="AG9">
            <v>10</v>
          </cell>
        </row>
        <row r="12">
          <cell r="G12">
            <v>2</v>
          </cell>
          <cell r="H12">
            <v>0</v>
          </cell>
          <cell r="I12">
            <v>7</v>
          </cell>
          <cell r="J12">
            <v>5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  <cell r="O12">
            <v>25</v>
          </cell>
          <cell r="P12">
            <v>0</v>
          </cell>
          <cell r="Q12">
            <v>4</v>
          </cell>
          <cell r="S12">
            <v>1</v>
          </cell>
          <cell r="T12">
            <v>3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41</v>
          </cell>
          <cell r="Z12">
            <v>0</v>
          </cell>
          <cell r="AA12">
            <v>73</v>
          </cell>
          <cell r="AB12">
            <v>41</v>
          </cell>
          <cell r="AC12">
            <v>0</v>
          </cell>
          <cell r="AD12">
            <v>8</v>
          </cell>
          <cell r="AE12">
            <v>8</v>
          </cell>
          <cell r="AF12">
            <v>3</v>
          </cell>
          <cell r="AG12">
            <v>0</v>
          </cell>
        </row>
        <row r="30">
          <cell r="G30">
            <v>2715541</v>
          </cell>
          <cell r="H30">
            <v>47401</v>
          </cell>
          <cell r="I30">
            <v>222517.35</v>
          </cell>
          <cell r="J30">
            <v>414143</v>
          </cell>
          <cell r="K30">
            <v>109818.57</v>
          </cell>
          <cell r="L30">
            <v>97383.14</v>
          </cell>
          <cell r="M30">
            <v>129694</v>
          </cell>
          <cell r="N30">
            <v>86361</v>
          </cell>
          <cell r="O30">
            <v>267505</v>
          </cell>
          <cell r="P30">
            <v>14384</v>
          </cell>
          <cell r="Q30">
            <v>696907</v>
          </cell>
          <cell r="R30">
            <v>83412.7</v>
          </cell>
          <cell r="S30">
            <v>104360.9</v>
          </cell>
          <cell r="T30">
            <v>205704</v>
          </cell>
          <cell r="U30">
            <v>89040</v>
          </cell>
          <cell r="V30">
            <v>56563</v>
          </cell>
          <cell r="W30">
            <v>289637</v>
          </cell>
          <cell r="X30">
            <v>74318</v>
          </cell>
          <cell r="Y30">
            <v>366831</v>
          </cell>
          <cell r="Z30">
            <v>72240</v>
          </cell>
          <cell r="AA30">
            <v>612297</v>
          </cell>
          <cell r="AB30">
            <v>92602</v>
          </cell>
          <cell r="AC30">
            <v>41812</v>
          </cell>
          <cell r="AD30">
            <v>60966</v>
          </cell>
          <cell r="AE30">
            <v>308091</v>
          </cell>
          <cell r="AF30">
            <v>46862</v>
          </cell>
          <cell r="AG30">
            <v>67151</v>
          </cell>
        </row>
        <row r="37">
          <cell r="G37">
            <v>1001626.69</v>
          </cell>
          <cell r="H37">
            <v>7526.239999999998</v>
          </cell>
          <cell r="I37">
            <v>116696.6</v>
          </cell>
          <cell r="J37">
            <v>148830</v>
          </cell>
          <cell r="K37">
            <v>39565.260000000009</v>
          </cell>
          <cell r="L37">
            <v>39155.840000000011</v>
          </cell>
          <cell r="M37">
            <v>51619.880000000005</v>
          </cell>
          <cell r="N37">
            <v>13375.119999999995</v>
          </cell>
          <cell r="O37">
            <v>100269</v>
          </cell>
          <cell r="P37">
            <v>4346</v>
          </cell>
          <cell r="Q37">
            <v>318842.28000000003</v>
          </cell>
          <cell r="R37">
            <v>11898.939999999997</v>
          </cell>
          <cell r="S37">
            <v>62369.41</v>
          </cell>
          <cell r="T37">
            <v>150736.12</v>
          </cell>
          <cell r="U37">
            <v>25294</v>
          </cell>
          <cell r="V37">
            <v>11817.709999999992</v>
          </cell>
          <cell r="W37">
            <v>118895</v>
          </cell>
          <cell r="X37">
            <v>48045</v>
          </cell>
          <cell r="Y37">
            <v>161258</v>
          </cell>
          <cell r="Z37">
            <v>29358</v>
          </cell>
          <cell r="AA37">
            <v>193773</v>
          </cell>
          <cell r="AB37">
            <v>23700</v>
          </cell>
          <cell r="AC37">
            <v>8221.9000000000015</v>
          </cell>
          <cell r="AD37">
            <v>15429</v>
          </cell>
          <cell r="AE37">
            <v>186190.30000000005</v>
          </cell>
          <cell r="AF37">
            <v>12530</v>
          </cell>
          <cell r="AG37">
            <v>19681</v>
          </cell>
        </row>
        <row r="39">
          <cell r="E39">
            <v>28.37052719714746</v>
          </cell>
          <cell r="G39">
            <v>26.94523246851978</v>
          </cell>
          <cell r="H39">
            <v>13.697710666110474</v>
          </cell>
          <cell r="I39">
            <v>34.402063948136572</v>
          </cell>
          <cell r="J39">
            <v>26.436436560900788</v>
          </cell>
          <cell r="K39">
            <v>26.485637702554556</v>
          </cell>
          <cell r="L39">
            <v>28.677407726350385</v>
          </cell>
          <cell r="M39">
            <v>28.41692582537544</v>
          </cell>
          <cell r="N39">
            <v>13.409835381836494</v>
          </cell>
          <cell r="O39">
            <v>27.263754370890819</v>
          </cell>
          <cell r="P39">
            <v>23.203416978109985</v>
          </cell>
          <cell r="Q39">
            <v>31.381981973540508</v>
          </cell>
          <cell r="R39">
            <v>12.479742210583677</v>
          </cell>
          <cell r="S39">
            <v>37.407361624889923</v>
          </cell>
          <cell r="T39">
            <v>42.288731572478817</v>
          </cell>
          <cell r="U39">
            <v>22.119807608220377</v>
          </cell>
          <cell r="V39">
            <v>17.277174462077944</v>
          </cell>
          <cell r="W39">
            <v>29.102983364828216</v>
          </cell>
          <cell r="X39">
            <v>39.224250538828294</v>
          </cell>
          <cell r="Y39">
            <v>30.536140688406689</v>
          </cell>
          <cell r="Z39">
            <v>28.896238114923523</v>
          </cell>
          <cell r="AA39">
            <v>24.039227362387884</v>
          </cell>
          <cell r="AB39">
            <v>20.29005359313734</v>
          </cell>
          <cell r="AC39">
            <v>16.432658657430267</v>
          </cell>
          <cell r="AD39">
            <v>20.196347928529352</v>
          </cell>
          <cell r="AE39">
            <v>37.664398391148772</v>
          </cell>
          <cell r="AF39">
            <v>21.097117456896552</v>
          </cell>
          <cell r="AG39">
            <v>22.665607149437996</v>
          </cell>
        </row>
        <row r="63">
          <cell r="E63">
            <v>153092606.57999998</v>
          </cell>
          <cell r="G63">
            <v>60106998.25999999</v>
          </cell>
          <cell r="H63">
            <v>895599.97000000009</v>
          </cell>
          <cell r="I63">
            <v>4213115.59</v>
          </cell>
          <cell r="J63">
            <v>8130949.379999999</v>
          </cell>
          <cell r="K63">
            <v>2273674.0600000005</v>
          </cell>
          <cell r="L63">
            <v>2045341.7800000003</v>
          </cell>
          <cell r="M63">
            <v>2653414.3200000003</v>
          </cell>
          <cell r="N63">
            <v>1667055.31</v>
          </cell>
          <cell r="O63">
            <v>5440899.2399999993</v>
          </cell>
          <cell r="P63">
            <v>305854.13</v>
          </cell>
          <cell r="Q63">
            <v>13643102.02</v>
          </cell>
          <cell r="R63">
            <v>1505890.99</v>
          </cell>
          <cell r="S63">
            <v>1957371.8499999996</v>
          </cell>
          <cell r="T63">
            <v>4224891.13</v>
          </cell>
          <cell r="U63">
            <v>1736686.01</v>
          </cell>
          <cell r="V63">
            <v>1071386.58</v>
          </cell>
          <cell r="W63">
            <v>5824551.9000000004</v>
          </cell>
          <cell r="X63">
            <v>1517758.0299999998</v>
          </cell>
          <cell r="Y63">
            <v>7260451.1699999999</v>
          </cell>
          <cell r="Z63">
            <v>1497834.6</v>
          </cell>
          <cell r="AA63">
            <v>12781558.439999999</v>
          </cell>
          <cell r="AB63">
            <v>1708732.4700000002</v>
          </cell>
          <cell r="AC63">
            <v>842142.92</v>
          </cell>
          <cell r="AD63">
            <v>1207680.56</v>
          </cell>
          <cell r="AE63">
            <v>6301588.7400000002</v>
          </cell>
          <cell r="AF63">
            <v>912527.39</v>
          </cell>
          <cell r="AG63">
            <v>1282199.7400000002</v>
          </cell>
        </row>
        <row r="423">
          <cell r="E423">
            <v>63855236.190000013</v>
          </cell>
          <cell r="G423">
            <v>16179007.35</v>
          </cell>
          <cell r="H423">
            <v>750847.05000000016</v>
          </cell>
          <cell r="I423">
            <v>1440562.57</v>
          </cell>
          <cell r="J423">
            <v>2461996.2000000002</v>
          </cell>
          <cell r="K423">
            <v>1147085.0799999998</v>
          </cell>
          <cell r="L423">
            <v>1089494.4700000002</v>
          </cell>
          <cell r="M423">
            <v>1352543.8</v>
          </cell>
          <cell r="N423">
            <v>1101469.1500000001</v>
          </cell>
          <cell r="O423">
            <v>2289887.61</v>
          </cell>
          <cell r="P423">
            <v>461946.79</v>
          </cell>
          <cell r="Q423">
            <v>5025664.1399999997</v>
          </cell>
          <cell r="R423">
            <v>1188281.2200000002</v>
          </cell>
          <cell r="S423">
            <v>1273153.26</v>
          </cell>
          <cell r="T423">
            <v>1752018.8399999999</v>
          </cell>
          <cell r="U423">
            <v>1071602.0399999998</v>
          </cell>
          <cell r="V423">
            <v>856585.52</v>
          </cell>
          <cell r="W423">
            <v>1914821.8200000005</v>
          </cell>
          <cell r="X423">
            <v>960905.61</v>
          </cell>
          <cell r="Y423">
            <v>2820179.7</v>
          </cell>
          <cell r="Z423">
            <v>1036744.09</v>
          </cell>
          <cell r="AA423">
            <v>3014823.06</v>
          </cell>
          <cell r="AB423">
            <v>1097292.3499999996</v>
          </cell>
          <cell r="AC423">
            <v>617960.80999999994</v>
          </cell>
          <cell r="AD423">
            <v>839153.42999999993</v>
          </cell>
          <cell r="AE423">
            <v>2413898.36</v>
          </cell>
          <cell r="AF423">
            <v>617919.21000000008</v>
          </cell>
          <cell r="AG423">
            <v>916077.3600000001</v>
          </cell>
        </row>
      </sheetData>
      <sheetData sheetId="13">
        <row r="39">
          <cell r="E39">
            <v>28.303560641546394</v>
          </cell>
          <cell r="G39">
            <v>28.846072755230836</v>
          </cell>
          <cell r="H39">
            <v>13.547840807695227</v>
          </cell>
          <cell r="I39">
            <v>33.30230397888387</v>
          </cell>
          <cell r="J39">
            <v>27.049411628507137</v>
          </cell>
          <cell r="K39">
            <v>24.996847409605259</v>
          </cell>
          <cell r="L39">
            <v>24.764663499506419</v>
          </cell>
          <cell r="M39">
            <v>26.858859258190293</v>
          </cell>
          <cell r="N39">
            <v>11.405532989633599</v>
          </cell>
          <cell r="O39">
            <v>26.9760471165003</v>
          </cell>
          <cell r="P39">
            <v>22.571085988352174</v>
          </cell>
          <cell r="Q39">
            <v>29.729152295685097</v>
          </cell>
          <cell r="R39">
            <v>17.061498593658801</v>
          </cell>
          <cell r="S39">
            <v>31.605855354305078</v>
          </cell>
          <cell r="T39">
            <v>41.214544944867868</v>
          </cell>
          <cell r="U39">
            <v>21.209760854312592</v>
          </cell>
          <cell r="V39">
            <v>17.078114747174375</v>
          </cell>
          <cell r="W39">
            <v>29.680845671302702</v>
          </cell>
          <cell r="X39">
            <v>31.792139822441939</v>
          </cell>
          <cell r="Y39">
            <v>28.934535291608576</v>
          </cell>
          <cell r="Z39">
            <v>26.441363754880985</v>
          </cell>
          <cell r="AA39">
            <v>23.171245888081746</v>
          </cell>
          <cell r="AB39">
            <v>23.761425903876095</v>
          </cell>
          <cell r="AC39">
            <v>14.006974364522714</v>
          </cell>
          <cell r="AD39">
            <v>18.797779029532467</v>
          </cell>
          <cell r="AE39">
            <v>35.632208169717607</v>
          </cell>
          <cell r="AF39">
            <v>20.218094900444882</v>
          </cell>
          <cell r="AG39">
            <v>20.259119890036349</v>
          </cell>
        </row>
      </sheetData>
      <sheetData sheetId="14">
        <row r="9">
          <cell r="G9">
            <v>347</v>
          </cell>
          <cell r="H9">
            <v>9</v>
          </cell>
          <cell r="I9">
            <v>108</v>
          </cell>
          <cell r="J9">
            <v>41</v>
          </cell>
          <cell r="K9">
            <v>13</v>
          </cell>
          <cell r="L9">
            <v>17</v>
          </cell>
          <cell r="M9">
            <v>17</v>
          </cell>
          <cell r="N9">
            <v>20</v>
          </cell>
          <cell r="O9">
            <v>47</v>
          </cell>
          <cell r="P9">
            <v>20</v>
          </cell>
          <cell r="Q9">
            <v>59</v>
          </cell>
          <cell r="R9">
            <v>22</v>
          </cell>
          <cell r="S9">
            <v>14</v>
          </cell>
          <cell r="T9">
            <v>34</v>
          </cell>
          <cell r="U9">
            <v>8</v>
          </cell>
          <cell r="V9">
            <v>6</v>
          </cell>
          <cell r="W9">
            <v>49</v>
          </cell>
          <cell r="X9">
            <v>8</v>
          </cell>
          <cell r="Y9">
            <v>91</v>
          </cell>
          <cell r="Z9">
            <v>77</v>
          </cell>
          <cell r="AA9">
            <v>168</v>
          </cell>
          <cell r="AB9">
            <v>16</v>
          </cell>
          <cell r="AC9">
            <v>7</v>
          </cell>
          <cell r="AD9">
            <v>10</v>
          </cell>
          <cell r="AE9">
            <v>62</v>
          </cell>
          <cell r="AF9">
            <v>5</v>
          </cell>
          <cell r="AG9">
            <v>7</v>
          </cell>
        </row>
        <row r="12">
          <cell r="G12">
            <v>6</v>
          </cell>
          <cell r="H12">
            <v>0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11</v>
          </cell>
          <cell r="P12">
            <v>1</v>
          </cell>
          <cell r="Q12">
            <v>4</v>
          </cell>
          <cell r="S12">
            <v>0</v>
          </cell>
          <cell r="T12">
            <v>1</v>
          </cell>
          <cell r="U12">
            <v>0</v>
          </cell>
          <cell r="V12">
            <v>0</v>
          </cell>
          <cell r="W12">
            <v>4</v>
          </cell>
          <cell r="X12">
            <v>0</v>
          </cell>
          <cell r="Y12">
            <v>6</v>
          </cell>
          <cell r="Z12">
            <v>0</v>
          </cell>
          <cell r="AA12">
            <v>68</v>
          </cell>
          <cell r="AB12">
            <v>9</v>
          </cell>
          <cell r="AC12">
            <v>0</v>
          </cell>
          <cell r="AD12">
            <v>0</v>
          </cell>
          <cell r="AE12">
            <v>3</v>
          </cell>
          <cell r="AF12">
            <v>0</v>
          </cell>
          <cell r="AG12">
            <v>2</v>
          </cell>
        </row>
        <row r="30">
          <cell r="G30">
            <v>2884820</v>
          </cell>
          <cell r="H30">
            <v>51159</v>
          </cell>
          <cell r="I30">
            <v>232301.46</v>
          </cell>
          <cell r="J30">
            <v>424195</v>
          </cell>
          <cell r="K30">
            <v>117370</v>
          </cell>
          <cell r="L30">
            <v>99272</v>
          </cell>
          <cell r="M30">
            <v>136290</v>
          </cell>
          <cell r="N30">
            <v>89906</v>
          </cell>
          <cell r="O30">
            <v>285608</v>
          </cell>
          <cell r="P30">
            <v>15950</v>
          </cell>
          <cell r="Q30">
            <v>720131</v>
          </cell>
          <cell r="R30">
            <v>90232</v>
          </cell>
          <cell r="S30">
            <v>119253.87</v>
          </cell>
          <cell r="T30">
            <v>212449</v>
          </cell>
          <cell r="U30">
            <v>93790</v>
          </cell>
          <cell r="V30">
            <v>58419</v>
          </cell>
          <cell r="W30">
            <v>304207</v>
          </cell>
          <cell r="X30">
            <v>86448</v>
          </cell>
          <cell r="Y30">
            <v>372808</v>
          </cell>
          <cell r="Z30">
            <v>86689</v>
          </cell>
          <cell r="AA30">
            <v>620467.46</v>
          </cell>
          <cell r="AB30">
            <v>96878</v>
          </cell>
          <cell r="AC30">
            <v>41628</v>
          </cell>
          <cell r="AD30">
            <v>62171</v>
          </cell>
          <cell r="AE30">
            <v>323777</v>
          </cell>
          <cell r="AF30">
            <v>49231</v>
          </cell>
          <cell r="AG30">
            <v>70967</v>
          </cell>
        </row>
        <row r="37">
          <cell r="G37">
            <v>1054387.7400000002</v>
          </cell>
          <cell r="H37">
            <v>8371.8000000000029</v>
          </cell>
          <cell r="I37">
            <v>115643.42000000001</v>
          </cell>
          <cell r="J37">
            <v>132296</v>
          </cell>
          <cell r="K37">
            <v>32374.270000000019</v>
          </cell>
          <cell r="L37">
            <v>35163.160000000003</v>
          </cell>
          <cell r="M37">
            <v>61678.570000000007</v>
          </cell>
          <cell r="N37">
            <v>8591.2000000000116</v>
          </cell>
          <cell r="O37">
            <v>94239</v>
          </cell>
          <cell r="P37">
            <v>4630</v>
          </cell>
          <cell r="Q37">
            <v>207863.44999999995</v>
          </cell>
          <cell r="R37">
            <v>15832.550000000003</v>
          </cell>
          <cell r="S37">
            <v>52033.850000000006</v>
          </cell>
          <cell r="T37">
            <v>118528.02000000002</v>
          </cell>
          <cell r="U37">
            <v>24093</v>
          </cell>
          <cell r="V37">
            <v>12001.240000000005</v>
          </cell>
          <cell r="W37">
            <v>122174</v>
          </cell>
          <cell r="X37">
            <v>29022</v>
          </cell>
          <cell r="Y37">
            <v>159760</v>
          </cell>
          <cell r="Z37">
            <v>28692</v>
          </cell>
          <cell r="AA37">
            <v>164861.93000000005</v>
          </cell>
          <cell r="AB37">
            <v>23973.5</v>
          </cell>
          <cell r="AC37">
            <v>7154.3899999999994</v>
          </cell>
          <cell r="AD37">
            <v>11571</v>
          </cell>
          <cell r="AE37">
            <v>161519.43</v>
          </cell>
          <cell r="AF37">
            <v>11758</v>
          </cell>
          <cell r="AG37">
            <v>16815</v>
          </cell>
        </row>
        <row r="39">
          <cell r="E39">
            <v>25.948195324887546</v>
          </cell>
          <cell r="G39">
            <v>26.765785741039121</v>
          </cell>
          <cell r="H39">
            <v>14.06297244451612</v>
          </cell>
          <cell r="I39">
            <v>33.236132113799179</v>
          </cell>
          <cell r="J39">
            <v>23.773250600638647</v>
          </cell>
          <cell r="K39">
            <v>21.619705381715114</v>
          </cell>
          <cell r="L39">
            <v>26.156222821470219</v>
          </cell>
          <cell r="M39">
            <v>31.103419907366341</v>
          </cell>
          <cell r="N39">
            <v>8.7220127471822515</v>
          </cell>
          <cell r="O39">
            <v>24.809726021266457</v>
          </cell>
          <cell r="P39">
            <v>22.497570456754129</v>
          </cell>
          <cell r="Q39">
            <v>22.393565937350871</v>
          </cell>
          <cell r="R39">
            <v>14.92727777565643</v>
          </cell>
          <cell r="S39">
            <v>30.378038775926264</v>
          </cell>
          <cell r="T39">
            <v>35.811339341085727</v>
          </cell>
          <cell r="U39">
            <v>20.435114503816791</v>
          </cell>
          <cell r="V39">
            <v>17.042316243171005</v>
          </cell>
          <cell r="W39">
            <v>28.627329687375518</v>
          </cell>
          <cell r="X39">
            <v>25.118356254489747</v>
          </cell>
          <cell r="Y39">
            <v>29.996751728812544</v>
          </cell>
          <cell r="Z39">
            <v>24.867179171614044</v>
          </cell>
          <cell r="AA39">
            <v>20.992711096677542</v>
          </cell>
          <cell r="AB39">
            <v>19.747284835854582</v>
          </cell>
          <cell r="AC39">
            <v>14.665927602153154</v>
          </cell>
          <cell r="AD39">
            <v>15.691193621002956</v>
          </cell>
          <cell r="AE39">
            <v>33.278861463331836</v>
          </cell>
          <cell r="AF39">
            <v>19.2788863565561</v>
          </cell>
          <cell r="AG39">
            <v>19.147991254441106</v>
          </cell>
        </row>
        <row r="63">
          <cell r="E63">
            <v>162193277.86999997</v>
          </cell>
          <cell r="G63">
            <v>64271872.439999998</v>
          </cell>
          <cell r="H63">
            <v>952453.46000000008</v>
          </cell>
          <cell r="I63">
            <v>4382969.4799999995</v>
          </cell>
          <cell r="J63">
            <v>8310121.2300000004</v>
          </cell>
          <cell r="K63">
            <v>2434607.85</v>
          </cell>
          <cell r="L63">
            <v>2072925.8900000001</v>
          </cell>
          <cell r="M63">
            <v>2808042.9599999995</v>
          </cell>
          <cell r="N63">
            <v>1786093.8400000003</v>
          </cell>
          <cell r="O63">
            <v>5813852.0499999998</v>
          </cell>
          <cell r="P63">
            <v>346268.44</v>
          </cell>
          <cell r="Q63">
            <v>14161293.969999999</v>
          </cell>
          <cell r="R63">
            <v>1632331.6400000001</v>
          </cell>
          <cell r="S63">
            <v>2227551.46</v>
          </cell>
          <cell r="T63">
            <v>4357973.6900000004</v>
          </cell>
          <cell r="U63">
            <v>1785133.0799999998</v>
          </cell>
          <cell r="V63">
            <v>1099997.26</v>
          </cell>
          <cell r="W63">
            <v>6246313.4399999995</v>
          </cell>
          <cell r="X63">
            <v>1743261.46</v>
          </cell>
          <cell r="Y63">
            <v>8081197.9800000004</v>
          </cell>
          <cell r="Z63">
            <v>1812025.4099999997</v>
          </cell>
          <cell r="AA63">
            <v>13189348.119999999</v>
          </cell>
          <cell r="AB63">
            <v>1699604.7899999998</v>
          </cell>
          <cell r="AC63">
            <v>836393.74000000011</v>
          </cell>
          <cell r="AD63">
            <v>1214850.1099999999</v>
          </cell>
          <cell r="AE63">
            <v>6572772.8600000003</v>
          </cell>
          <cell r="AF63">
            <v>951320.4</v>
          </cell>
          <cell r="AG63">
            <v>1351450.82</v>
          </cell>
        </row>
        <row r="423">
          <cell r="E423">
            <v>53902692.039999992</v>
          </cell>
          <cell r="G423">
            <v>14900612.4</v>
          </cell>
          <cell r="H423">
            <v>519277.81000000006</v>
          </cell>
          <cell r="I423">
            <v>1162666.2</v>
          </cell>
          <cell r="J423">
            <v>2183909.39</v>
          </cell>
          <cell r="K423">
            <v>861632.1399999999</v>
          </cell>
          <cell r="L423">
            <v>910248.53</v>
          </cell>
          <cell r="M423">
            <v>1003564.4</v>
          </cell>
          <cell r="N423">
            <v>851852.99000000011</v>
          </cell>
          <cell r="O423">
            <v>1750109.58</v>
          </cell>
          <cell r="P423">
            <v>292394.62999999995</v>
          </cell>
          <cell r="Q423">
            <v>4261515.1000000006</v>
          </cell>
          <cell r="R423">
            <v>1090652.4500000002</v>
          </cell>
          <cell r="S423">
            <v>1294615.32</v>
          </cell>
          <cell r="T423">
            <v>1613141.4999999998</v>
          </cell>
          <cell r="U423">
            <v>753375.3</v>
          </cell>
          <cell r="V423">
            <v>685313.69</v>
          </cell>
          <cell r="W423">
            <v>1682671.53</v>
          </cell>
          <cell r="X423">
            <v>794697.00999999989</v>
          </cell>
          <cell r="Y423">
            <v>2579850.2899999991</v>
          </cell>
          <cell r="Z423">
            <v>736892.33000000007</v>
          </cell>
          <cell r="AA423">
            <v>3580180.95</v>
          </cell>
          <cell r="AB423">
            <v>947649.74000000011</v>
          </cell>
          <cell r="AC423">
            <v>496305.64999999997</v>
          </cell>
          <cell r="AD423">
            <v>676381.52</v>
          </cell>
          <cell r="AE423">
            <v>1978399.69</v>
          </cell>
          <cell r="AF423">
            <v>473257.0799999999</v>
          </cell>
          <cell r="AG423">
            <v>665190.55999999994</v>
          </cell>
        </row>
      </sheetData>
      <sheetData sheetId="15"/>
      <sheetData sheetId="16">
        <row r="9">
          <cell r="G9">
            <v>382</v>
          </cell>
          <cell r="H9">
            <v>24</v>
          </cell>
          <cell r="I9">
            <v>116</v>
          </cell>
          <cell r="J9">
            <v>103</v>
          </cell>
          <cell r="K9">
            <v>10</v>
          </cell>
          <cell r="L9">
            <v>10</v>
          </cell>
          <cell r="M9">
            <v>21</v>
          </cell>
          <cell r="N9">
            <v>21</v>
          </cell>
          <cell r="O9">
            <v>43</v>
          </cell>
          <cell r="P9">
            <v>13</v>
          </cell>
          <cell r="Q9">
            <v>97</v>
          </cell>
          <cell r="R9">
            <v>13</v>
          </cell>
          <cell r="S9">
            <v>14</v>
          </cell>
          <cell r="T9">
            <v>29</v>
          </cell>
          <cell r="U9">
            <v>14</v>
          </cell>
          <cell r="V9">
            <v>11</v>
          </cell>
          <cell r="W9">
            <v>54</v>
          </cell>
          <cell r="X9">
            <v>16</v>
          </cell>
          <cell r="Y9">
            <v>144</v>
          </cell>
          <cell r="Z9">
            <v>10</v>
          </cell>
          <cell r="AA9">
            <v>129</v>
          </cell>
          <cell r="AB9">
            <v>39</v>
          </cell>
          <cell r="AC9">
            <v>5</v>
          </cell>
          <cell r="AD9">
            <v>7</v>
          </cell>
          <cell r="AE9">
            <v>56</v>
          </cell>
          <cell r="AF9">
            <v>18</v>
          </cell>
          <cell r="AG9">
            <v>6</v>
          </cell>
        </row>
        <row r="12">
          <cell r="G12">
            <v>1</v>
          </cell>
          <cell r="H12">
            <v>2</v>
          </cell>
          <cell r="I12">
            <v>3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10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  <cell r="AA12">
            <v>14</v>
          </cell>
          <cell r="AB12">
            <v>11</v>
          </cell>
          <cell r="AC12">
            <v>0</v>
          </cell>
          <cell r="AD12">
            <v>0</v>
          </cell>
          <cell r="AE12">
            <v>2</v>
          </cell>
          <cell r="AF12">
            <v>0</v>
          </cell>
          <cell r="AG12">
            <v>1</v>
          </cell>
        </row>
        <row r="30">
          <cell r="G30">
            <v>2795771</v>
          </cell>
          <cell r="H30">
            <v>50022</v>
          </cell>
          <cell r="I30">
            <v>233765.46</v>
          </cell>
          <cell r="J30">
            <v>433559</v>
          </cell>
          <cell r="K30">
            <v>118958</v>
          </cell>
          <cell r="L30">
            <v>100578</v>
          </cell>
          <cell r="M30">
            <v>130992</v>
          </cell>
          <cell r="N30">
            <v>90667</v>
          </cell>
          <cell r="O30">
            <v>287831</v>
          </cell>
          <cell r="P30">
            <v>15245</v>
          </cell>
          <cell r="Q30">
            <v>695964</v>
          </cell>
          <cell r="R30">
            <v>82901.5</v>
          </cell>
          <cell r="S30">
            <v>111381.93</v>
          </cell>
          <cell r="T30">
            <v>206754</v>
          </cell>
          <cell r="U30">
            <v>85854</v>
          </cell>
          <cell r="V30">
            <v>55750</v>
          </cell>
          <cell r="W30">
            <v>282873</v>
          </cell>
          <cell r="X30">
            <v>70380</v>
          </cell>
          <cell r="Y30">
            <v>364177</v>
          </cell>
          <cell r="Z30">
            <v>78780</v>
          </cell>
          <cell r="AA30">
            <v>610386</v>
          </cell>
          <cell r="AB30">
            <v>97047</v>
          </cell>
          <cell r="AC30">
            <v>40268</v>
          </cell>
          <cell r="AD30">
            <v>64052</v>
          </cell>
          <cell r="AE30">
            <v>319764</v>
          </cell>
          <cell r="AF30">
            <v>46658</v>
          </cell>
          <cell r="AG30">
            <v>71304</v>
          </cell>
        </row>
        <row r="37">
          <cell r="G37">
            <v>885373.5299999998</v>
          </cell>
          <cell r="H37">
            <v>6468.8399999999965</v>
          </cell>
          <cell r="I37">
            <v>131170.54</v>
          </cell>
          <cell r="J37">
            <v>112227</v>
          </cell>
          <cell r="K37">
            <v>21154.789999999979</v>
          </cell>
          <cell r="L37">
            <v>28960.75</v>
          </cell>
          <cell r="M37">
            <v>49772.420000000013</v>
          </cell>
          <cell r="N37">
            <v>4521.9599999999919</v>
          </cell>
          <cell r="O37">
            <v>90033</v>
          </cell>
          <cell r="P37">
            <v>4505</v>
          </cell>
          <cell r="Q37">
            <v>216614.44000000006</v>
          </cell>
          <cell r="R37">
            <v>16210.5</v>
          </cell>
          <cell r="S37">
            <v>53620.250000000029</v>
          </cell>
          <cell r="T37">
            <v>104920.84000000003</v>
          </cell>
          <cell r="U37">
            <v>22696</v>
          </cell>
          <cell r="V37">
            <v>11642.089999999997</v>
          </cell>
          <cell r="W37">
            <v>105571</v>
          </cell>
          <cell r="X37">
            <v>37812.81</v>
          </cell>
          <cell r="Y37">
            <v>146133</v>
          </cell>
          <cell r="Z37">
            <v>27973</v>
          </cell>
          <cell r="AA37">
            <v>103204</v>
          </cell>
          <cell r="AB37">
            <v>25785.75</v>
          </cell>
          <cell r="AC37">
            <v>5797.18</v>
          </cell>
          <cell r="AD37">
            <v>8286</v>
          </cell>
          <cell r="AE37">
            <v>122234.03999999998</v>
          </cell>
          <cell r="AF37">
            <v>10827</v>
          </cell>
          <cell r="AG37">
            <v>17095</v>
          </cell>
        </row>
        <row r="39">
          <cell r="E39">
            <v>23.910499944222181</v>
          </cell>
          <cell r="G39">
            <v>24.050994925335544</v>
          </cell>
          <cell r="H39">
            <v>11.451130838203143</v>
          </cell>
          <cell r="I39">
            <v>35.943436657386499</v>
          </cell>
          <cell r="J39">
            <v>20.562454881583626</v>
          </cell>
          <cell r="K39">
            <v>15.098400367304071</v>
          </cell>
          <cell r="L39">
            <v>22.356823730350957</v>
          </cell>
          <cell r="M39">
            <v>27.458309477891596</v>
          </cell>
          <cell r="N39">
            <v>4.7504090724581332</v>
          </cell>
          <cell r="O39">
            <v>23.826826583109266</v>
          </cell>
          <cell r="P39">
            <v>22.810126582278482</v>
          </cell>
          <cell r="Q39">
            <v>23.731223400835805</v>
          </cell>
          <cell r="R39">
            <v>16.355738961982404</v>
          </cell>
          <cell r="S39">
            <v>32.496691861889353</v>
          </cell>
          <cell r="T39">
            <v>33.663125799621177</v>
          </cell>
          <cell r="U39">
            <v>20.905448348915396</v>
          </cell>
          <cell r="V39">
            <v>17.275157959932681</v>
          </cell>
          <cell r="W39">
            <v>27.163794301240717</v>
          </cell>
          <cell r="X39">
            <v>34.909779098729906</v>
          </cell>
          <cell r="Y39">
            <v>28.634552002790308</v>
          </cell>
          <cell r="Z39">
            <v>26.199552304507861</v>
          </cell>
          <cell r="AA39">
            <v>14.462646617805744</v>
          </cell>
          <cell r="AB39">
            <v>20.831288436487018</v>
          </cell>
          <cell r="AC39">
            <v>12.577088410910248</v>
          </cell>
          <cell r="AD39">
            <v>11.454560535265006</v>
          </cell>
          <cell r="AE39">
            <v>27.651817326952351</v>
          </cell>
          <cell r="AF39">
            <v>18.834478559624248</v>
          </cell>
          <cell r="AG39">
            <v>19.336047958375747</v>
          </cell>
        </row>
        <row r="63">
          <cell r="E63">
            <v>157047493.23999998</v>
          </cell>
          <cell r="G63">
            <v>61713215.699999996</v>
          </cell>
          <cell r="H63">
            <v>942846.61</v>
          </cell>
          <cell r="I63">
            <v>4529279.8499999996</v>
          </cell>
          <cell r="J63">
            <v>9236178.4200000018</v>
          </cell>
          <cell r="K63">
            <v>2442227.89</v>
          </cell>
          <cell r="L63">
            <v>2098452.89</v>
          </cell>
          <cell r="M63">
            <v>2673765.0500000003</v>
          </cell>
          <cell r="N63">
            <v>1786442.4000000001</v>
          </cell>
          <cell r="O63">
            <v>5792260</v>
          </cell>
          <cell r="P63">
            <v>330900.36</v>
          </cell>
          <cell r="Q63">
            <v>13726882.790000001</v>
          </cell>
          <cell r="R63">
            <v>1496171.2999999998</v>
          </cell>
          <cell r="S63">
            <v>2090793.24</v>
          </cell>
          <cell r="T63">
            <v>4146387.5900000003</v>
          </cell>
          <cell r="U63">
            <v>1632198.99</v>
          </cell>
          <cell r="V63">
            <v>1066323.92</v>
          </cell>
          <cell r="W63">
            <v>5722422.8899999997</v>
          </cell>
          <cell r="X63">
            <v>1480960.1400000001</v>
          </cell>
          <cell r="Y63">
            <v>7130708.6599999992</v>
          </cell>
          <cell r="Z63">
            <v>1596858.7</v>
          </cell>
          <cell r="AA63">
            <v>12777997.339999998</v>
          </cell>
          <cell r="AB63">
            <v>1790644.07</v>
          </cell>
          <cell r="AC63">
            <v>805467.54</v>
          </cell>
          <cell r="AD63">
            <v>1253184.1000000001</v>
          </cell>
          <cell r="AE63">
            <v>6477546.4100000001</v>
          </cell>
          <cell r="AF63">
            <v>912518.04</v>
          </cell>
          <cell r="AG63">
            <v>1368058.3499999999</v>
          </cell>
        </row>
        <row r="423">
          <cell r="E423">
            <v>57264715.680000007</v>
          </cell>
          <cell r="G423">
            <v>15695040.84</v>
          </cell>
          <cell r="H423">
            <v>556401.87</v>
          </cell>
          <cell r="I423">
            <v>1353200.96</v>
          </cell>
          <cell r="J423">
            <v>2353758.4299999997</v>
          </cell>
          <cell r="K423">
            <v>938985.09999999986</v>
          </cell>
          <cell r="L423">
            <v>897680.85</v>
          </cell>
          <cell r="M423">
            <v>1007555.4400000001</v>
          </cell>
          <cell r="N423">
            <v>784753.35000000009</v>
          </cell>
          <cell r="O423">
            <v>2170084.8799999994</v>
          </cell>
          <cell r="P423">
            <v>332330.63</v>
          </cell>
          <cell r="Q423">
            <v>5493737.2000000002</v>
          </cell>
          <cell r="R423">
            <v>951019.9600000002</v>
          </cell>
          <cell r="S423">
            <v>1022992.5500000002</v>
          </cell>
          <cell r="T423">
            <v>1524662.5800000003</v>
          </cell>
          <cell r="U423">
            <v>818557.5</v>
          </cell>
          <cell r="V423">
            <v>781732.86</v>
          </cell>
          <cell r="W423">
            <v>1600677.26</v>
          </cell>
          <cell r="X423">
            <v>737835.38000000012</v>
          </cell>
          <cell r="Y423">
            <v>2611514.27</v>
          </cell>
          <cell r="Z423">
            <v>780625</v>
          </cell>
          <cell r="AA423">
            <v>3596443.73</v>
          </cell>
          <cell r="AB423">
            <v>922932.21</v>
          </cell>
          <cell r="AC423">
            <v>465930.01000000007</v>
          </cell>
          <cell r="AD423">
            <v>701469.42999999993</v>
          </cell>
          <cell r="AE423">
            <v>2037443.1300000001</v>
          </cell>
          <cell r="AF423">
            <v>494450.43000000005</v>
          </cell>
          <cell r="AG423">
            <v>765016.03000000026</v>
          </cell>
        </row>
      </sheetData>
      <sheetData sheetId="17"/>
      <sheetData sheetId="18">
        <row r="9">
          <cell r="G9">
            <v>505</v>
          </cell>
          <cell r="H9">
            <v>22</v>
          </cell>
          <cell r="I9">
            <v>80</v>
          </cell>
          <cell r="J9">
            <v>247</v>
          </cell>
          <cell r="K9">
            <v>24</v>
          </cell>
          <cell r="L9">
            <v>20</v>
          </cell>
          <cell r="M9">
            <v>18</v>
          </cell>
          <cell r="N9">
            <v>54</v>
          </cell>
          <cell r="O9">
            <v>81</v>
          </cell>
          <cell r="P9">
            <v>11</v>
          </cell>
          <cell r="Q9">
            <v>111</v>
          </cell>
          <cell r="R9">
            <v>19</v>
          </cell>
          <cell r="S9">
            <v>28</v>
          </cell>
          <cell r="T9">
            <v>43</v>
          </cell>
          <cell r="U9">
            <v>24</v>
          </cell>
          <cell r="V9">
            <v>27</v>
          </cell>
          <cell r="W9">
            <v>33</v>
          </cell>
          <cell r="X9">
            <v>14</v>
          </cell>
          <cell r="Y9">
            <v>141</v>
          </cell>
          <cell r="Z9">
            <v>39</v>
          </cell>
          <cell r="AA9">
            <v>155</v>
          </cell>
          <cell r="AB9">
            <v>24</v>
          </cell>
          <cell r="AC9">
            <v>10</v>
          </cell>
          <cell r="AD9">
            <v>10</v>
          </cell>
          <cell r="AE9">
            <v>86</v>
          </cell>
          <cell r="AF9">
            <v>15</v>
          </cell>
          <cell r="AG9">
            <v>38</v>
          </cell>
        </row>
        <row r="12">
          <cell r="G12">
            <v>6</v>
          </cell>
          <cell r="H12">
            <v>4</v>
          </cell>
          <cell r="I12">
            <v>3</v>
          </cell>
          <cell r="J12">
            <v>0</v>
          </cell>
          <cell r="K12">
            <v>1</v>
          </cell>
          <cell r="L12">
            <v>3</v>
          </cell>
          <cell r="M12">
            <v>0</v>
          </cell>
          <cell r="N12">
            <v>14</v>
          </cell>
          <cell r="O12">
            <v>7</v>
          </cell>
          <cell r="P12">
            <v>0</v>
          </cell>
          <cell r="Q12">
            <v>0</v>
          </cell>
          <cell r="S12">
            <v>1</v>
          </cell>
          <cell r="T12">
            <v>0</v>
          </cell>
          <cell r="U12">
            <v>1</v>
          </cell>
          <cell r="V12">
            <v>0</v>
          </cell>
          <cell r="W12">
            <v>2</v>
          </cell>
          <cell r="X12">
            <v>1</v>
          </cell>
          <cell r="Y12">
            <v>22</v>
          </cell>
          <cell r="Z12">
            <v>0</v>
          </cell>
          <cell r="AA12">
            <v>14</v>
          </cell>
          <cell r="AB12">
            <v>6</v>
          </cell>
          <cell r="AC12">
            <v>0</v>
          </cell>
          <cell r="AD12">
            <v>1</v>
          </cell>
          <cell r="AE12">
            <v>3</v>
          </cell>
          <cell r="AF12">
            <v>0</v>
          </cell>
          <cell r="AG12">
            <v>10</v>
          </cell>
        </row>
        <row r="30">
          <cell r="G30">
            <v>2781112</v>
          </cell>
          <cell r="H30">
            <v>49096</v>
          </cell>
          <cell r="I30">
            <v>236940.81</v>
          </cell>
          <cell r="J30">
            <v>418148</v>
          </cell>
          <cell r="K30">
            <v>112329</v>
          </cell>
          <cell r="L30">
            <v>95977</v>
          </cell>
          <cell r="M30">
            <v>131894</v>
          </cell>
          <cell r="N30">
            <v>87434</v>
          </cell>
          <cell r="O30">
            <v>274313</v>
          </cell>
          <cell r="P30">
            <v>15461</v>
          </cell>
          <cell r="Q30">
            <v>688169</v>
          </cell>
          <cell r="R30">
            <v>85141.2</v>
          </cell>
          <cell r="S30">
            <v>115266.57</v>
          </cell>
          <cell r="T30">
            <v>196660</v>
          </cell>
          <cell r="U30">
            <v>88599</v>
          </cell>
          <cell r="V30">
            <v>56078</v>
          </cell>
          <cell r="W30">
            <v>280918</v>
          </cell>
          <cell r="X30">
            <v>74040</v>
          </cell>
          <cell r="Y30">
            <v>362715</v>
          </cell>
          <cell r="Z30">
            <v>80737</v>
          </cell>
          <cell r="AA30">
            <v>581474</v>
          </cell>
          <cell r="AB30">
            <v>96651</v>
          </cell>
          <cell r="AC30">
            <v>39917</v>
          </cell>
          <cell r="AD30">
            <v>59735</v>
          </cell>
          <cell r="AE30">
            <v>298708</v>
          </cell>
          <cell r="AF30">
            <v>49784</v>
          </cell>
          <cell r="AG30">
            <v>69415</v>
          </cell>
        </row>
        <row r="37">
          <cell r="G37">
            <v>1529385.3600000003</v>
          </cell>
          <cell r="H37">
            <v>8258.5299999999988</v>
          </cell>
          <cell r="I37">
            <v>96366.18</v>
          </cell>
          <cell r="J37">
            <v>160313</v>
          </cell>
          <cell r="K37">
            <v>41296.950000000012</v>
          </cell>
          <cell r="L37">
            <v>32466.449999999997</v>
          </cell>
          <cell r="M37">
            <v>53018.570000000007</v>
          </cell>
          <cell r="N37">
            <v>25351.569999999992</v>
          </cell>
          <cell r="O37">
            <v>84287</v>
          </cell>
          <cell r="P37">
            <v>4889</v>
          </cell>
          <cell r="Q37">
            <v>369746.70999999996</v>
          </cell>
          <cell r="R37">
            <v>18735.21000000001</v>
          </cell>
          <cell r="S37">
            <v>54249.130000000005</v>
          </cell>
          <cell r="T37">
            <v>139991.78000000003</v>
          </cell>
          <cell r="U37">
            <v>24229</v>
          </cell>
          <cell r="V37">
            <v>22228</v>
          </cell>
          <cell r="W37">
            <v>113478</v>
          </cell>
          <cell r="X37">
            <v>45384.44</v>
          </cell>
          <cell r="Y37">
            <v>199179</v>
          </cell>
          <cell r="Z37">
            <v>32883</v>
          </cell>
          <cell r="AA37">
            <v>211697</v>
          </cell>
          <cell r="AB37">
            <v>32210</v>
          </cell>
          <cell r="AC37">
            <v>11802.580000000002</v>
          </cell>
          <cell r="AD37">
            <v>14629</v>
          </cell>
          <cell r="AE37">
            <v>122366.35000000003</v>
          </cell>
          <cell r="AF37">
            <v>12091</v>
          </cell>
          <cell r="AG37">
            <v>18867</v>
          </cell>
        </row>
        <row r="39">
          <cell r="E39">
            <v>31.893428874320961</v>
          </cell>
          <cell r="G39">
            <v>35.478320117057031</v>
          </cell>
          <cell r="H39">
            <v>14.39808516710592</v>
          </cell>
          <cell r="I39">
            <v>28.912138926339349</v>
          </cell>
          <cell r="J39">
            <v>27.713709307974089</v>
          </cell>
          <cell r="K39">
            <v>26.881493653904183</v>
          </cell>
          <cell r="L39">
            <v>25.27684362262147</v>
          </cell>
          <cell r="M39">
            <v>28.540118492595383</v>
          </cell>
          <cell r="N39">
            <v>22.475081022747005</v>
          </cell>
          <cell r="O39">
            <v>23.504461795872839</v>
          </cell>
          <cell r="P39">
            <v>24.024570024570025</v>
          </cell>
          <cell r="Q39">
            <v>34.942396415380038</v>
          </cell>
          <cell r="R39">
            <v>18.032013756342543</v>
          </cell>
          <cell r="S39">
            <v>32.002422194522396</v>
          </cell>
          <cell r="T39">
            <v>41.583061487909106</v>
          </cell>
          <cell r="U39">
            <v>21.470093043863535</v>
          </cell>
          <cell r="V39">
            <v>28.386075141113071</v>
          </cell>
          <cell r="W39">
            <v>28.760863449387543</v>
          </cell>
          <cell r="X39">
            <v>37.902982534263849</v>
          </cell>
          <cell r="Y39">
            <v>35.447221317558366</v>
          </cell>
          <cell r="Z39">
            <v>28.938660564991643</v>
          </cell>
          <cell r="AA39">
            <v>26.689957146693459</v>
          </cell>
          <cell r="AB39">
            <v>24.747416541815529</v>
          </cell>
          <cell r="AC39">
            <v>22.820332261012176</v>
          </cell>
          <cell r="AD39">
            <v>19.672153192404927</v>
          </cell>
          <cell r="AE39">
            <v>29.052643550088703</v>
          </cell>
          <cell r="AF39">
            <v>19.539431157078216</v>
          </cell>
          <cell r="AG39">
            <v>21.369593041035689</v>
          </cell>
        </row>
        <row r="63">
          <cell r="E63">
            <v>155044817.99000001</v>
          </cell>
          <cell r="G63">
            <v>60570544.090000004</v>
          </cell>
          <cell r="H63">
            <v>943175.71000000008</v>
          </cell>
          <cell r="I63">
            <v>4792384.0699999994</v>
          </cell>
          <cell r="J63">
            <v>8393905.0800000001</v>
          </cell>
          <cell r="K63">
            <v>2309556.9</v>
          </cell>
          <cell r="L63">
            <v>2009204.23</v>
          </cell>
          <cell r="M63">
            <v>2706540.49</v>
          </cell>
          <cell r="N63">
            <v>1803749.77</v>
          </cell>
          <cell r="O63">
            <v>6064232.3600000013</v>
          </cell>
          <cell r="P63">
            <v>330578.7</v>
          </cell>
          <cell r="Q63">
            <v>13413396.649999997</v>
          </cell>
          <cell r="R63">
            <v>1541512.5400000003</v>
          </cell>
          <cell r="S63">
            <v>2159615.0599999996</v>
          </cell>
          <cell r="T63">
            <v>3950042.6799999997</v>
          </cell>
          <cell r="U63">
            <v>1705858.5000000002</v>
          </cell>
          <cell r="V63">
            <v>1086089.0299999998</v>
          </cell>
          <cell r="W63">
            <v>5656448.4699999997</v>
          </cell>
          <cell r="X63">
            <v>1543486.33</v>
          </cell>
          <cell r="Y63">
            <v>8036575.4499999993</v>
          </cell>
          <cell r="Z63">
            <v>1665945.46</v>
          </cell>
          <cell r="AA63">
            <v>12149326.9</v>
          </cell>
          <cell r="AB63">
            <v>1788002.97</v>
          </cell>
          <cell r="AC63">
            <v>804049.0199999999</v>
          </cell>
          <cell r="AD63">
            <v>1144876</v>
          </cell>
          <cell r="AE63">
            <v>6048858.2699999996</v>
          </cell>
          <cell r="AF63">
            <v>978146.57000000007</v>
          </cell>
          <cell r="AG63">
            <v>1362466.6900000002</v>
          </cell>
        </row>
        <row r="423">
          <cell r="E423">
            <v>65633323.109999992</v>
          </cell>
          <cell r="G423">
            <v>17560883.739999998</v>
          </cell>
          <cell r="H423">
            <v>657806.02</v>
          </cell>
          <cell r="I423">
            <v>1489576.8400000003</v>
          </cell>
          <cell r="J423">
            <v>2410441.6199999996</v>
          </cell>
          <cell r="K423">
            <v>1009831.8</v>
          </cell>
          <cell r="L423">
            <v>1002040.4499999998</v>
          </cell>
          <cell r="M423">
            <v>1120547.9299999997</v>
          </cell>
          <cell r="N423">
            <v>961709.77999999991</v>
          </cell>
          <cell r="O423">
            <v>2266657.21</v>
          </cell>
          <cell r="P423">
            <v>388473.79</v>
          </cell>
          <cell r="Q423">
            <v>6238760.0300000003</v>
          </cell>
          <cell r="R423">
            <v>1225106.1500000004</v>
          </cell>
          <cell r="S423">
            <v>1192071.1399999999</v>
          </cell>
          <cell r="T423">
            <v>1951792.33</v>
          </cell>
          <cell r="U423">
            <v>936613.27</v>
          </cell>
          <cell r="V423">
            <v>807231.35</v>
          </cell>
          <cell r="W423">
            <v>1791745.1</v>
          </cell>
          <cell r="X423">
            <v>873692.66999999981</v>
          </cell>
          <cell r="Y423">
            <v>3662254.51</v>
          </cell>
          <cell r="Z423">
            <v>1024740.44</v>
          </cell>
          <cell r="AA423">
            <v>4038603.0199999996</v>
          </cell>
          <cell r="AB423">
            <v>1136906.4800000002</v>
          </cell>
          <cell r="AC423">
            <v>514715.20999999996</v>
          </cell>
          <cell r="AD423">
            <v>776508.22</v>
          </cell>
          <cell r="AE423">
            <v>2175489.2800000003</v>
          </cell>
          <cell r="AF423">
            <v>598028.43000000005</v>
          </cell>
          <cell r="AG423">
            <v>839394</v>
          </cell>
        </row>
      </sheetData>
      <sheetData sheetId="19">
        <row r="39">
          <cell r="E39">
            <v>27.833202951595609</v>
          </cell>
          <cell r="G39">
            <v>28.964641888462012</v>
          </cell>
          <cell r="H39">
            <v>13.432082364820582</v>
          </cell>
          <cell r="I39">
            <v>33.043600464862941</v>
          </cell>
          <cell r="J39">
            <v>25.558230170333495</v>
          </cell>
          <cell r="K39">
            <v>23.149595202488637</v>
          </cell>
          <cell r="L39">
            <v>24.690106453747802</v>
          </cell>
          <cell r="M39">
            <v>28.012263195025096</v>
          </cell>
          <cell r="N39">
            <v>11.995941130230953</v>
          </cell>
          <cell r="O39">
            <v>25.507662489858468</v>
          </cell>
          <cell r="P39">
            <v>22.846463967747354</v>
          </cell>
          <cell r="Q39">
            <v>28.567184899575931</v>
          </cell>
          <cell r="R39">
            <v>16.742777061566137</v>
          </cell>
          <cell r="S39">
            <v>31.609892077990942</v>
          </cell>
          <cell r="T39">
            <v>39.228402844877344</v>
          </cell>
          <cell r="U39">
            <v>21.069176339652408</v>
          </cell>
          <cell r="V39">
            <v>19.218800905344832</v>
          </cell>
          <cell r="W39">
            <v>28.938797767111303</v>
          </cell>
          <cell r="X39">
            <v>32.234369376865423</v>
          </cell>
          <cell r="Y39">
            <v>30.216853371423746</v>
          </cell>
          <cell r="Z39">
            <v>26.558040198316178</v>
          </cell>
          <cell r="AA39">
            <v>22.060358239372547</v>
          </cell>
          <cell r="AB39">
            <v>22.789332772423581</v>
          </cell>
          <cell r="AC39">
            <v>15.469599704245487</v>
          </cell>
          <cell r="AD39">
            <v>17.232341881881432</v>
          </cell>
          <cell r="AE39">
            <v>32.982013874397374</v>
          </cell>
          <cell r="AF39">
            <v>19.714721646698496</v>
          </cell>
          <cell r="AG39">
            <v>20.101273801094052</v>
          </cell>
        </row>
      </sheetData>
      <sheetData sheetId="20">
        <row r="9">
          <cell r="G9">
            <v>243</v>
          </cell>
          <cell r="H9">
            <v>8</v>
          </cell>
          <cell r="I9">
            <v>60</v>
          </cell>
          <cell r="J9">
            <v>93</v>
          </cell>
          <cell r="K9">
            <v>26</v>
          </cell>
          <cell r="L9">
            <v>31</v>
          </cell>
          <cell r="M9">
            <v>21</v>
          </cell>
          <cell r="N9">
            <v>35</v>
          </cell>
          <cell r="O9">
            <v>64</v>
          </cell>
          <cell r="P9">
            <v>0</v>
          </cell>
          <cell r="Q9">
            <v>75</v>
          </cell>
          <cell r="R9">
            <v>8</v>
          </cell>
          <cell r="S9">
            <v>9</v>
          </cell>
          <cell r="T9">
            <v>44</v>
          </cell>
          <cell r="U9">
            <v>6</v>
          </cell>
          <cell r="V9">
            <v>14</v>
          </cell>
          <cell r="W9">
            <v>25</v>
          </cell>
          <cell r="X9">
            <v>7</v>
          </cell>
          <cell r="Y9">
            <v>122</v>
          </cell>
          <cell r="Z9">
            <v>16</v>
          </cell>
          <cell r="AA9">
            <v>149</v>
          </cell>
          <cell r="AB9">
            <v>42</v>
          </cell>
          <cell r="AC9">
            <v>3</v>
          </cell>
          <cell r="AD9">
            <v>13</v>
          </cell>
          <cell r="AE9">
            <v>60</v>
          </cell>
          <cell r="AF9">
            <v>13</v>
          </cell>
          <cell r="AG9">
            <v>14</v>
          </cell>
        </row>
        <row r="12">
          <cell r="G12">
            <v>17</v>
          </cell>
          <cell r="H12">
            <v>1</v>
          </cell>
          <cell r="I12">
            <v>5</v>
          </cell>
          <cell r="J12">
            <v>0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S12">
            <v>1</v>
          </cell>
          <cell r="T12">
            <v>5</v>
          </cell>
          <cell r="U12">
            <v>0</v>
          </cell>
          <cell r="V12">
            <v>1</v>
          </cell>
          <cell r="W12">
            <v>1</v>
          </cell>
          <cell r="X12">
            <v>0</v>
          </cell>
          <cell r="Y12">
            <v>14</v>
          </cell>
          <cell r="Z12">
            <v>0</v>
          </cell>
          <cell r="AA12">
            <v>11</v>
          </cell>
          <cell r="AB12">
            <v>18</v>
          </cell>
          <cell r="AC12">
            <v>1</v>
          </cell>
          <cell r="AD12">
            <v>2</v>
          </cell>
          <cell r="AE12">
            <v>6</v>
          </cell>
          <cell r="AF12">
            <v>2</v>
          </cell>
          <cell r="AG12">
            <v>0</v>
          </cell>
        </row>
        <row r="30">
          <cell r="G30">
            <v>3244140</v>
          </cell>
          <cell r="H30">
            <v>60921</v>
          </cell>
          <cell r="I30">
            <v>284551</v>
          </cell>
          <cell r="J30">
            <v>487577</v>
          </cell>
          <cell r="K30">
            <v>129035</v>
          </cell>
          <cell r="L30">
            <v>104722</v>
          </cell>
          <cell r="M30">
            <v>158301</v>
          </cell>
          <cell r="N30">
            <v>105870</v>
          </cell>
          <cell r="O30">
            <v>315873</v>
          </cell>
          <cell r="P30">
            <v>21389</v>
          </cell>
          <cell r="Q30">
            <v>786442</v>
          </cell>
          <cell r="R30">
            <v>96033.5</v>
          </cell>
          <cell r="S30">
            <v>134205.43</v>
          </cell>
          <cell r="T30">
            <v>233102</v>
          </cell>
          <cell r="U30">
            <v>108864</v>
          </cell>
          <cell r="V30">
            <v>65299</v>
          </cell>
          <cell r="W30">
            <v>327599</v>
          </cell>
          <cell r="X30">
            <v>84049</v>
          </cell>
          <cell r="Y30">
            <v>442637</v>
          </cell>
          <cell r="Z30">
            <v>94368</v>
          </cell>
          <cell r="AA30">
            <v>662408.73</v>
          </cell>
          <cell r="AB30">
            <v>106488</v>
          </cell>
          <cell r="AC30">
            <v>45882</v>
          </cell>
          <cell r="AD30">
            <v>69110</v>
          </cell>
          <cell r="AE30">
            <v>345532</v>
          </cell>
          <cell r="AF30">
            <v>56306</v>
          </cell>
          <cell r="AG30">
            <v>80902</v>
          </cell>
        </row>
        <row r="37">
          <cell r="G37">
            <v>802208.66000000015</v>
          </cell>
          <cell r="H37">
            <v>8996.4600000000064</v>
          </cell>
          <cell r="I37">
            <v>117634.02000000002</v>
          </cell>
          <cell r="J37">
            <v>125718</v>
          </cell>
          <cell r="K37">
            <v>16971.229999999981</v>
          </cell>
          <cell r="L37">
            <v>32198.989999999991</v>
          </cell>
          <cell r="M37">
            <v>53125.91</v>
          </cell>
          <cell r="N37">
            <v>4103.1000000000058</v>
          </cell>
          <cell r="O37">
            <v>99020</v>
          </cell>
          <cell r="P37">
            <v>7411</v>
          </cell>
          <cell r="Q37">
            <v>224520.54000000004</v>
          </cell>
          <cell r="R37">
            <v>10106.099999999997</v>
          </cell>
          <cell r="S37">
            <v>32694.899999999994</v>
          </cell>
          <cell r="T37">
            <v>95045.479999999981</v>
          </cell>
          <cell r="U37">
            <v>27748</v>
          </cell>
          <cell r="V37">
            <v>14809</v>
          </cell>
          <cell r="W37">
            <v>117029</v>
          </cell>
          <cell r="X37">
            <v>35748.51999999999</v>
          </cell>
          <cell r="Y37">
            <v>71323</v>
          </cell>
          <cell r="Z37">
            <v>30928</v>
          </cell>
          <cell r="AA37">
            <v>72049.270000000019</v>
          </cell>
          <cell r="AB37">
            <v>35184</v>
          </cell>
          <cell r="AC37">
            <v>4156.1100000000006</v>
          </cell>
          <cell r="AD37">
            <v>8675</v>
          </cell>
          <cell r="AE37">
            <v>124747.09000000003</v>
          </cell>
          <cell r="AF37">
            <v>5344</v>
          </cell>
          <cell r="AG37">
            <v>16956</v>
          </cell>
        </row>
        <row r="39">
          <cell r="E39">
            <v>20.226662093861933</v>
          </cell>
          <cell r="G39">
            <v>19.823648238116544</v>
          </cell>
          <cell r="H39">
            <v>12.867258049706045</v>
          </cell>
          <cell r="I39">
            <v>29.248732337171585</v>
          </cell>
          <cell r="J39">
            <v>20.498547208389994</v>
          </cell>
          <cell r="K39">
            <v>11.623634142186935</v>
          </cell>
          <cell r="L39">
            <v>23.503085679682741</v>
          </cell>
          <cell r="M39">
            <v>25.056211025289198</v>
          </cell>
          <cell r="N39">
            <v>3.7309693827910442</v>
          </cell>
          <cell r="O39">
            <v>23.857424063182904</v>
          </cell>
          <cell r="P39">
            <v>25.732638888888886</v>
          </cell>
          <cell r="Q39">
            <v>22.20448421506477</v>
          </cell>
          <cell r="R39">
            <v>9.5200280341609798</v>
          </cell>
          <cell r="S39">
            <v>19.589475946512504</v>
          </cell>
          <cell r="T39">
            <v>28.962756724920379</v>
          </cell>
          <cell r="U39">
            <v>20.282439623413836</v>
          </cell>
          <cell r="V39">
            <v>18.474762344369868</v>
          </cell>
          <cell r="W39">
            <v>26.312310435304621</v>
          </cell>
          <cell r="X39">
            <v>29.782858559639656</v>
          </cell>
          <cell r="Y39">
            <v>13.875017265226958</v>
          </cell>
          <cell r="Z39">
            <v>24.681584575605708</v>
          </cell>
          <cell r="AA39">
            <v>9.8098557031171296</v>
          </cell>
          <cell r="AB39">
            <v>24.660241808305589</v>
          </cell>
          <cell r="AC39">
            <v>8.3058892512127258</v>
          </cell>
          <cell r="AD39">
            <v>11.152535835958091</v>
          </cell>
          <cell r="AE39">
            <v>26.52217840545114</v>
          </cell>
          <cell r="AF39">
            <v>8.6682887266828885</v>
          </cell>
          <cell r="AG39">
            <v>17.323960930156524</v>
          </cell>
        </row>
        <row r="63">
          <cell r="E63">
            <v>177550924.83000001</v>
          </cell>
          <cell r="G63">
            <v>70411096.920000002</v>
          </cell>
          <cell r="H63">
            <v>1130966.7899999998</v>
          </cell>
          <cell r="I63">
            <v>5284262.32</v>
          </cell>
          <cell r="J63">
            <v>9692289.620000001</v>
          </cell>
          <cell r="K63">
            <v>2647930.79</v>
          </cell>
          <cell r="L63">
            <v>2198988.36</v>
          </cell>
          <cell r="M63">
            <v>3225048.5900000003</v>
          </cell>
          <cell r="N63">
            <v>2086847.55</v>
          </cell>
          <cell r="O63">
            <v>6326323.3700000001</v>
          </cell>
          <cell r="P63">
            <v>429081.7</v>
          </cell>
          <cell r="Q63">
            <v>15386761.41</v>
          </cell>
          <cell r="R63">
            <v>1717497.2199999997</v>
          </cell>
          <cell r="S63">
            <v>2472078.6400000006</v>
          </cell>
          <cell r="T63">
            <v>4660786.5699999994</v>
          </cell>
          <cell r="U63">
            <v>2068005.14</v>
          </cell>
          <cell r="V63">
            <v>1242771.1099999999</v>
          </cell>
          <cell r="W63">
            <v>6535426.0199999996</v>
          </cell>
          <cell r="X63">
            <v>1700545.61</v>
          </cell>
          <cell r="Y63">
            <v>8885858.3000000007</v>
          </cell>
          <cell r="Z63">
            <v>1767254</v>
          </cell>
          <cell r="AA63">
            <v>13759725.15</v>
          </cell>
          <cell r="AB63">
            <v>2053787.6</v>
          </cell>
          <cell r="AC63">
            <v>909341.34999999986</v>
          </cell>
          <cell r="AD63">
            <v>1352106.21</v>
          </cell>
          <cell r="AE63">
            <v>6950335.4299999997</v>
          </cell>
          <cell r="AF63">
            <v>1067918</v>
          </cell>
          <cell r="AG63">
            <v>1545791.06</v>
          </cell>
        </row>
        <row r="423">
          <cell r="E423">
            <v>62240433.230000004</v>
          </cell>
          <cell r="G423">
            <v>18600374.229999997</v>
          </cell>
          <cell r="H423">
            <v>601420.25</v>
          </cell>
          <cell r="I423">
            <v>1430540.3800000001</v>
          </cell>
          <cell r="J423">
            <v>2672519.31</v>
          </cell>
          <cell r="K423">
            <v>976288.00000000012</v>
          </cell>
          <cell r="L423">
            <v>913563.23</v>
          </cell>
          <cell r="M423">
            <v>1156371.2200000002</v>
          </cell>
          <cell r="N423">
            <v>859167.22000000009</v>
          </cell>
          <cell r="O423">
            <v>2015874.7699999996</v>
          </cell>
          <cell r="P423">
            <v>389752.14</v>
          </cell>
          <cell r="Q423">
            <v>5642671.5200000005</v>
          </cell>
          <cell r="R423">
            <v>1014352.89</v>
          </cell>
          <cell r="S423">
            <v>1076615.83</v>
          </cell>
          <cell r="T423">
            <v>1696094.06</v>
          </cell>
          <cell r="U423">
            <v>858748.3899999999</v>
          </cell>
          <cell r="V423">
            <v>752792.33000000019</v>
          </cell>
          <cell r="W423">
            <v>1653534.7000000002</v>
          </cell>
          <cell r="X423">
            <v>739584.25</v>
          </cell>
          <cell r="Y423">
            <v>2714519.4099999997</v>
          </cell>
          <cell r="Z423">
            <v>842897.43</v>
          </cell>
          <cell r="AA423">
            <v>3645218.0100000002</v>
          </cell>
          <cell r="AB423">
            <v>1089471.19</v>
          </cell>
          <cell r="AC423">
            <v>498616.04000000004</v>
          </cell>
          <cell r="AD423">
            <v>792348.78</v>
          </cell>
          <cell r="AE423">
            <v>1938039.1999999997</v>
          </cell>
          <cell r="AF423">
            <v>495997.46000000008</v>
          </cell>
          <cell r="AG423">
            <v>713693.84999999986</v>
          </cell>
        </row>
      </sheetData>
      <sheetData sheetId="21"/>
      <sheetData sheetId="22">
        <row r="9">
          <cell r="G9">
            <v>404</v>
          </cell>
          <cell r="H9">
            <v>11</v>
          </cell>
          <cell r="I9">
            <v>81</v>
          </cell>
          <cell r="J9">
            <v>81</v>
          </cell>
          <cell r="K9">
            <v>15</v>
          </cell>
          <cell r="L9">
            <v>20</v>
          </cell>
          <cell r="M9">
            <v>17</v>
          </cell>
          <cell r="N9">
            <v>25</v>
          </cell>
          <cell r="O9">
            <v>62</v>
          </cell>
          <cell r="P9">
            <v>1</v>
          </cell>
          <cell r="Q9">
            <v>79</v>
          </cell>
          <cell r="R9">
            <v>17</v>
          </cell>
          <cell r="S9">
            <v>14</v>
          </cell>
          <cell r="T9">
            <v>41</v>
          </cell>
          <cell r="U9">
            <v>12</v>
          </cell>
          <cell r="V9">
            <v>6</v>
          </cell>
          <cell r="W9">
            <v>52</v>
          </cell>
          <cell r="X9">
            <v>17</v>
          </cell>
          <cell r="Y9">
            <v>105</v>
          </cell>
          <cell r="Z9">
            <v>16</v>
          </cell>
          <cell r="AA9">
            <v>166</v>
          </cell>
          <cell r="AB9">
            <v>51</v>
          </cell>
          <cell r="AC9">
            <v>2</v>
          </cell>
          <cell r="AD9">
            <v>17</v>
          </cell>
          <cell r="AE9">
            <v>58</v>
          </cell>
          <cell r="AF9">
            <v>5</v>
          </cell>
          <cell r="AG9">
            <v>15</v>
          </cell>
        </row>
        <row r="12">
          <cell r="G12">
            <v>6</v>
          </cell>
          <cell r="H12">
            <v>1</v>
          </cell>
          <cell r="I12">
            <v>3</v>
          </cell>
          <cell r="J12">
            <v>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2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X12">
            <v>0</v>
          </cell>
          <cell r="Y12">
            <v>3</v>
          </cell>
          <cell r="Z12">
            <v>1</v>
          </cell>
          <cell r="AA12">
            <v>11</v>
          </cell>
          <cell r="AB12">
            <v>7</v>
          </cell>
          <cell r="AC12">
            <v>0</v>
          </cell>
          <cell r="AD12">
            <v>0</v>
          </cell>
          <cell r="AE12">
            <v>3</v>
          </cell>
          <cell r="AF12">
            <v>0</v>
          </cell>
          <cell r="AG12">
            <v>2</v>
          </cell>
        </row>
        <row r="30">
          <cell r="G30">
            <v>3026897</v>
          </cell>
          <cell r="H30">
            <v>56508</v>
          </cell>
          <cell r="I30">
            <v>269461.2</v>
          </cell>
          <cell r="J30">
            <v>491991</v>
          </cell>
          <cell r="K30">
            <v>124092</v>
          </cell>
          <cell r="L30">
            <v>111168</v>
          </cell>
          <cell r="M30">
            <v>145909</v>
          </cell>
          <cell r="N30">
            <v>105934</v>
          </cell>
          <cell r="O30">
            <v>324074</v>
          </cell>
          <cell r="P30">
            <v>19013</v>
          </cell>
          <cell r="Q30">
            <v>779767</v>
          </cell>
          <cell r="R30">
            <v>101573.9</v>
          </cell>
          <cell r="S30">
            <v>139607.5</v>
          </cell>
          <cell r="T30">
            <v>227843</v>
          </cell>
          <cell r="U30">
            <v>105974</v>
          </cell>
          <cell r="V30">
            <v>65780</v>
          </cell>
          <cell r="W30">
            <v>299405</v>
          </cell>
          <cell r="X30">
            <v>82111</v>
          </cell>
          <cell r="Y30">
            <v>418691</v>
          </cell>
          <cell r="Z30">
            <v>92722</v>
          </cell>
          <cell r="AA30">
            <v>623825</v>
          </cell>
          <cell r="AB30">
            <v>109316</v>
          </cell>
          <cell r="AC30">
            <v>44142</v>
          </cell>
          <cell r="AD30">
            <v>67773</v>
          </cell>
          <cell r="AE30">
            <v>328137</v>
          </cell>
          <cell r="AF30">
            <v>53021</v>
          </cell>
          <cell r="AG30">
            <v>74696</v>
          </cell>
        </row>
        <row r="37">
          <cell r="G37">
            <v>1153688.81</v>
          </cell>
          <cell r="H37">
            <v>7876.7900000000009</v>
          </cell>
          <cell r="I37">
            <v>99877.789999999979</v>
          </cell>
          <cell r="J37">
            <v>110085</v>
          </cell>
          <cell r="K37">
            <v>16019.739999999991</v>
          </cell>
          <cell r="L37">
            <v>26200.5</v>
          </cell>
          <cell r="M37">
            <v>50695.72</v>
          </cell>
          <cell r="N37">
            <v>2235.8000000000029</v>
          </cell>
          <cell r="O37">
            <v>96767</v>
          </cell>
          <cell r="P37">
            <v>6628</v>
          </cell>
          <cell r="Q37">
            <v>246410.82999999996</v>
          </cell>
          <cell r="R37">
            <v>3715.8399999999992</v>
          </cell>
          <cell r="S37">
            <v>16515.229999999981</v>
          </cell>
          <cell r="T37">
            <v>106081.34999999998</v>
          </cell>
          <cell r="U37">
            <v>27274</v>
          </cell>
          <cell r="V37">
            <v>16775</v>
          </cell>
          <cell r="W37">
            <v>127079</v>
          </cell>
          <cell r="X37">
            <v>44183.460000000006</v>
          </cell>
          <cell r="Y37">
            <v>114943</v>
          </cell>
          <cell r="Z37">
            <v>31526</v>
          </cell>
          <cell r="AA37">
            <v>136534</v>
          </cell>
          <cell r="AB37">
            <v>33283</v>
          </cell>
          <cell r="AC37">
            <v>7630.3700000000026</v>
          </cell>
          <cell r="AD37">
            <v>8081</v>
          </cell>
          <cell r="AE37">
            <v>121999.06000000006</v>
          </cell>
          <cell r="AF37">
            <v>5800</v>
          </cell>
          <cell r="AG37">
            <v>13638</v>
          </cell>
        </row>
        <row r="39">
          <cell r="E39">
            <v>24.090266668117575</v>
          </cell>
          <cell r="G39">
            <v>27.595643554505401</v>
          </cell>
          <cell r="H39">
            <v>12.233929783726873</v>
          </cell>
          <cell r="I39">
            <v>27.041576585873429</v>
          </cell>
          <cell r="J39">
            <v>18.283720289058337</v>
          </cell>
          <cell r="K39">
            <v>11.433545825638873</v>
          </cell>
          <cell r="L39">
            <v>19.073149957959796</v>
          </cell>
          <cell r="M39">
            <v>25.706762392466175</v>
          </cell>
          <cell r="N39">
            <v>2.0654270532329253</v>
          </cell>
          <cell r="O39">
            <v>22.960384575230393</v>
          </cell>
          <cell r="P39">
            <v>25.840155945419102</v>
          </cell>
          <cell r="Q39">
            <v>24.009095656578154</v>
          </cell>
          <cell r="R39">
            <v>3.5290294162395903</v>
          </cell>
          <cell r="S39">
            <v>10.578363573324642</v>
          </cell>
          <cell r="T39">
            <v>31.765605276353202</v>
          </cell>
          <cell r="U39">
            <v>20.461382647511158</v>
          </cell>
          <cell r="V39">
            <v>20.314865273993341</v>
          </cell>
          <cell r="W39">
            <v>29.778673446671899</v>
          </cell>
          <cell r="X39">
            <v>34.926681056786904</v>
          </cell>
          <cell r="Y39">
            <v>21.538014709326838</v>
          </cell>
          <cell r="Z39">
            <v>25.373446655076943</v>
          </cell>
          <cell r="AA39">
            <v>17.9565179079882</v>
          </cell>
          <cell r="AB39">
            <v>23.270106062406924</v>
          </cell>
          <cell r="AC39">
            <v>14.738305393398065</v>
          </cell>
          <cell r="AD39">
            <v>10.653360402879215</v>
          </cell>
          <cell r="AE39">
            <v>27.098312948211223</v>
          </cell>
          <cell r="AF39">
            <v>9.8604239982319228</v>
          </cell>
          <cell r="AG39">
            <v>15.436332767402378</v>
          </cell>
        </row>
        <row r="63">
          <cell r="E63">
            <v>170467741.09999999</v>
          </cell>
          <cell r="G63">
            <v>66361202.419999994</v>
          </cell>
          <cell r="H63">
            <v>1050988.48</v>
          </cell>
          <cell r="I63">
            <v>5197847.0699999994</v>
          </cell>
          <cell r="J63">
            <v>9710561.1099999994</v>
          </cell>
          <cell r="K63">
            <v>2518272.3800000004</v>
          </cell>
          <cell r="L63">
            <v>2298743.21</v>
          </cell>
          <cell r="M63">
            <v>2991479.8600000003</v>
          </cell>
          <cell r="N63">
            <v>2051069.16</v>
          </cell>
          <cell r="O63">
            <v>6668803.9600000009</v>
          </cell>
          <cell r="P63">
            <v>380648.26</v>
          </cell>
          <cell r="Q63">
            <v>15116365.66</v>
          </cell>
          <cell r="R63">
            <v>1814014.4200000002</v>
          </cell>
          <cell r="S63">
            <v>2559988.71</v>
          </cell>
          <cell r="T63">
            <v>4564856.540000001</v>
          </cell>
          <cell r="U63">
            <v>2018915.45</v>
          </cell>
          <cell r="V63">
            <v>1232705.78</v>
          </cell>
          <cell r="W63">
            <v>6017165.6100000003</v>
          </cell>
          <cell r="X63">
            <v>1659776.3099999998</v>
          </cell>
          <cell r="Y63">
            <v>8103804.0199999996</v>
          </cell>
          <cell r="Z63">
            <v>1946787.6099999999</v>
          </cell>
          <cell r="AA63">
            <v>12969646.77</v>
          </cell>
          <cell r="AB63">
            <v>2010069.0299999998</v>
          </cell>
          <cell r="AC63">
            <v>871500.03000000014</v>
          </cell>
          <cell r="AD63">
            <v>1311862.53</v>
          </cell>
          <cell r="AE63">
            <v>6575162.5599999987</v>
          </cell>
          <cell r="AF63">
            <v>1000352.54</v>
          </cell>
          <cell r="AG63">
            <v>1417751.62</v>
          </cell>
        </row>
        <row r="423">
          <cell r="E423">
            <v>63485998.989999995</v>
          </cell>
          <cell r="G423">
            <v>17160971.989999998</v>
          </cell>
          <cell r="H423">
            <v>672253.69</v>
          </cell>
          <cell r="I423">
            <v>1502071.55</v>
          </cell>
          <cell r="J423">
            <v>2344318.08</v>
          </cell>
          <cell r="K423">
            <v>936268.54000000015</v>
          </cell>
          <cell r="L423">
            <v>951688.34999999986</v>
          </cell>
          <cell r="M423">
            <v>1118900.5299999998</v>
          </cell>
          <cell r="N423">
            <v>971034.74000000011</v>
          </cell>
          <cell r="O423">
            <v>2279432.71</v>
          </cell>
          <cell r="P423">
            <v>398560.14999999997</v>
          </cell>
          <cell r="Q423">
            <v>5491337.7199999997</v>
          </cell>
          <cell r="R423">
            <v>1150341.3699999999</v>
          </cell>
          <cell r="S423">
            <v>1101269.19</v>
          </cell>
          <cell r="T423">
            <v>1776610.3199999998</v>
          </cell>
          <cell r="U423">
            <v>916775.14</v>
          </cell>
          <cell r="V423">
            <v>791039.81</v>
          </cell>
          <cell r="W423">
            <v>1769390.4400000004</v>
          </cell>
          <cell r="X423">
            <v>826435.92</v>
          </cell>
          <cell r="Y423">
            <v>3170104.6000000006</v>
          </cell>
          <cell r="Z423">
            <v>932589.16999999993</v>
          </cell>
          <cell r="AA423">
            <v>4222195.3999999994</v>
          </cell>
          <cell r="AB423">
            <v>1034956.3600000001</v>
          </cell>
          <cell r="AC423">
            <v>534833.47000000009</v>
          </cell>
          <cell r="AD423">
            <v>787444.05999999994</v>
          </cell>
          <cell r="AE423">
            <v>2188995.33</v>
          </cell>
          <cell r="AF423">
            <v>575808.2300000001</v>
          </cell>
          <cell r="AG423">
            <v>761199.7</v>
          </cell>
        </row>
      </sheetData>
      <sheetData sheetId="23"/>
      <sheetData sheetId="24">
        <row r="9">
          <cell r="G9">
            <v>462</v>
          </cell>
          <cell r="H9">
            <v>2</v>
          </cell>
          <cell r="I9">
            <v>133</v>
          </cell>
          <cell r="J9">
            <v>42</v>
          </cell>
          <cell r="K9">
            <v>15</v>
          </cell>
          <cell r="L9">
            <v>12</v>
          </cell>
          <cell r="M9">
            <v>50</v>
          </cell>
          <cell r="N9">
            <v>15</v>
          </cell>
          <cell r="O9">
            <v>36</v>
          </cell>
          <cell r="P9">
            <v>12</v>
          </cell>
          <cell r="Q9">
            <v>149</v>
          </cell>
          <cell r="R9">
            <v>8</v>
          </cell>
          <cell r="S9">
            <v>18</v>
          </cell>
          <cell r="T9">
            <v>16</v>
          </cell>
          <cell r="U9">
            <v>2</v>
          </cell>
          <cell r="V9">
            <v>11</v>
          </cell>
          <cell r="W9">
            <v>30</v>
          </cell>
          <cell r="X9">
            <v>25</v>
          </cell>
          <cell r="Y9">
            <v>73</v>
          </cell>
          <cell r="Z9">
            <v>17</v>
          </cell>
          <cell r="AA9">
            <v>132</v>
          </cell>
          <cell r="AB9">
            <v>80</v>
          </cell>
          <cell r="AC9">
            <v>9</v>
          </cell>
          <cell r="AD9">
            <v>21</v>
          </cell>
          <cell r="AE9">
            <v>55</v>
          </cell>
          <cell r="AF9">
            <v>51</v>
          </cell>
          <cell r="AG9">
            <v>4</v>
          </cell>
        </row>
        <row r="12">
          <cell r="G12">
            <v>2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3</v>
          </cell>
          <cell r="M12">
            <v>12</v>
          </cell>
          <cell r="N12">
            <v>0</v>
          </cell>
          <cell r="O12">
            <v>2</v>
          </cell>
          <cell r="P12">
            <v>0</v>
          </cell>
          <cell r="Q12">
            <v>17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7</v>
          </cell>
          <cell r="Y12">
            <v>32</v>
          </cell>
          <cell r="Z12">
            <v>0</v>
          </cell>
          <cell r="AA12">
            <v>3</v>
          </cell>
          <cell r="AB12">
            <v>4</v>
          </cell>
          <cell r="AC12">
            <v>0</v>
          </cell>
          <cell r="AD12">
            <v>0</v>
          </cell>
          <cell r="AE12">
            <v>1</v>
          </cell>
          <cell r="AF12">
            <v>2</v>
          </cell>
          <cell r="AG12">
            <v>1</v>
          </cell>
        </row>
        <row r="30">
          <cell r="G30">
            <v>2862279</v>
          </cell>
          <cell r="H30">
            <v>52275</v>
          </cell>
          <cell r="I30">
            <v>239135.03</v>
          </cell>
          <cell r="J30">
            <v>443819</v>
          </cell>
          <cell r="K30">
            <v>118738</v>
          </cell>
          <cell r="L30">
            <v>109868</v>
          </cell>
          <cell r="M30">
            <v>144527</v>
          </cell>
          <cell r="N30">
            <v>99877</v>
          </cell>
          <cell r="O30">
            <v>298639</v>
          </cell>
          <cell r="P30">
            <v>17195</v>
          </cell>
          <cell r="Q30">
            <v>740361</v>
          </cell>
          <cell r="R30">
            <v>85647.4</v>
          </cell>
          <cell r="S30">
            <v>115657</v>
          </cell>
          <cell r="T30">
            <v>223303</v>
          </cell>
          <cell r="U30">
            <v>97184</v>
          </cell>
          <cell r="V30">
            <v>60472</v>
          </cell>
          <cell r="W30">
            <v>303963</v>
          </cell>
          <cell r="X30">
            <v>84583</v>
          </cell>
          <cell r="Y30">
            <v>416874</v>
          </cell>
          <cell r="Z30">
            <v>91514</v>
          </cell>
          <cell r="AA30">
            <v>641215</v>
          </cell>
          <cell r="AB30">
            <v>104301</v>
          </cell>
          <cell r="AC30">
            <v>44581</v>
          </cell>
          <cell r="AD30">
            <v>64509</v>
          </cell>
          <cell r="AE30">
            <v>341483</v>
          </cell>
          <cell r="AF30">
            <v>52399</v>
          </cell>
          <cell r="AG30">
            <v>72498</v>
          </cell>
        </row>
        <row r="37">
          <cell r="G37">
            <v>1115900.96</v>
          </cell>
          <cell r="H37">
            <v>8554.989999999998</v>
          </cell>
          <cell r="I37">
            <v>110906.4</v>
          </cell>
          <cell r="J37">
            <v>161542</v>
          </cell>
          <cell r="K37">
            <v>13233.729999999981</v>
          </cell>
          <cell r="L37">
            <v>21433.910000000003</v>
          </cell>
          <cell r="M37">
            <v>40397.920000000013</v>
          </cell>
          <cell r="N37">
            <v>1027.1999999999971</v>
          </cell>
          <cell r="O37">
            <v>99976</v>
          </cell>
          <cell r="P37">
            <v>5855</v>
          </cell>
          <cell r="Q37">
            <v>246235.92000000004</v>
          </cell>
          <cell r="R37">
            <v>12945.910000000013</v>
          </cell>
          <cell r="S37">
            <v>36723.910000000003</v>
          </cell>
          <cell r="T37">
            <v>97036.68</v>
          </cell>
          <cell r="U37">
            <v>25063</v>
          </cell>
          <cell r="V37">
            <v>11346</v>
          </cell>
          <cell r="W37">
            <v>117171</v>
          </cell>
          <cell r="X37">
            <v>38293.150000000009</v>
          </cell>
          <cell r="Y37">
            <v>97433</v>
          </cell>
          <cell r="Z37">
            <v>27981</v>
          </cell>
          <cell r="AA37">
            <v>91539</v>
          </cell>
          <cell r="AB37">
            <v>29435</v>
          </cell>
          <cell r="AC37">
            <v>6927.2100000000064</v>
          </cell>
          <cell r="AD37">
            <v>7659</v>
          </cell>
          <cell r="AE37">
            <v>93156.020000000019</v>
          </cell>
          <cell r="AF37">
            <v>4726</v>
          </cell>
          <cell r="AG37">
            <v>13107</v>
          </cell>
        </row>
        <row r="39">
          <cell r="E39">
            <v>24.229509016444066</v>
          </cell>
          <cell r="G39">
            <v>28.048946518268338</v>
          </cell>
          <cell r="H39">
            <v>14.063770189671242</v>
          </cell>
          <cell r="I39">
            <v>31.683792401373744</v>
          </cell>
          <cell r="J39">
            <v>26.685234099983319</v>
          </cell>
          <cell r="K39">
            <v>10.027700629521172</v>
          </cell>
          <cell r="L39">
            <v>16.32414181941451</v>
          </cell>
          <cell r="M39">
            <v>21.780916691683665</v>
          </cell>
          <cell r="N39">
            <v>1.0179851979878114</v>
          </cell>
          <cell r="O39">
            <v>25.022024667627747</v>
          </cell>
          <cell r="P39">
            <v>25.401301518438181</v>
          </cell>
          <cell r="Q39">
            <v>24.955249259073025</v>
          </cell>
          <cell r="R39">
            <v>13.130297454118454</v>
          </cell>
          <cell r="S39">
            <v>24.100072640332705</v>
          </cell>
          <cell r="T39">
            <v>30.291334945846454</v>
          </cell>
          <cell r="U39">
            <v>20.499754621298869</v>
          </cell>
          <cell r="V39">
            <v>15.79826784371606</v>
          </cell>
          <cell r="W39">
            <v>27.816725028191584</v>
          </cell>
          <cell r="X39">
            <v>31.133110538654446</v>
          </cell>
          <cell r="Y39">
            <v>18.94242209796953</v>
          </cell>
          <cell r="Z39">
            <v>23.416042512239006</v>
          </cell>
          <cell r="AA39">
            <v>12.492459952453347</v>
          </cell>
          <cell r="AB39">
            <v>21.959698898098342</v>
          </cell>
          <cell r="AC39">
            <v>13.448749238228247</v>
          </cell>
          <cell r="AD39">
            <v>10.612736947123379</v>
          </cell>
          <cell r="AE39">
            <v>21.432223265759745</v>
          </cell>
          <cell r="AF39">
            <v>8.2730853391684906</v>
          </cell>
          <cell r="AG39">
            <v>15.308517969142363</v>
          </cell>
        </row>
        <row r="63">
          <cell r="E63">
            <v>163101739.41</v>
          </cell>
          <cell r="G63">
            <v>62084894.970000006</v>
          </cell>
          <cell r="H63">
            <v>956458.56999999983</v>
          </cell>
          <cell r="I63">
            <v>4631053.1999999993</v>
          </cell>
          <cell r="J63">
            <v>8919169.7899999991</v>
          </cell>
          <cell r="K63">
            <v>2416988.2800000007</v>
          </cell>
          <cell r="L63">
            <v>2296651.2400000002</v>
          </cell>
          <cell r="M63">
            <v>2951866.74</v>
          </cell>
          <cell r="N63">
            <v>1930094.71</v>
          </cell>
          <cell r="O63">
            <v>6064408.0699999994</v>
          </cell>
          <cell r="P63">
            <v>374701.66000000003</v>
          </cell>
          <cell r="Q63">
            <v>14531061.870000001</v>
          </cell>
          <cell r="R63">
            <v>1560887.5999999999</v>
          </cell>
          <cell r="S63">
            <v>2172023.4500000002</v>
          </cell>
          <cell r="T63">
            <v>4436301.25</v>
          </cell>
          <cell r="U63">
            <v>1852582.2</v>
          </cell>
          <cell r="V63">
            <v>1159971.22</v>
          </cell>
          <cell r="W63">
            <v>6147603.0999999996</v>
          </cell>
          <cell r="X63">
            <v>1738285.91</v>
          </cell>
          <cell r="Y63">
            <v>8104867</v>
          </cell>
          <cell r="Z63">
            <v>1816061.6199999996</v>
          </cell>
          <cell r="AA63">
            <v>13514083.09</v>
          </cell>
          <cell r="AB63">
            <v>1897704.75</v>
          </cell>
          <cell r="AC63">
            <v>897075.46</v>
          </cell>
          <cell r="AD63">
            <v>1246592.6700000002</v>
          </cell>
          <cell r="AE63">
            <v>6915655.79</v>
          </cell>
          <cell r="AF63">
            <v>1049505.05</v>
          </cell>
          <cell r="AG63">
            <v>1379290.1500000004</v>
          </cell>
        </row>
        <row r="423">
          <cell r="E423">
            <v>64510846.870000012</v>
          </cell>
          <cell r="G423">
            <v>18564110.630000003</v>
          </cell>
          <cell r="H423">
            <v>637158.07000000007</v>
          </cell>
          <cell r="I423">
            <v>1521306.93</v>
          </cell>
          <cell r="J423">
            <v>2622840.89</v>
          </cell>
          <cell r="K423">
            <v>1017973.17</v>
          </cell>
          <cell r="L423">
            <v>935796.49</v>
          </cell>
          <cell r="M423">
            <v>1115234.6000000001</v>
          </cell>
          <cell r="N423">
            <v>935292.74</v>
          </cell>
          <cell r="O423">
            <v>2048259.0999999999</v>
          </cell>
          <cell r="P423">
            <v>368077.9</v>
          </cell>
          <cell r="Q423">
            <v>6076703.4400000013</v>
          </cell>
          <cell r="R423">
            <v>1087085.6700000002</v>
          </cell>
          <cell r="S423">
            <v>1060398.4000000001</v>
          </cell>
          <cell r="T423">
            <v>1817468.3299999998</v>
          </cell>
          <cell r="U423">
            <v>903942.42</v>
          </cell>
          <cell r="V423">
            <v>731988.0299999998</v>
          </cell>
          <cell r="W423">
            <v>1999652.0100000002</v>
          </cell>
          <cell r="X423">
            <v>901738.56000000017</v>
          </cell>
          <cell r="Y423">
            <v>2761353.18</v>
          </cell>
          <cell r="Z423">
            <v>850799.54</v>
          </cell>
          <cell r="AA423">
            <v>4439901.78</v>
          </cell>
          <cell r="AB423">
            <v>1077187.6500000004</v>
          </cell>
          <cell r="AC423">
            <v>507281.13</v>
          </cell>
          <cell r="AD423">
            <v>807407.24000000011</v>
          </cell>
          <cell r="AE423">
            <v>2146314.4900000002</v>
          </cell>
          <cell r="AF423">
            <v>590751.18999999983</v>
          </cell>
          <cell r="AG423">
            <v>685278.54</v>
          </cell>
        </row>
      </sheetData>
      <sheetData sheetId="25">
        <row r="39">
          <cell r="E39">
            <v>26.11857106546303</v>
          </cell>
          <cell r="G39">
            <v>27.652987374690884</v>
          </cell>
          <cell r="H39">
            <v>13.285109220249463</v>
          </cell>
          <cell r="I39">
            <v>31.700408912453</v>
          </cell>
          <cell r="J39">
            <v>24.240237830840101</v>
          </cell>
          <cell r="K39">
            <v>19.217631175770737</v>
          </cell>
          <cell r="L39">
            <v>22.992884785340571</v>
          </cell>
          <cell r="M39">
            <v>26.688064501841176</v>
          </cell>
          <cell r="N39">
            <v>8.6107585523949659</v>
          </cell>
          <cell r="O39">
            <v>24.942476132914074</v>
          </cell>
          <cell r="P39">
            <v>23.959605209605208</v>
          </cell>
          <cell r="Q39">
            <v>26.908604343804633</v>
          </cell>
          <cell r="R39">
            <v>14.019870515139354</v>
          </cell>
          <cell r="S39">
            <v>27.149895268064071</v>
          </cell>
          <cell r="T39">
            <v>36.325665635655305</v>
          </cell>
          <cell r="U39">
            <v>20.827364466940438</v>
          </cell>
          <cell r="V39">
            <v>18.889985337256864</v>
          </cell>
          <cell r="W39">
            <v>28.592771676000339</v>
          </cell>
          <cell r="X39">
            <v>32.149008327460592</v>
          </cell>
          <cell r="Y39">
            <v>26.242084733456039</v>
          </cell>
          <cell r="Z39">
            <v>25.817420183392986</v>
          </cell>
          <cell r="AA39">
            <v>19.267576816256959</v>
          </cell>
          <cell r="AB39">
            <v>22.982500588818404</v>
          </cell>
          <cell r="AC39">
            <v>14.33714943976149</v>
          </cell>
          <cell r="AD39">
            <v>15.068431807766999</v>
          </cell>
          <cell r="AE39">
            <v>30.409955782006669</v>
          </cell>
          <cell r="AF39">
            <v>16.122088178549177</v>
          </cell>
          <cell r="AG39">
            <v>18.708812986943581</v>
          </cell>
        </row>
      </sheetData>
      <sheetData sheetId="26">
        <row r="9">
          <cell r="G9">
            <v>380</v>
          </cell>
          <cell r="H9">
            <v>16</v>
          </cell>
          <cell r="I9">
            <v>119</v>
          </cell>
          <cell r="J9">
            <v>46</v>
          </cell>
          <cell r="K9">
            <v>7</v>
          </cell>
          <cell r="L9">
            <v>15</v>
          </cell>
          <cell r="M9">
            <v>17</v>
          </cell>
          <cell r="N9">
            <v>8</v>
          </cell>
          <cell r="O9">
            <v>28</v>
          </cell>
          <cell r="P9">
            <v>4</v>
          </cell>
          <cell r="Q9">
            <v>228</v>
          </cell>
          <cell r="R9">
            <v>15</v>
          </cell>
          <cell r="S9">
            <v>12</v>
          </cell>
          <cell r="T9">
            <v>19</v>
          </cell>
          <cell r="U9">
            <v>3</v>
          </cell>
          <cell r="V9">
            <v>4</v>
          </cell>
          <cell r="W9">
            <v>37</v>
          </cell>
          <cell r="X9">
            <v>35</v>
          </cell>
          <cell r="Y9">
            <v>67</v>
          </cell>
          <cell r="Z9">
            <v>7</v>
          </cell>
          <cell r="AA9">
            <v>103</v>
          </cell>
          <cell r="AB9">
            <v>33</v>
          </cell>
          <cell r="AC9">
            <v>7</v>
          </cell>
          <cell r="AD9">
            <v>20</v>
          </cell>
          <cell r="AE9">
            <v>53</v>
          </cell>
          <cell r="AF9">
            <v>24</v>
          </cell>
          <cell r="AG9">
            <v>12</v>
          </cell>
        </row>
        <row r="12">
          <cell r="G12">
            <v>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115</v>
          </cell>
          <cell r="R12">
            <v>0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21</v>
          </cell>
          <cell r="Y12">
            <v>0</v>
          </cell>
          <cell r="Z12">
            <v>0</v>
          </cell>
          <cell r="AA12">
            <v>0</v>
          </cell>
          <cell r="AB12">
            <v>4</v>
          </cell>
          <cell r="AC12">
            <v>1</v>
          </cell>
          <cell r="AD12">
            <v>3</v>
          </cell>
          <cell r="AE12">
            <v>0</v>
          </cell>
          <cell r="AF12">
            <v>1</v>
          </cell>
          <cell r="AG12">
            <v>3</v>
          </cell>
        </row>
        <row r="30">
          <cell r="G30">
            <v>2713217</v>
          </cell>
          <cell r="H30">
            <v>50915</v>
          </cell>
          <cell r="I30">
            <v>226612.66</v>
          </cell>
          <cell r="J30">
            <v>424286</v>
          </cell>
          <cell r="K30">
            <v>107629</v>
          </cell>
          <cell r="L30">
            <v>105144</v>
          </cell>
          <cell r="M30">
            <v>131766</v>
          </cell>
          <cell r="N30">
            <v>86009</v>
          </cell>
          <cell r="O30">
            <v>287489</v>
          </cell>
          <cell r="P30">
            <v>16733</v>
          </cell>
          <cell r="Q30">
            <v>720700</v>
          </cell>
          <cell r="R30">
            <v>88641.3</v>
          </cell>
          <cell r="S30">
            <v>108121</v>
          </cell>
          <cell r="T30">
            <v>210509</v>
          </cell>
          <cell r="U30">
            <v>93691</v>
          </cell>
          <cell r="V30">
            <v>57937</v>
          </cell>
          <cell r="W30">
            <v>300379</v>
          </cell>
          <cell r="X30">
            <v>79881</v>
          </cell>
          <cell r="Y30">
            <v>395089</v>
          </cell>
          <cell r="Z30">
            <v>88034</v>
          </cell>
          <cell r="AA30">
            <v>619723</v>
          </cell>
          <cell r="AB30">
            <v>97914</v>
          </cell>
          <cell r="AC30">
            <v>43104</v>
          </cell>
          <cell r="AD30">
            <v>63156</v>
          </cell>
          <cell r="AE30">
            <v>322301</v>
          </cell>
          <cell r="AF30">
            <v>47986</v>
          </cell>
          <cell r="AG30">
            <v>70807</v>
          </cell>
        </row>
        <row r="37">
          <cell r="G37">
            <v>1318502.4100000001</v>
          </cell>
          <cell r="H37">
            <v>8692.7699999999968</v>
          </cell>
          <cell r="I37">
            <v>115734.30000000002</v>
          </cell>
          <cell r="J37">
            <v>181503</v>
          </cell>
          <cell r="K37">
            <v>33857.330000000016</v>
          </cell>
          <cell r="L37">
            <v>24455.579999999987</v>
          </cell>
          <cell r="M37">
            <v>47239.600000000006</v>
          </cell>
          <cell r="N37">
            <v>18788.539999999994</v>
          </cell>
          <cell r="O37">
            <v>90959</v>
          </cell>
          <cell r="P37">
            <v>5667</v>
          </cell>
          <cell r="Q37">
            <v>267054.72000000009</v>
          </cell>
          <cell r="R37">
            <v>10119.210000000001</v>
          </cell>
          <cell r="S37">
            <v>38389.920000000013</v>
          </cell>
          <cell r="T37">
            <v>112013.5</v>
          </cell>
          <cell r="U37">
            <v>26126</v>
          </cell>
          <cell r="V37">
            <v>16874</v>
          </cell>
          <cell r="W37">
            <v>117403</v>
          </cell>
          <cell r="X37">
            <v>37246.61</v>
          </cell>
          <cell r="Y37">
            <v>127933</v>
          </cell>
          <cell r="Z37">
            <v>27401</v>
          </cell>
          <cell r="AA37">
            <v>151015</v>
          </cell>
          <cell r="AB37">
            <v>30100</v>
          </cell>
          <cell r="AC37">
            <v>8078.5500000000029</v>
          </cell>
          <cell r="AD37">
            <v>9918</v>
          </cell>
          <cell r="AE37">
            <v>106562.31</v>
          </cell>
          <cell r="AF37">
            <v>8009.0599999999977</v>
          </cell>
          <cell r="AG37">
            <v>13634</v>
          </cell>
        </row>
        <row r="39">
          <cell r="E39">
            <v>28.093279327401305</v>
          </cell>
          <cell r="G39">
            <v>32.702693122747327</v>
          </cell>
          <cell r="H39">
            <v>14.583283353831217</v>
          </cell>
          <cell r="I39">
            <v>33.806142166415029</v>
          </cell>
          <cell r="J39">
            <v>29.961422211364024</v>
          </cell>
          <cell r="K39">
            <v>23.92975349632718</v>
          </cell>
          <cell r="L39">
            <v>18.870107449422282</v>
          </cell>
          <cell r="M39">
            <v>26.375425310126037</v>
          </cell>
          <cell r="N39">
            <v>17.926022268158633</v>
          </cell>
          <cell r="O39">
            <v>24.002712737463487</v>
          </cell>
          <cell r="P39">
            <v>25.299107142857142</v>
          </cell>
          <cell r="Q39">
            <v>27.033613570935827</v>
          </cell>
          <cell r="R39">
            <v>10.245909897197759</v>
          </cell>
          <cell r="S39">
            <v>26.202770414655792</v>
          </cell>
          <cell r="T39">
            <v>34.730014432922566</v>
          </cell>
          <cell r="U39">
            <v>21.802553617624966</v>
          </cell>
          <cell r="V39">
            <v>22.555506543155417</v>
          </cell>
          <cell r="W39">
            <v>28.093831958190556</v>
          </cell>
          <cell r="X39">
            <v>31.755832798550543</v>
          </cell>
          <cell r="Y39">
            <v>24.460347748278274</v>
          </cell>
          <cell r="Z39">
            <v>23.737168103261574</v>
          </cell>
          <cell r="AA39">
            <v>19.593558381706881</v>
          </cell>
          <cell r="AB39">
            <v>23.467772744637887</v>
          </cell>
          <cell r="AC39">
            <v>15.783797407514871</v>
          </cell>
          <cell r="AD39">
            <v>13.572542901716069</v>
          </cell>
          <cell r="AE39">
            <v>24.846921124930226</v>
          </cell>
          <cell r="AF39">
            <v>14.303154599709329</v>
          </cell>
          <cell r="AG39">
            <v>16.146184910173965</v>
          </cell>
        </row>
        <row r="63">
          <cell r="E63">
            <v>155344106.78</v>
          </cell>
          <cell r="G63">
            <v>59143416.660000011</v>
          </cell>
          <cell r="H63">
            <v>956217.37</v>
          </cell>
          <cell r="I63">
            <v>4472119.290000001</v>
          </cell>
          <cell r="J63">
            <v>8331073.4399999995</v>
          </cell>
          <cell r="K63">
            <v>2207474.0900000003</v>
          </cell>
          <cell r="L63">
            <v>2197673.5099999998</v>
          </cell>
          <cell r="M63">
            <v>2652088.77</v>
          </cell>
          <cell r="N63">
            <v>1671873.4899999998</v>
          </cell>
          <cell r="O63">
            <v>5813563.2400000002</v>
          </cell>
          <cell r="P63">
            <v>350066.39</v>
          </cell>
          <cell r="Q63">
            <v>14155258.84</v>
          </cell>
          <cell r="R63">
            <v>1601259.97</v>
          </cell>
          <cell r="S63">
            <v>2016771.4000000001</v>
          </cell>
          <cell r="T63">
            <v>4181674.3</v>
          </cell>
          <cell r="U63">
            <v>1796567.77</v>
          </cell>
          <cell r="V63">
            <v>1099633.0599999998</v>
          </cell>
          <cell r="W63">
            <v>6031726.2399999993</v>
          </cell>
          <cell r="X63">
            <v>1647597.9600000002</v>
          </cell>
          <cell r="Y63">
            <v>7742431.8499999996</v>
          </cell>
          <cell r="Z63">
            <v>1751911.9599999997</v>
          </cell>
          <cell r="AA63">
            <v>12846805.66</v>
          </cell>
          <cell r="AB63">
            <v>1770394.1</v>
          </cell>
          <cell r="AC63">
            <v>862633.53999999992</v>
          </cell>
          <cell r="AD63">
            <v>1225808.95</v>
          </cell>
          <cell r="AE63">
            <v>6441198.6200000001</v>
          </cell>
          <cell r="AF63">
            <v>939533.7</v>
          </cell>
          <cell r="AG63">
            <v>1360482.61</v>
          </cell>
        </row>
        <row r="423">
          <cell r="E423">
            <v>62648606.740000002</v>
          </cell>
          <cell r="G423">
            <v>16904590.210000005</v>
          </cell>
          <cell r="H423">
            <v>680526.15000000014</v>
          </cell>
          <cell r="I423">
            <v>1609750.94</v>
          </cell>
          <cell r="J423">
            <v>2432652.7000000002</v>
          </cell>
          <cell r="K423">
            <v>1040724.6000000001</v>
          </cell>
          <cell r="L423">
            <v>915464.02</v>
          </cell>
          <cell r="M423">
            <v>1181730.7</v>
          </cell>
          <cell r="N423">
            <v>1009815.71</v>
          </cell>
          <cell r="O423">
            <v>2412728.6799999997</v>
          </cell>
          <cell r="P423">
            <v>371910.97</v>
          </cell>
          <cell r="Q423">
            <v>5430693.3899999997</v>
          </cell>
          <cell r="R423">
            <v>1025469.3200000001</v>
          </cell>
          <cell r="S423">
            <v>1003525.9600000003</v>
          </cell>
          <cell r="T423">
            <v>1851855.46</v>
          </cell>
          <cell r="U423">
            <v>895600.95000000007</v>
          </cell>
          <cell r="V423">
            <v>771490.24000000022</v>
          </cell>
          <cell r="W423">
            <v>2040506.5099999998</v>
          </cell>
          <cell r="X423">
            <v>823613.87</v>
          </cell>
          <cell r="Y423">
            <v>2812523.73</v>
          </cell>
          <cell r="Z423">
            <v>881070.97999999986</v>
          </cell>
          <cell r="AA423">
            <v>4423341.6999999993</v>
          </cell>
          <cell r="AB423">
            <v>1009695.5500000002</v>
          </cell>
          <cell r="AC423">
            <v>513872.03</v>
          </cell>
          <cell r="AD423">
            <v>795863.86</v>
          </cell>
          <cell r="AE423">
            <v>2094115.3199999998</v>
          </cell>
          <cell r="AF423">
            <v>584797.82000000007</v>
          </cell>
          <cell r="AG423">
            <v>743807.99</v>
          </cell>
        </row>
      </sheetData>
      <sheetData sheetId="27"/>
      <sheetData sheetId="28">
        <row r="9">
          <cell r="G9">
            <v>693</v>
          </cell>
          <cell r="H9">
            <v>3</v>
          </cell>
          <cell r="I9">
            <v>98</v>
          </cell>
          <cell r="J9">
            <v>78</v>
          </cell>
          <cell r="K9">
            <v>10</v>
          </cell>
          <cell r="L9">
            <v>15</v>
          </cell>
          <cell r="M9">
            <v>23</v>
          </cell>
          <cell r="N9">
            <v>20</v>
          </cell>
          <cell r="O9">
            <v>114</v>
          </cell>
          <cell r="P9">
            <v>6</v>
          </cell>
          <cell r="Q9">
            <v>279</v>
          </cell>
          <cell r="R9">
            <v>34</v>
          </cell>
          <cell r="S9">
            <v>21</v>
          </cell>
          <cell r="T9">
            <v>28</v>
          </cell>
          <cell r="U9">
            <v>12</v>
          </cell>
          <cell r="V9">
            <v>3</v>
          </cell>
          <cell r="W9">
            <v>38</v>
          </cell>
          <cell r="X9">
            <v>21</v>
          </cell>
          <cell r="Y9">
            <v>101</v>
          </cell>
          <cell r="Z9">
            <v>9</v>
          </cell>
          <cell r="AA9">
            <v>112</v>
          </cell>
          <cell r="AB9">
            <v>59</v>
          </cell>
          <cell r="AC9">
            <v>2</v>
          </cell>
          <cell r="AD9">
            <v>14</v>
          </cell>
          <cell r="AE9">
            <v>58</v>
          </cell>
          <cell r="AF9">
            <v>4</v>
          </cell>
          <cell r="AG9">
            <v>13</v>
          </cell>
        </row>
        <row r="12">
          <cell r="G12">
            <v>5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86</v>
          </cell>
          <cell r="R12">
            <v>0</v>
          </cell>
          <cell r="S12">
            <v>0</v>
          </cell>
          <cell r="T12">
            <v>1</v>
          </cell>
          <cell r="U12">
            <v>1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2</v>
          </cell>
          <cell r="AB12">
            <v>4</v>
          </cell>
          <cell r="AC12">
            <v>0</v>
          </cell>
          <cell r="AD12">
            <v>1</v>
          </cell>
          <cell r="AE12">
            <v>2</v>
          </cell>
          <cell r="AF12">
            <v>0</v>
          </cell>
          <cell r="AG12">
            <v>1</v>
          </cell>
        </row>
        <row r="30">
          <cell r="G30">
            <v>2802378</v>
          </cell>
          <cell r="H30">
            <v>50818</v>
          </cell>
          <cell r="I30">
            <v>227432</v>
          </cell>
          <cell r="J30">
            <v>420615</v>
          </cell>
          <cell r="K30">
            <v>116539</v>
          </cell>
          <cell r="L30">
            <v>104231</v>
          </cell>
          <cell r="M30">
            <v>134133</v>
          </cell>
          <cell r="N30">
            <v>90621</v>
          </cell>
          <cell r="O30">
            <v>297633</v>
          </cell>
          <cell r="P30">
            <v>16348</v>
          </cell>
          <cell r="Q30">
            <v>717464</v>
          </cell>
          <cell r="R30">
            <v>83092.600000000006</v>
          </cell>
          <cell r="S30">
            <v>112087.5</v>
          </cell>
          <cell r="T30">
            <v>211887</v>
          </cell>
          <cell r="U30">
            <v>91472</v>
          </cell>
          <cell r="V30">
            <v>57443</v>
          </cell>
          <cell r="W30">
            <v>291595</v>
          </cell>
          <cell r="X30">
            <v>76356</v>
          </cell>
          <cell r="Y30">
            <v>402235</v>
          </cell>
          <cell r="Z30">
            <v>85698</v>
          </cell>
          <cell r="AA30">
            <v>625512.36</v>
          </cell>
          <cell r="AB30">
            <v>99966</v>
          </cell>
          <cell r="AC30">
            <v>42178</v>
          </cell>
          <cell r="AD30">
            <v>60548</v>
          </cell>
          <cell r="AE30">
            <v>328352</v>
          </cell>
          <cell r="AF30">
            <v>51951</v>
          </cell>
          <cell r="AG30">
            <v>69972</v>
          </cell>
        </row>
        <row r="37">
          <cell r="G37">
            <v>923121.16999999993</v>
          </cell>
          <cell r="H37">
            <v>8857.4000000000015</v>
          </cell>
          <cell r="I37">
            <v>108787.03999999998</v>
          </cell>
          <cell r="J37">
            <v>160694</v>
          </cell>
          <cell r="K37">
            <v>22797.47</v>
          </cell>
          <cell r="L37">
            <v>25707.090000000011</v>
          </cell>
          <cell r="M37">
            <v>49594.130000000005</v>
          </cell>
          <cell r="N37">
            <v>14986.789999999994</v>
          </cell>
          <cell r="O37">
            <v>92517</v>
          </cell>
          <cell r="P37">
            <v>5252</v>
          </cell>
          <cell r="Q37">
            <v>261846.77999999991</v>
          </cell>
          <cell r="R37">
            <v>14834.970000000001</v>
          </cell>
          <cell r="S37">
            <v>37307.5</v>
          </cell>
          <cell r="T37">
            <v>110468.09000000003</v>
          </cell>
          <cell r="U37">
            <v>26382</v>
          </cell>
          <cell r="V37">
            <v>16925</v>
          </cell>
          <cell r="W37">
            <v>116394</v>
          </cell>
          <cell r="X37">
            <v>38094.910000000003</v>
          </cell>
          <cell r="Y37">
            <v>126869</v>
          </cell>
          <cell r="Z37">
            <v>22932</v>
          </cell>
          <cell r="AA37">
            <v>159787.64000000001</v>
          </cell>
          <cell r="AB37">
            <v>28895</v>
          </cell>
          <cell r="AC37">
            <v>8662.75</v>
          </cell>
          <cell r="AD37">
            <v>12991</v>
          </cell>
          <cell r="AE37">
            <v>108594.22999999998</v>
          </cell>
          <cell r="AF37">
            <v>5711.5899999999965</v>
          </cell>
          <cell r="AG37">
            <v>15202</v>
          </cell>
        </row>
        <row r="39">
          <cell r="E39">
            <v>24.76048817336445</v>
          </cell>
          <cell r="G39">
            <v>24.777624577199369</v>
          </cell>
          <cell r="H39">
            <v>14.840145161128184</v>
          </cell>
          <cell r="I39">
            <v>32.356002206180825</v>
          </cell>
          <cell r="J39">
            <v>27.643473608700365</v>
          </cell>
          <cell r="K39">
            <v>16.354409835485793</v>
          </cell>
          <cell r="L39">
            <v>19.784106415601467</v>
          </cell>
          <cell r="M39">
            <v>26.993362384749602</v>
          </cell>
          <cell r="N39">
            <v>14.19072038681262</v>
          </cell>
          <cell r="O39">
            <v>23.66024504952394</v>
          </cell>
          <cell r="P39">
            <v>24.314814814814813</v>
          </cell>
          <cell r="Q39">
            <v>26.733796052350399</v>
          </cell>
          <cell r="R39">
            <v>15.14868873971743</v>
          </cell>
          <cell r="S39">
            <v>24.97238863415777</v>
          </cell>
          <cell r="T39">
            <v>34.268856937503692</v>
          </cell>
          <cell r="U39">
            <v>22.382285568847035</v>
          </cell>
          <cell r="V39">
            <v>22.758444492254736</v>
          </cell>
          <cell r="W39">
            <v>28.512706446065582</v>
          </cell>
          <cell r="X39">
            <v>33.260522927027232</v>
          </cell>
          <cell r="Y39">
            <v>23.977539896733418</v>
          </cell>
          <cell r="Z39">
            <v>21.110190555095276</v>
          </cell>
          <cell r="AA39">
            <v>20.34733732331593</v>
          </cell>
          <cell r="AB39">
            <v>22.392454994226551</v>
          </cell>
          <cell r="AC39">
            <v>17.038989393350807</v>
          </cell>
          <cell r="AD39">
            <v>17.665456424482247</v>
          </cell>
          <cell r="AE39">
            <v>24.852996214202371</v>
          </cell>
          <cell r="AF39">
            <v>9.9051915635423189</v>
          </cell>
          <cell r="AG39">
            <v>17.846702903229595</v>
          </cell>
        </row>
        <row r="63">
          <cell r="E63">
            <v>159031560.28</v>
          </cell>
          <cell r="G63">
            <v>61300377.789999992</v>
          </cell>
          <cell r="H63">
            <v>932215.36999999988</v>
          </cell>
          <cell r="I63">
            <v>4451056.88</v>
          </cell>
          <cell r="J63">
            <v>8912898.0099999998</v>
          </cell>
          <cell r="K63">
            <v>2436707.3099999996</v>
          </cell>
          <cell r="L63">
            <v>2270705.7199999997</v>
          </cell>
          <cell r="M63">
            <v>2693338.2399999998</v>
          </cell>
          <cell r="N63">
            <v>1783177.2799999998</v>
          </cell>
          <cell r="O63">
            <v>5999201.5300000003</v>
          </cell>
          <cell r="P63">
            <v>337525.99</v>
          </cell>
          <cell r="Q63">
            <v>14229535.709999999</v>
          </cell>
          <cell r="R63">
            <v>1553145.31</v>
          </cell>
          <cell r="S63">
            <v>2081841.7200000002</v>
          </cell>
          <cell r="T63">
            <v>4219366.209999999</v>
          </cell>
          <cell r="U63">
            <v>1776717.58</v>
          </cell>
          <cell r="V63">
            <v>1090579.8800000001</v>
          </cell>
          <cell r="W63">
            <v>5886372.0100000007</v>
          </cell>
          <cell r="X63">
            <v>1619921</v>
          </cell>
          <cell r="Y63">
            <v>7909897.0200000014</v>
          </cell>
          <cell r="Z63">
            <v>1734290.2599999998</v>
          </cell>
          <cell r="AA63">
            <v>13053384.09</v>
          </cell>
          <cell r="AB63">
            <v>1754957.9600000004</v>
          </cell>
          <cell r="AC63">
            <v>842725.38000000012</v>
          </cell>
          <cell r="AD63">
            <v>1170161.0399999998</v>
          </cell>
          <cell r="AE63">
            <v>6557807.5</v>
          </cell>
          <cell r="AF63">
            <v>998855.25000000012</v>
          </cell>
          <cell r="AG63">
            <v>1341498.24</v>
          </cell>
        </row>
        <row r="423">
          <cell r="E423">
            <v>63058667.61999999</v>
          </cell>
          <cell r="G423">
            <v>16582067.99</v>
          </cell>
          <cell r="H423">
            <v>670112.73</v>
          </cell>
          <cell r="I423">
            <v>1441611.2399999998</v>
          </cell>
          <cell r="J423">
            <v>2329183.2200000007</v>
          </cell>
          <cell r="K423">
            <v>1067696.3999999997</v>
          </cell>
          <cell r="L423">
            <v>908551.10999999987</v>
          </cell>
          <cell r="M423">
            <v>1203217.5799999998</v>
          </cell>
          <cell r="N423">
            <v>929735.65</v>
          </cell>
          <cell r="O423">
            <v>2304184.4899999998</v>
          </cell>
          <cell r="P423">
            <v>383705.25999999995</v>
          </cell>
          <cell r="Q423">
            <v>5552972.0899999999</v>
          </cell>
          <cell r="R423">
            <v>1085514.3299999998</v>
          </cell>
          <cell r="S423">
            <v>1139730.3699999999</v>
          </cell>
          <cell r="T423">
            <v>1782501.21</v>
          </cell>
          <cell r="U423">
            <v>896967.05000000016</v>
          </cell>
          <cell r="V423">
            <v>758003.12000000011</v>
          </cell>
          <cell r="W423">
            <v>1892917.6000000003</v>
          </cell>
          <cell r="X423">
            <v>927318.38000000012</v>
          </cell>
          <cell r="Y423">
            <v>3122066.3999999994</v>
          </cell>
          <cell r="Z423">
            <v>896956.76</v>
          </cell>
          <cell r="AA423">
            <v>4522774.84</v>
          </cell>
          <cell r="AB423">
            <v>1123249.79</v>
          </cell>
          <cell r="AC423">
            <v>552050.82999999984</v>
          </cell>
          <cell r="AD423">
            <v>778441.37000000023</v>
          </cell>
          <cell r="AE423">
            <v>2550608.36</v>
          </cell>
          <cell r="AF423">
            <v>542872.59</v>
          </cell>
          <cell r="AG423">
            <v>730615.34000000008</v>
          </cell>
        </row>
      </sheetData>
      <sheetData sheetId="29"/>
      <sheetData sheetId="30">
        <row r="9">
          <cell r="G9">
            <v>1473</v>
          </cell>
          <cell r="H9">
            <v>4</v>
          </cell>
          <cell r="I9">
            <v>69</v>
          </cell>
          <cell r="J9">
            <v>30</v>
          </cell>
          <cell r="K9">
            <v>7</v>
          </cell>
          <cell r="L9">
            <v>10</v>
          </cell>
          <cell r="M9">
            <v>7</v>
          </cell>
          <cell r="N9">
            <v>16</v>
          </cell>
          <cell r="O9">
            <v>81</v>
          </cell>
          <cell r="P9">
            <v>3</v>
          </cell>
          <cell r="Q9">
            <v>222</v>
          </cell>
          <cell r="R9">
            <v>23</v>
          </cell>
          <cell r="S9">
            <v>25</v>
          </cell>
          <cell r="T9">
            <v>26</v>
          </cell>
          <cell r="U9">
            <v>13</v>
          </cell>
          <cell r="V9">
            <v>6</v>
          </cell>
          <cell r="W9">
            <v>64</v>
          </cell>
          <cell r="X9">
            <v>17</v>
          </cell>
          <cell r="Y9">
            <v>105</v>
          </cell>
          <cell r="Z9">
            <v>6</v>
          </cell>
          <cell r="AA9">
            <v>100</v>
          </cell>
          <cell r="AB9">
            <v>26</v>
          </cell>
          <cell r="AC9">
            <v>3</v>
          </cell>
          <cell r="AD9">
            <v>8</v>
          </cell>
          <cell r="AE9">
            <v>43</v>
          </cell>
          <cell r="AF9">
            <v>4</v>
          </cell>
          <cell r="AG9">
            <v>11</v>
          </cell>
        </row>
        <row r="12">
          <cell r="G12">
            <v>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3</v>
          </cell>
          <cell r="T12">
            <v>6</v>
          </cell>
          <cell r="U12">
            <v>2</v>
          </cell>
          <cell r="V12">
            <v>0</v>
          </cell>
          <cell r="W12">
            <v>3</v>
          </cell>
          <cell r="X12">
            <v>0</v>
          </cell>
          <cell r="Y12">
            <v>4</v>
          </cell>
          <cell r="Z12">
            <v>0</v>
          </cell>
          <cell r="AA12">
            <v>5</v>
          </cell>
          <cell r="AB12">
            <v>4</v>
          </cell>
          <cell r="AC12">
            <v>0</v>
          </cell>
          <cell r="AD12">
            <v>1</v>
          </cell>
          <cell r="AE12">
            <v>1</v>
          </cell>
          <cell r="AF12">
            <v>2</v>
          </cell>
          <cell r="AG12">
            <v>0</v>
          </cell>
        </row>
        <row r="30">
          <cell r="G30">
            <v>2829112</v>
          </cell>
          <cell r="H30">
            <v>51297</v>
          </cell>
          <cell r="I30">
            <v>230280.52</v>
          </cell>
          <cell r="J30">
            <v>418542</v>
          </cell>
          <cell r="K30">
            <v>115817</v>
          </cell>
          <cell r="L30">
            <v>103869</v>
          </cell>
          <cell r="M30">
            <v>141096</v>
          </cell>
          <cell r="N30">
            <v>88104</v>
          </cell>
          <cell r="O30">
            <v>298742</v>
          </cell>
          <cell r="P30">
            <v>16939</v>
          </cell>
          <cell r="Q30">
            <v>729299</v>
          </cell>
          <cell r="R30">
            <v>88449.7</v>
          </cell>
          <cell r="S30">
            <v>110098.8</v>
          </cell>
          <cell r="T30">
            <v>210107</v>
          </cell>
          <cell r="U30">
            <v>90792</v>
          </cell>
          <cell r="V30">
            <v>58843</v>
          </cell>
          <cell r="W30">
            <v>291300</v>
          </cell>
          <cell r="X30">
            <v>77639</v>
          </cell>
          <cell r="Y30">
            <v>401680</v>
          </cell>
          <cell r="Z30">
            <v>87017</v>
          </cell>
          <cell r="AA30">
            <v>652052</v>
          </cell>
          <cell r="AB30">
            <v>100657</v>
          </cell>
          <cell r="AC30">
            <v>44068</v>
          </cell>
          <cell r="AD30">
            <v>61127</v>
          </cell>
          <cell r="AE30">
            <v>327907</v>
          </cell>
          <cell r="AF30">
            <v>51557</v>
          </cell>
          <cell r="AG30">
            <v>70214</v>
          </cell>
        </row>
        <row r="37">
          <cell r="G37">
            <v>699563.71</v>
          </cell>
          <cell r="H37">
            <v>8489.7799999999988</v>
          </cell>
          <cell r="I37">
            <v>108775.48000000001</v>
          </cell>
          <cell r="J37">
            <v>122505</v>
          </cell>
          <cell r="K37">
            <v>20585.160000000003</v>
          </cell>
          <cell r="L37">
            <v>27046.630000000005</v>
          </cell>
          <cell r="M37">
            <v>44719.329999999987</v>
          </cell>
          <cell r="N37">
            <v>8169.5599999999977</v>
          </cell>
          <cell r="O37">
            <v>87941</v>
          </cell>
          <cell r="P37">
            <v>5361</v>
          </cell>
          <cell r="Q37">
            <v>254655.78000000003</v>
          </cell>
          <cell r="R37">
            <v>12107.200000000003</v>
          </cell>
          <cell r="S37">
            <v>31064.199999999997</v>
          </cell>
          <cell r="T37">
            <v>115180.23999999999</v>
          </cell>
          <cell r="U37">
            <v>28340</v>
          </cell>
          <cell r="V37">
            <v>17128</v>
          </cell>
          <cell r="W37">
            <v>115500</v>
          </cell>
          <cell r="X37">
            <v>51724.290000000008</v>
          </cell>
          <cell r="Y37">
            <v>119454</v>
          </cell>
          <cell r="Z37">
            <v>22639</v>
          </cell>
          <cell r="AA37">
            <v>118115</v>
          </cell>
          <cell r="AB37">
            <v>29964</v>
          </cell>
          <cell r="AC37">
            <v>3681.8600000000006</v>
          </cell>
          <cell r="AD37">
            <v>14399</v>
          </cell>
          <cell r="AE37">
            <v>86705.080000000016</v>
          </cell>
          <cell r="AF37">
            <v>3465.5699999999997</v>
          </cell>
          <cell r="AG37">
            <v>13375</v>
          </cell>
        </row>
        <row r="39">
          <cell r="E39">
            <v>21.885952249666925</v>
          </cell>
          <cell r="G39">
            <v>19.824499529896094</v>
          </cell>
          <cell r="H39">
            <v>14.200095740228857</v>
          </cell>
          <cell r="I39">
            <v>32.081862583172104</v>
          </cell>
          <cell r="J39">
            <v>22.642210380983538</v>
          </cell>
          <cell r="K39">
            <v>15.08223251353837</v>
          </cell>
          <cell r="L39">
            <v>20.659588163766241</v>
          </cell>
          <cell r="M39">
            <v>24.066544993892585</v>
          </cell>
          <cell r="N39">
            <v>8.4857774034740157</v>
          </cell>
          <cell r="O39">
            <v>22.742401398561611</v>
          </cell>
          <cell r="P39">
            <v>24.04035874439462</v>
          </cell>
          <cell r="Q39">
            <v>25.87810659034006</v>
          </cell>
          <cell r="R39">
            <v>12.039777247414483</v>
          </cell>
          <cell r="S39">
            <v>22.005908063727745</v>
          </cell>
          <cell r="T39">
            <v>35.408452463867349</v>
          </cell>
          <cell r="U39">
            <v>23.785144775493077</v>
          </cell>
          <cell r="V39">
            <v>22.545444972423688</v>
          </cell>
          <cell r="W39">
            <v>28.391911623722365</v>
          </cell>
          <cell r="X39">
            <v>39.958109266785478</v>
          </cell>
          <cell r="Y39">
            <v>22.920616159212841</v>
          </cell>
          <cell r="Z39">
            <v>20.645473115926169</v>
          </cell>
          <cell r="AA39">
            <v>15.336284208489847</v>
          </cell>
          <cell r="AB39">
            <v>22.894779067368599</v>
          </cell>
          <cell r="AC39">
            <v>7.7107241780394755</v>
          </cell>
          <cell r="AD39">
            <v>19.064957762889602</v>
          </cell>
          <cell r="AE39">
            <v>20.909715642599188</v>
          </cell>
          <cell r="AF39">
            <v>6.2984517080899707</v>
          </cell>
          <cell r="AG39">
            <v>15.997081653888937</v>
          </cell>
        </row>
        <row r="63">
          <cell r="E63">
            <v>161136154.28999999</v>
          </cell>
          <cell r="G63">
            <v>62668690.86999999</v>
          </cell>
          <cell r="H63">
            <v>950063.8400000002</v>
          </cell>
          <cell r="I63">
            <v>4477970.2999999989</v>
          </cell>
          <cell r="J63">
            <v>8440375.4700000007</v>
          </cell>
          <cell r="K63">
            <v>2395017.0700000003</v>
          </cell>
          <cell r="L63">
            <v>2274102.44</v>
          </cell>
          <cell r="M63">
            <v>2841645.73</v>
          </cell>
          <cell r="N63">
            <v>1694215.19</v>
          </cell>
          <cell r="O63">
            <v>6080284.5999999996</v>
          </cell>
          <cell r="P63">
            <v>352877.71</v>
          </cell>
          <cell r="Q63">
            <v>14313302.830000002</v>
          </cell>
          <cell r="R63">
            <v>1886851.8200000003</v>
          </cell>
          <cell r="S63">
            <v>2055346.9</v>
          </cell>
          <cell r="T63">
            <v>4202650.7600000007</v>
          </cell>
          <cell r="U63">
            <v>1750575.58</v>
          </cell>
          <cell r="V63">
            <v>1130969.3399999999</v>
          </cell>
          <cell r="W63">
            <v>5886088.6399999997</v>
          </cell>
          <cell r="X63">
            <v>1629224.1599999997</v>
          </cell>
          <cell r="Y63">
            <v>7959056.4500000002</v>
          </cell>
          <cell r="Z63">
            <v>1719032.7499999998</v>
          </cell>
          <cell r="AA63">
            <v>13566393.340000002</v>
          </cell>
          <cell r="AB63">
            <v>1820341.8</v>
          </cell>
          <cell r="AC63">
            <v>890249.38000000012</v>
          </cell>
          <cell r="AD63">
            <v>1171131.0399999998</v>
          </cell>
          <cell r="AE63">
            <v>6582164.5500000007</v>
          </cell>
          <cell r="AF63">
            <v>992754.50000000012</v>
          </cell>
          <cell r="AG63">
            <v>1353677.2300000004</v>
          </cell>
        </row>
        <row r="423">
          <cell r="E423">
            <v>68456848.719999999</v>
          </cell>
          <cell r="G423">
            <v>17456080.43</v>
          </cell>
          <cell r="H423">
            <v>716433.21000000031</v>
          </cell>
          <cell r="I423">
            <v>1636661.6500000004</v>
          </cell>
          <cell r="J423">
            <v>2556484.4300000002</v>
          </cell>
          <cell r="K423">
            <v>1110177.5200000003</v>
          </cell>
          <cell r="L423">
            <v>1071043.7499999998</v>
          </cell>
          <cell r="M423">
            <v>1376685.09</v>
          </cell>
          <cell r="N423">
            <v>1031629.24</v>
          </cell>
          <cell r="O423">
            <v>2486751.7200000002</v>
          </cell>
          <cell r="P423">
            <v>489502.99</v>
          </cell>
          <cell r="Q423">
            <v>6382374.9900000002</v>
          </cell>
          <cell r="R423">
            <v>1181658.9099999999</v>
          </cell>
          <cell r="S423">
            <v>1390421.42</v>
          </cell>
          <cell r="T423">
            <v>2041981.94</v>
          </cell>
          <cell r="U423">
            <v>1013632.3500000001</v>
          </cell>
          <cell r="V423">
            <v>851940.60000000009</v>
          </cell>
          <cell r="W423">
            <v>2098873.7100000004</v>
          </cell>
          <cell r="X423">
            <v>1110197.94</v>
          </cell>
          <cell r="Y423">
            <v>2803032.27</v>
          </cell>
          <cell r="Z423">
            <v>957569.08000000007</v>
          </cell>
          <cell r="AA423">
            <v>4525251.82</v>
          </cell>
          <cell r="AB423">
            <v>1091463.5399999998</v>
          </cell>
          <cell r="AC423">
            <v>583013.34</v>
          </cell>
          <cell r="AD423">
            <v>944973.26</v>
          </cell>
          <cell r="AE423">
            <v>2412220.09</v>
          </cell>
          <cell r="AF423">
            <v>602781.47000000009</v>
          </cell>
          <cell r="AG423">
            <v>781886.02</v>
          </cell>
        </row>
      </sheetData>
      <sheetData sheetId="31"/>
      <sheetData sheetId="32"/>
      <sheetData sheetId="33">
        <row r="39">
          <cell r="E39">
            <v>25.837137678513482</v>
          </cell>
          <cell r="G39">
            <v>27.267427784864047</v>
          </cell>
          <cell r="H39">
            <v>13.601330021496574</v>
          </cell>
          <cell r="I39">
            <v>31.957856774778538</v>
          </cell>
          <cell r="J39">
            <v>24.905086514960914</v>
          </cell>
          <cell r="K39">
            <v>19.043351219696572</v>
          </cell>
          <cell r="L39">
            <v>22.201553215793034</v>
          </cell>
          <cell r="M39">
            <v>26.470459778382917</v>
          </cell>
          <cell r="N39">
            <v>9.8842345210432985</v>
          </cell>
          <cell r="O39">
            <v>24.57203069321703</v>
          </cell>
          <cell r="P39">
            <v>24.109792284866469</v>
          </cell>
          <cell r="Q39">
            <v>26.818619300534142</v>
          </cell>
          <cell r="R39">
            <v>13.641944380662977</v>
          </cell>
          <cell r="S39">
            <v>26.516697018911522</v>
          </cell>
          <cell r="T39">
            <v>35.954394220708352</v>
          </cell>
          <cell r="U39">
            <v>21.285332502393164</v>
          </cell>
          <cell r="V39">
            <v>19.845869087999564</v>
          </cell>
          <cell r="W39">
            <v>28.527394521399422</v>
          </cell>
          <cell r="X39">
            <v>32.926084240563618</v>
          </cell>
          <cell r="Y39">
            <v>25.630274337654583</v>
          </cell>
          <cell r="Z39">
            <v>24.845619985275032</v>
          </cell>
          <cell r="AA39">
            <v>19.057391625480243</v>
          </cell>
          <cell r="AB39">
            <v>22.966131138525057</v>
          </cell>
          <cell r="AC39">
            <v>14.159674238804071</v>
          </cell>
          <cell r="AD39">
            <v>15.498343190490496</v>
          </cell>
          <cell r="AE39">
            <v>28.801910543890365</v>
          </cell>
          <cell r="AF39">
            <v>14.695368786982993</v>
          </cell>
          <cell r="AG39">
            <v>18.211712127861052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ข้อตกลง60 (ok)"/>
      <sheetName val="ผู้ใช้น้ำเพิ่ม"/>
      <sheetName val="ขยายเขต 59-60"/>
      <sheetName val="ขยายเขต59"/>
      <sheetName val="ผู้ใช้น้ำลด"/>
      <sheetName val="น้ำจ่าย"/>
      <sheetName val="น้ำจำหน่าย"/>
      <sheetName val="น้ำผลิต"/>
      <sheetName val="ปริมาณน้ำสูญเสีย"/>
      <sheetName val="รายได้ค่าจำหน่ายน้ำ"/>
      <sheetName val="รายได้ค่าบริการ"/>
      <sheetName val="รายได้ค่าบริการอื่น"/>
      <sheetName val="รายได้ค่าติดตั้ง"/>
      <sheetName val="ต้นทุนค่าติดตั้ง"/>
      <sheetName val="ค่าติดตั้งสุทธิ"/>
      <sheetName val="รายได้"/>
      <sheetName val="เงินเดือนพนักงาน"/>
      <sheetName val="ค่าจ้างชั่วคราว"/>
      <sheetName val="ค่าตอบแทน"/>
      <sheetName val="ค่าวัสดุการผลิต"/>
      <sheetName val="วัสดุดำเนินการซ่อมบำรุง"/>
      <sheetName val="ค่าน้ำมัน"/>
      <sheetName val="ค่าวัสดุสำนักงาน"/>
      <sheetName val="ค่าจ้างและบริการ"/>
      <sheetName val="ค่าวัสดุดำเนินการอื่นๆ"/>
      <sheetName val="ไฟฟ้า"/>
      <sheetName val="ค่าติดตั้งสาธารณูปโภค"/>
      <sheetName val="ค่าธรรมเนียมธนาคาร"/>
      <sheetName val="ค่าธรรมเนียมอื่นๆ"/>
      <sheetName val="ค่าน้ำดิบ"/>
      <sheetName val="ค่าใช้จ่ายดำเนินงาน"/>
      <sheetName val="EBITDA59"/>
      <sheetName val="ค่าใช้จ่ายที่ไม่เกี่ยวดำเนินงาน"/>
      <sheetName val="รายได้ไม่เกี่ยวดำเนินงาน"/>
      <sheetName val="ค่าเสื่อมราคา"/>
      <sheetName val="อัตราการใช้น้ำรายเดือน"/>
      <sheetName val="อัตราการใช้น้ำสะสม"/>
      <sheetName val="Goal1M "/>
      <sheetName val="Goal2M"/>
      <sheetName val="Goal3M"/>
      <sheetName val="Goal4M"/>
      <sheetName val="Goal5M"/>
      <sheetName val="Goal6M"/>
      <sheetName val="Goal7M"/>
      <sheetName val="Goal8M"/>
      <sheetName val="Goal9M"/>
      <sheetName val="Goal10M"/>
      <sheetName val="Goal11M"/>
      <sheetName val="Goal12M"/>
      <sheetName val="Sheet2"/>
      <sheetName val="Sheet3"/>
    </sheetNames>
    <sheetDataSet>
      <sheetData sheetId="0" refreshError="1"/>
      <sheetData sheetId="1" refreshError="1">
        <row r="35">
          <cell r="AB35">
            <v>431.74921728240452</v>
          </cell>
          <cell r="AC35">
            <v>518.22959716134426</v>
          </cell>
          <cell r="AD35">
            <v>470.91014402003759</v>
          </cell>
          <cell r="AE35">
            <v>387.69317470256732</v>
          </cell>
          <cell r="AF35">
            <v>529.65153412648715</v>
          </cell>
          <cell r="AG35">
            <v>544.6632227092465</v>
          </cell>
          <cell r="AH35">
            <v>486.24817365894381</v>
          </cell>
          <cell r="AI35">
            <v>528.67251095804636</v>
          </cell>
          <cell r="AJ35">
            <v>582.19244416614481</v>
          </cell>
          <cell r="AK35">
            <v>543.68419954080571</v>
          </cell>
          <cell r="AL35">
            <v>620.70068879148403</v>
          </cell>
          <cell r="AM35">
            <v>609.60509288248795</v>
          </cell>
          <cell r="AO35">
            <v>6254</v>
          </cell>
        </row>
        <row r="36">
          <cell r="AB36">
            <v>6.9387755102040822</v>
          </cell>
          <cell r="AC36">
            <v>4.8571428571428577</v>
          </cell>
          <cell r="AD36">
            <v>7.2857142857142865</v>
          </cell>
          <cell r="AE36">
            <v>10.061224489795917</v>
          </cell>
          <cell r="AF36">
            <v>15.26530612244898</v>
          </cell>
          <cell r="AG36">
            <v>18.387755102040821</v>
          </cell>
          <cell r="AH36">
            <v>12.489795918367347</v>
          </cell>
          <cell r="AI36">
            <v>13.530612244897959</v>
          </cell>
          <cell r="AJ36">
            <v>8.3265306122448983</v>
          </cell>
          <cell r="AK36">
            <v>4.8571428571428577</v>
          </cell>
          <cell r="AL36">
            <v>7.2857142857142865</v>
          </cell>
          <cell r="AM36">
            <v>9.7142857142857153</v>
          </cell>
          <cell r="AO36">
            <v>119</v>
          </cell>
        </row>
        <row r="37">
          <cell r="AB37">
            <v>121.56397660818715</v>
          </cell>
          <cell r="AC37">
            <v>97.498011695906428</v>
          </cell>
          <cell r="AD37">
            <v>98.115087719298259</v>
          </cell>
          <cell r="AE37">
            <v>79.911345029239754</v>
          </cell>
          <cell r="AF37">
            <v>126.50058479532163</v>
          </cell>
          <cell r="AG37">
            <v>130.2030409356725</v>
          </cell>
          <cell r="AH37">
            <v>94.104093567251468</v>
          </cell>
          <cell r="AI37">
            <v>146.55555555555557</v>
          </cell>
          <cell r="AJ37">
            <v>126.19204678362574</v>
          </cell>
          <cell r="AK37">
            <v>113.54198830409358</v>
          </cell>
          <cell r="AL37">
            <v>98.115087719298259</v>
          </cell>
          <cell r="AM37">
            <v>86.699181286549717</v>
          </cell>
          <cell r="AO37">
            <v>1319</v>
          </cell>
        </row>
        <row r="38">
          <cell r="AB38">
            <v>72.95952023988005</v>
          </cell>
          <cell r="AC38">
            <v>115.74032983508245</v>
          </cell>
          <cell r="AD38">
            <v>79.260569715142424</v>
          </cell>
          <cell r="AE38">
            <v>66.326836581709145</v>
          </cell>
          <cell r="AF38">
            <v>77.934032983508246</v>
          </cell>
          <cell r="AG38">
            <v>85.229985007496254</v>
          </cell>
          <cell r="AH38">
            <v>107.78110944527735</v>
          </cell>
          <cell r="AI38">
            <v>99.49025487256371</v>
          </cell>
          <cell r="AJ38">
            <v>133.31694152923538</v>
          </cell>
          <cell r="AK38">
            <v>97.500449775112429</v>
          </cell>
          <cell r="AL38">
            <v>80.918740629685146</v>
          </cell>
          <cell r="AM38">
            <v>89.541229385307332</v>
          </cell>
          <cell r="AO38">
            <v>1106</v>
          </cell>
        </row>
        <row r="39">
          <cell r="AB39">
            <v>16.842767295597486</v>
          </cell>
          <cell r="AC39">
            <v>26.775681341719082</v>
          </cell>
          <cell r="AD39">
            <v>20.729559748427675</v>
          </cell>
          <cell r="AE39">
            <v>19.865828092243191</v>
          </cell>
          <cell r="AF39">
            <v>50.096436058700213</v>
          </cell>
          <cell r="AG39">
            <v>80.32704402515725</v>
          </cell>
          <cell r="AH39">
            <v>53.983228511530399</v>
          </cell>
          <cell r="AI39">
            <v>31.094339622641513</v>
          </cell>
          <cell r="AJ39">
            <v>38.867924528301899</v>
          </cell>
          <cell r="AK39">
            <v>25.048218029350107</v>
          </cell>
          <cell r="AL39">
            <v>28.935010482180296</v>
          </cell>
          <cell r="AM39">
            <v>19.433962264150949</v>
          </cell>
          <cell r="AO39">
            <v>412</v>
          </cell>
        </row>
        <row r="40">
          <cell r="AB40">
            <v>52.071283095723018</v>
          </cell>
          <cell r="AC40">
            <v>40.812627291242364</v>
          </cell>
          <cell r="AD40">
            <v>45.738289205702657</v>
          </cell>
          <cell r="AE40">
            <v>50.663951120162935</v>
          </cell>
          <cell r="AF40">
            <v>68.959266802443992</v>
          </cell>
          <cell r="AG40">
            <v>75.292260692464353</v>
          </cell>
          <cell r="AH40">
            <v>62.62627291242363</v>
          </cell>
          <cell r="AI40">
            <v>52.77494908350306</v>
          </cell>
          <cell r="AJ40">
            <v>95.69857433808555</v>
          </cell>
          <cell r="AK40">
            <v>52.77494908350306</v>
          </cell>
          <cell r="AL40">
            <v>47.145621181262733</v>
          </cell>
          <cell r="AM40">
            <v>46.441955193482684</v>
          </cell>
          <cell r="AO40">
            <v>691</v>
          </cell>
        </row>
        <row r="41">
          <cell r="AB41">
            <v>24.75</v>
          </cell>
          <cell r="AC41">
            <v>12</v>
          </cell>
          <cell r="AD41">
            <v>6.2499999999999991</v>
          </cell>
          <cell r="AE41">
            <v>12.499999999999998</v>
          </cell>
          <cell r="AF41">
            <v>15.249999999999996</v>
          </cell>
          <cell r="AG41">
            <v>8.7499999999999982</v>
          </cell>
          <cell r="AH41">
            <v>12.499999999999998</v>
          </cell>
          <cell r="AI41">
            <v>16.749999999999996</v>
          </cell>
          <cell r="AJ41">
            <v>13.749999999999998</v>
          </cell>
          <cell r="AK41">
            <v>10.999999999999998</v>
          </cell>
          <cell r="AL41">
            <v>9.25</v>
          </cell>
          <cell r="AM41">
            <v>9.25</v>
          </cell>
          <cell r="AO41">
            <v>152</v>
          </cell>
        </row>
        <row r="42">
          <cell r="AB42">
            <v>11.748768472906406</v>
          </cell>
          <cell r="AC42">
            <v>12.793103448275861</v>
          </cell>
          <cell r="AD42">
            <v>10.182266009852217</v>
          </cell>
          <cell r="AE42">
            <v>11.226600985221674</v>
          </cell>
          <cell r="AF42">
            <v>11.226600985221674</v>
          </cell>
          <cell r="AG42">
            <v>15.403940886699509</v>
          </cell>
          <cell r="AH42">
            <v>21.147783251231527</v>
          </cell>
          <cell r="AI42">
            <v>19.320197044334975</v>
          </cell>
          <cell r="AJ42">
            <v>12.270935960591133</v>
          </cell>
          <cell r="AK42">
            <v>11.487684729064039</v>
          </cell>
          <cell r="AL42">
            <v>13.315270935960591</v>
          </cell>
          <cell r="AM42">
            <v>8.876847290640395</v>
          </cell>
          <cell r="AO42">
            <v>159</v>
          </cell>
        </row>
        <row r="43">
          <cell r="AB43">
            <v>37.222936074526167</v>
          </cell>
          <cell r="AC43">
            <v>57.460648891744285</v>
          </cell>
          <cell r="AD43">
            <v>57.82203662062318</v>
          </cell>
          <cell r="AE43">
            <v>60.351750722775442</v>
          </cell>
          <cell r="AF43">
            <v>191.53549630581426</v>
          </cell>
          <cell r="AG43">
            <v>160.81753935110822</v>
          </cell>
          <cell r="AH43">
            <v>125.76292964985541</v>
          </cell>
          <cell r="AI43">
            <v>184.66912945711528</v>
          </cell>
          <cell r="AJ43">
            <v>70.831994860263379</v>
          </cell>
          <cell r="AK43">
            <v>62.158689367169913</v>
          </cell>
          <cell r="AL43">
            <v>46.980404754256334</v>
          </cell>
          <cell r="AM43">
            <v>69.386443944747811</v>
          </cell>
          <cell r="AO43">
            <v>1125</v>
          </cell>
        </row>
        <row r="44">
          <cell r="AB44">
            <v>1.5609756097560972</v>
          </cell>
          <cell r="AC44">
            <v>1.5609756097560972</v>
          </cell>
          <cell r="AD44">
            <v>2.7317073170731705</v>
          </cell>
          <cell r="AE44">
            <v>4.48780487804878</v>
          </cell>
          <cell r="AF44">
            <v>5.6585365853658516</v>
          </cell>
          <cell r="AG44">
            <v>4.0975609756097553</v>
          </cell>
          <cell r="AH44">
            <v>4.0975609756097553</v>
          </cell>
          <cell r="AI44">
            <v>4.6829268292682915</v>
          </cell>
          <cell r="AJ44">
            <v>2.7317073170731705</v>
          </cell>
          <cell r="AK44">
            <v>1.7560975609756095</v>
          </cell>
          <cell r="AL44">
            <v>1.9512195121951217</v>
          </cell>
          <cell r="AM44">
            <v>4.6829268292682915</v>
          </cell>
          <cell r="AO44">
            <v>40</v>
          </cell>
        </row>
        <row r="45">
          <cell r="AB45">
            <v>100.82386363636363</v>
          </cell>
          <cell r="AC45">
            <v>124.58948863636363</v>
          </cell>
          <cell r="AD45">
            <v>87.50071022727272</v>
          </cell>
          <cell r="AE45">
            <v>124.22940340909092</v>
          </cell>
          <cell r="AF45">
            <v>94.342329545454533</v>
          </cell>
          <cell r="AG45">
            <v>124.94957386363637</v>
          </cell>
          <cell r="AH45">
            <v>174.28125</v>
          </cell>
          <cell r="AI45">
            <v>191.56534090909091</v>
          </cell>
          <cell r="AJ45">
            <v>147.27485795454547</v>
          </cell>
          <cell r="AK45">
            <v>115.58735795454545</v>
          </cell>
          <cell r="AL45">
            <v>102.984375</v>
          </cell>
          <cell r="AM45">
            <v>132.87144886363637</v>
          </cell>
          <cell r="AO45">
            <v>1521</v>
          </cell>
        </row>
        <row r="46">
          <cell r="AB46">
            <v>13.283544303797468</v>
          </cell>
          <cell r="AC46">
            <v>22.306329113924047</v>
          </cell>
          <cell r="AD46">
            <v>13.534177215189871</v>
          </cell>
          <cell r="AE46">
            <v>16.291139240506329</v>
          </cell>
          <cell r="AF46">
            <v>23.559493670886074</v>
          </cell>
          <cell r="AG46">
            <v>26.316455696202528</v>
          </cell>
          <cell r="AH46">
            <v>16.792405063291135</v>
          </cell>
          <cell r="AI46">
            <v>10.777215189873417</v>
          </cell>
          <cell r="AJ46">
            <v>9.7746835443037963</v>
          </cell>
          <cell r="AK46">
            <v>14.286075949367088</v>
          </cell>
          <cell r="AL46">
            <v>17.293670886075947</v>
          </cell>
          <cell r="AM46">
            <v>13.784810126582276</v>
          </cell>
          <cell r="AO46">
            <v>198</v>
          </cell>
        </row>
        <row r="47">
          <cell r="AB47">
            <v>19.067653276955603</v>
          </cell>
          <cell r="AC47">
            <v>16.766384778012686</v>
          </cell>
          <cell r="AD47">
            <v>13.150105708245245</v>
          </cell>
          <cell r="AE47">
            <v>15.780126849894293</v>
          </cell>
          <cell r="AF47">
            <v>35.505285412262154</v>
          </cell>
          <cell r="AG47">
            <v>36.491543340380552</v>
          </cell>
          <cell r="AH47">
            <v>17.095137420718814</v>
          </cell>
          <cell r="AI47">
            <v>36.491543340380552</v>
          </cell>
          <cell r="AJ47">
            <v>44.710359408033831</v>
          </cell>
          <cell r="AK47">
            <v>20.38266384778013</v>
          </cell>
          <cell r="AL47">
            <v>24.985200845665965</v>
          </cell>
          <cell r="AM47">
            <v>30.573995771670191</v>
          </cell>
          <cell r="AO47">
            <v>311</v>
          </cell>
        </row>
        <row r="48">
          <cell r="AB48">
            <v>48.934705464868706</v>
          </cell>
          <cell r="AC48">
            <v>34.3584102200142</v>
          </cell>
          <cell r="AD48">
            <v>41.299503193754433</v>
          </cell>
          <cell r="AE48">
            <v>30.540809084457063</v>
          </cell>
          <cell r="AF48">
            <v>45.811213626685593</v>
          </cell>
          <cell r="AG48">
            <v>41.299503193754433</v>
          </cell>
          <cell r="AH48">
            <v>38.523066004258347</v>
          </cell>
          <cell r="AI48">
            <v>36.440738112136266</v>
          </cell>
          <cell r="AJ48">
            <v>53.446415897799866</v>
          </cell>
          <cell r="AK48">
            <v>39.911284599006393</v>
          </cell>
          <cell r="AL48">
            <v>40.258339247693399</v>
          </cell>
          <cell r="AM48">
            <v>38.176011355571333</v>
          </cell>
          <cell r="AO48">
            <v>489</v>
          </cell>
        </row>
        <row r="49">
          <cell r="AB49">
            <v>12.218181818181819</v>
          </cell>
          <cell r="AC49">
            <v>19.854545454545452</v>
          </cell>
          <cell r="AD49">
            <v>22.4</v>
          </cell>
          <cell r="AE49">
            <v>18.83636363636364</v>
          </cell>
          <cell r="AF49">
            <v>33.6</v>
          </cell>
          <cell r="AG49">
            <v>32.581818181818178</v>
          </cell>
          <cell r="AH49">
            <v>12.218181818181819</v>
          </cell>
          <cell r="AI49">
            <v>19.345454545454544</v>
          </cell>
          <cell r="AJ49">
            <v>26.472727272727273</v>
          </cell>
          <cell r="AK49">
            <v>18.83636363636364</v>
          </cell>
          <cell r="AL49">
            <v>20.872727272727271</v>
          </cell>
          <cell r="AM49">
            <v>14.763636363636362</v>
          </cell>
          <cell r="AO49">
            <v>252</v>
          </cell>
        </row>
        <row r="50">
          <cell r="AB50">
            <v>11.803278688524591</v>
          </cell>
          <cell r="AC50">
            <v>7.3770491803278695</v>
          </cell>
          <cell r="AD50">
            <v>6.1967213114754101</v>
          </cell>
          <cell r="AE50">
            <v>4.1311475409836067</v>
          </cell>
          <cell r="AF50">
            <v>5.3114754098360653</v>
          </cell>
          <cell r="AG50">
            <v>17.114754098360653</v>
          </cell>
          <cell r="AH50">
            <v>11.803278688524591</v>
          </cell>
          <cell r="AI50">
            <v>15.639344262295085</v>
          </cell>
          <cell r="AJ50">
            <v>9.1475409836065591</v>
          </cell>
          <cell r="AK50">
            <v>8.8524590163934427</v>
          </cell>
          <cell r="AL50">
            <v>5.9016393442622954</v>
          </cell>
          <cell r="AM50">
            <v>4.721311475409836</v>
          </cell>
          <cell r="AO50">
            <v>108</v>
          </cell>
        </row>
        <row r="51">
          <cell r="AB51">
            <v>55.29244712990937</v>
          </cell>
          <cell r="AC51">
            <v>83.526888217522668</v>
          </cell>
          <cell r="AD51">
            <v>34.116616314199398</v>
          </cell>
          <cell r="AE51">
            <v>47.057401812688823</v>
          </cell>
          <cell r="AF51">
            <v>45.096676737160124</v>
          </cell>
          <cell r="AG51">
            <v>81.174018126888228</v>
          </cell>
          <cell r="AH51">
            <v>44.704531722054377</v>
          </cell>
          <cell r="AI51">
            <v>51.76314199395771</v>
          </cell>
          <cell r="AJ51">
            <v>72.154682779456195</v>
          </cell>
          <cell r="AK51">
            <v>34.900906344410878</v>
          </cell>
          <cell r="AL51">
            <v>59.606042296072509</v>
          </cell>
          <cell r="AM51">
            <v>39.606646525679757</v>
          </cell>
          <cell r="AO51">
            <v>649</v>
          </cell>
        </row>
        <row r="52">
          <cell r="AB52">
            <v>19.958949096880133</v>
          </cell>
          <cell r="AC52">
            <v>15.604269293924466</v>
          </cell>
          <cell r="AD52">
            <v>15.604269293924466</v>
          </cell>
          <cell r="AE52">
            <v>19.958949096880133</v>
          </cell>
          <cell r="AF52">
            <v>23.587848932676522</v>
          </cell>
          <cell r="AG52">
            <v>21.410509031198689</v>
          </cell>
          <cell r="AH52">
            <v>14.152709359605913</v>
          </cell>
          <cell r="AI52">
            <v>17.055829228243024</v>
          </cell>
          <cell r="AJ52">
            <v>13.789819376026273</v>
          </cell>
          <cell r="AK52">
            <v>12.701149425287356</v>
          </cell>
          <cell r="AL52">
            <v>15.241379310344827</v>
          </cell>
          <cell r="AM52">
            <v>31.934318555008208</v>
          </cell>
          <cell r="AO52">
            <v>221</v>
          </cell>
        </row>
        <row r="53">
          <cell r="AB53">
            <v>69.928491620111728</v>
          </cell>
          <cell r="AC53">
            <v>51.1173184357542</v>
          </cell>
          <cell r="AD53">
            <v>114.09385474860336</v>
          </cell>
          <cell r="AE53">
            <v>142.7195530726257</v>
          </cell>
          <cell r="AF53">
            <v>88.739664804469285</v>
          </cell>
          <cell r="AG53">
            <v>119.81899441340785</v>
          </cell>
          <cell r="AH53">
            <v>92.829050279329635</v>
          </cell>
          <cell r="AI53">
            <v>80.560893854748628</v>
          </cell>
          <cell r="AJ53">
            <v>103.05251396648046</v>
          </cell>
          <cell r="AK53">
            <v>62.158659217877101</v>
          </cell>
          <cell r="AL53">
            <v>74.83575418994414</v>
          </cell>
          <cell r="AM53">
            <v>98.145251396648064</v>
          </cell>
          <cell r="AO53">
            <v>1098</v>
          </cell>
        </row>
        <row r="54">
          <cell r="AB54">
            <v>18.167061611374407</v>
          </cell>
          <cell r="AC54">
            <v>13.067535545023697</v>
          </cell>
          <cell r="AD54">
            <v>8.9241706161137451</v>
          </cell>
          <cell r="AE54">
            <v>16.57345971563981</v>
          </cell>
          <cell r="AF54">
            <v>15.298578199052134</v>
          </cell>
          <cell r="AG54">
            <v>20.716824644549764</v>
          </cell>
          <cell r="AH54">
            <v>29.959715639810426</v>
          </cell>
          <cell r="AI54">
            <v>45.258293838862564</v>
          </cell>
          <cell r="AJ54">
            <v>22.629146919431282</v>
          </cell>
          <cell r="AK54">
            <v>17.84834123222749</v>
          </cell>
          <cell r="AL54">
            <v>45.895734597156398</v>
          </cell>
          <cell r="AM54">
            <v>14.661137440758296</v>
          </cell>
          <cell r="AO54">
            <v>269</v>
          </cell>
        </row>
        <row r="55">
          <cell r="AB55">
            <v>156.68797797491584</v>
          </cell>
          <cell r="AC55">
            <v>113.17987152034262</v>
          </cell>
          <cell r="AD55">
            <v>159.3337412052615</v>
          </cell>
          <cell r="AE55">
            <v>119.0593453655552</v>
          </cell>
          <cell r="AF55">
            <v>164.33129397369225</v>
          </cell>
          <cell r="AG55">
            <v>144.34108289996939</v>
          </cell>
          <cell r="AH55">
            <v>157.27592535943714</v>
          </cell>
          <cell r="AI55">
            <v>138.16763536249616</v>
          </cell>
          <cell r="AJ55">
            <v>234.29703273172223</v>
          </cell>
          <cell r="AK55">
            <v>154.04221474457017</v>
          </cell>
          <cell r="AL55">
            <v>161.68553074334659</v>
          </cell>
          <cell r="AM55">
            <v>219.59834811869069</v>
          </cell>
          <cell r="AO55">
            <v>1922</v>
          </cell>
        </row>
        <row r="56">
          <cell r="AB56">
            <v>61.762087490406749</v>
          </cell>
          <cell r="AC56">
            <v>68.735226400613968</v>
          </cell>
          <cell r="AD56">
            <v>73.716039907904829</v>
          </cell>
          <cell r="AE56">
            <v>74.712202609363004</v>
          </cell>
          <cell r="AF56">
            <v>143.44742900997699</v>
          </cell>
          <cell r="AG56">
            <v>161.37835763622408</v>
          </cell>
          <cell r="AH56">
            <v>135.47812739831159</v>
          </cell>
          <cell r="AI56">
            <v>143.44742900997699</v>
          </cell>
          <cell r="AJ56">
            <v>113.56254796623178</v>
          </cell>
          <cell r="AK56">
            <v>106.58940905602454</v>
          </cell>
          <cell r="AL56">
            <v>111.57022256331543</v>
          </cell>
          <cell r="AM56">
            <v>103.60092095165002</v>
          </cell>
          <cell r="AO56">
            <v>1298</v>
          </cell>
        </row>
        <row r="57">
          <cell r="AB57">
            <v>6.1363636363636367</v>
          </cell>
          <cell r="AC57">
            <v>9.8181818181818183</v>
          </cell>
          <cell r="AD57">
            <v>3.6818181818181821</v>
          </cell>
          <cell r="AE57">
            <v>5.2159090909090917</v>
          </cell>
          <cell r="AF57">
            <v>7.9772727272727275</v>
          </cell>
          <cell r="AG57">
            <v>10.431818181818183</v>
          </cell>
          <cell r="AH57">
            <v>10.738636363636363</v>
          </cell>
          <cell r="AI57">
            <v>9.8181818181818183</v>
          </cell>
          <cell r="AJ57">
            <v>21.170454545454547</v>
          </cell>
          <cell r="AK57">
            <v>4.9090909090909092</v>
          </cell>
          <cell r="AL57">
            <v>3.375</v>
          </cell>
          <cell r="AM57">
            <v>14.727272727272728</v>
          </cell>
          <cell r="AO57">
            <v>108</v>
          </cell>
        </row>
        <row r="58">
          <cell r="AB58">
            <v>17.055492638731597</v>
          </cell>
          <cell r="AC58">
            <v>14.497168742921856</v>
          </cell>
          <cell r="AD58">
            <v>16.202718006795013</v>
          </cell>
          <cell r="AE58">
            <v>14.21291053227633</v>
          </cell>
          <cell r="AF58">
            <v>15.06568516421291</v>
          </cell>
          <cell r="AG58">
            <v>18.761041902604752</v>
          </cell>
          <cell r="AH58">
            <v>33.542468856172142</v>
          </cell>
          <cell r="AI58">
            <v>33.826727066817661</v>
          </cell>
          <cell r="AJ58">
            <v>20.750849377123437</v>
          </cell>
          <cell r="AK58">
            <v>27.004530011325027</v>
          </cell>
          <cell r="AL58">
            <v>19.045300113250278</v>
          </cell>
          <cell r="AM58">
            <v>21.035107587768969</v>
          </cell>
          <cell r="AO58">
            <v>251</v>
          </cell>
        </row>
        <row r="59">
          <cell r="AB59">
            <v>80.32948666931955</v>
          </cell>
          <cell r="AC59">
            <v>76.276163947473137</v>
          </cell>
          <cell r="AD59">
            <v>81.803422204536417</v>
          </cell>
          <cell r="AE59">
            <v>70.380421806605654</v>
          </cell>
          <cell r="AF59">
            <v>56.746518105849589</v>
          </cell>
          <cell r="AG59">
            <v>37.585356148030243</v>
          </cell>
          <cell r="AH59">
            <v>69.274970155193003</v>
          </cell>
          <cell r="AI59">
            <v>51.956227616394749</v>
          </cell>
          <cell r="AJ59">
            <v>74.802228412256284</v>
          </cell>
          <cell r="AK59">
            <v>132.65419816951851</v>
          </cell>
          <cell r="AL59">
            <v>98.385196975726231</v>
          </cell>
          <cell r="AM59">
            <v>95.805809789096713</v>
          </cell>
          <cell r="AO59">
            <v>926</v>
          </cell>
        </row>
        <row r="60">
          <cell r="AB60">
            <v>4.4287369640787952</v>
          </cell>
          <cell r="AC60">
            <v>13.286210892236385</v>
          </cell>
          <cell r="AD60">
            <v>9.9119351100811119</v>
          </cell>
          <cell r="AE60">
            <v>18.558516801853997</v>
          </cell>
          <cell r="AF60">
            <v>28.681344148319813</v>
          </cell>
          <cell r="AG60">
            <v>21.51100811123986</v>
          </cell>
          <cell r="AH60">
            <v>16.238702201622246</v>
          </cell>
          <cell r="AI60">
            <v>24.252607184241018</v>
          </cell>
          <cell r="AJ60">
            <v>14.762456546929315</v>
          </cell>
          <cell r="AK60">
            <v>8.6465816917728837</v>
          </cell>
          <cell r="AL60">
            <v>4.8505214368482044</v>
          </cell>
          <cell r="AM60">
            <v>16.871378910776361</v>
          </cell>
          <cell r="AO60">
            <v>182</v>
          </cell>
        </row>
        <row r="61">
          <cell r="AB61">
            <v>20.237154150197625</v>
          </cell>
          <cell r="AC61">
            <v>28.458498023715411</v>
          </cell>
          <cell r="AD61">
            <v>13.280632411067192</v>
          </cell>
          <cell r="AE61">
            <v>25.928853754940707</v>
          </cell>
          <cell r="AF61">
            <v>20.237154150197625</v>
          </cell>
          <cell r="AG61">
            <v>30.355731225296442</v>
          </cell>
          <cell r="AH61">
            <v>30.988142292490114</v>
          </cell>
          <cell r="AI61">
            <v>35.415019762845851</v>
          </cell>
          <cell r="AJ61">
            <v>45.533596837944657</v>
          </cell>
          <cell r="AK61">
            <v>17.07509881422925</v>
          </cell>
          <cell r="AL61">
            <v>17.707509881422926</v>
          </cell>
          <cell r="AM61">
            <v>34.782608695652172</v>
          </cell>
          <cell r="AO61">
            <v>320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35">
          <cell r="AB35">
            <v>2778317</v>
          </cell>
          <cell r="AC35">
            <v>2906603</v>
          </cell>
          <cell r="AD35">
            <v>2867388</v>
          </cell>
          <cell r="AE35">
            <v>2977963</v>
          </cell>
          <cell r="AF35">
            <v>2907337</v>
          </cell>
          <cell r="AG35">
            <v>2825707</v>
          </cell>
          <cell r="AH35">
            <v>3145756</v>
          </cell>
          <cell r="AI35">
            <v>3239472</v>
          </cell>
          <cell r="AJ35">
            <v>3159676</v>
          </cell>
          <cell r="AK35">
            <v>2975503</v>
          </cell>
          <cell r="AL35">
            <v>2924121</v>
          </cell>
          <cell r="AM35">
            <v>3011697</v>
          </cell>
          <cell r="AO35">
            <v>35719540</v>
          </cell>
        </row>
        <row r="36">
          <cell r="AB36">
            <v>45719</v>
          </cell>
          <cell r="AC36">
            <v>45300</v>
          </cell>
          <cell r="AD36">
            <v>44488</v>
          </cell>
          <cell r="AE36">
            <v>48733</v>
          </cell>
          <cell r="AF36">
            <v>46298</v>
          </cell>
          <cell r="AG36">
            <v>44848</v>
          </cell>
          <cell r="AH36">
            <v>55822</v>
          </cell>
          <cell r="AI36">
            <v>57673</v>
          </cell>
          <cell r="AJ36">
            <v>53950</v>
          </cell>
          <cell r="AK36">
            <v>48895</v>
          </cell>
          <cell r="AL36">
            <v>49123</v>
          </cell>
          <cell r="AM36">
            <v>49772</v>
          </cell>
          <cell r="AO36">
            <v>590620</v>
          </cell>
        </row>
        <row r="37">
          <cell r="AB37">
            <v>221736</v>
          </cell>
          <cell r="AC37">
            <v>242432</v>
          </cell>
          <cell r="AD37">
            <v>237406</v>
          </cell>
          <cell r="AE37">
            <v>249120</v>
          </cell>
          <cell r="AF37">
            <v>246487</v>
          </cell>
          <cell r="AG37">
            <v>243593</v>
          </cell>
          <cell r="AH37">
            <v>277965</v>
          </cell>
          <cell r="AI37">
            <v>299788</v>
          </cell>
          <cell r="AJ37">
            <v>280064</v>
          </cell>
          <cell r="AK37">
            <v>254184</v>
          </cell>
          <cell r="AL37">
            <v>249440</v>
          </cell>
          <cell r="AM37">
            <v>251525</v>
          </cell>
          <cell r="AO37">
            <v>3053740</v>
          </cell>
        </row>
        <row r="38">
          <cell r="AB38">
            <v>429139</v>
          </cell>
          <cell r="AC38">
            <v>449892</v>
          </cell>
          <cell r="AD38">
            <v>439925</v>
          </cell>
          <cell r="AE38">
            <v>451335</v>
          </cell>
          <cell r="AF38">
            <v>433149</v>
          </cell>
          <cell r="AG38">
            <v>429310</v>
          </cell>
          <cell r="AH38">
            <v>473305</v>
          </cell>
          <cell r="AI38">
            <v>500519</v>
          </cell>
          <cell r="AJ38">
            <v>472316</v>
          </cell>
          <cell r="AK38">
            <v>447440</v>
          </cell>
          <cell r="AL38">
            <v>443114</v>
          </cell>
          <cell r="AM38">
            <v>448846</v>
          </cell>
          <cell r="AO38">
            <v>5418290</v>
          </cell>
        </row>
        <row r="39">
          <cell r="AB39">
            <v>84153</v>
          </cell>
          <cell r="AC39">
            <v>87217</v>
          </cell>
          <cell r="AD39">
            <v>85499</v>
          </cell>
          <cell r="AE39">
            <v>94827</v>
          </cell>
          <cell r="AF39">
            <v>90486</v>
          </cell>
          <cell r="AG39">
            <v>91575</v>
          </cell>
          <cell r="AH39">
            <v>102287</v>
          </cell>
          <cell r="AI39">
            <v>116118</v>
          </cell>
          <cell r="AJ39">
            <v>104927</v>
          </cell>
          <cell r="AK39">
            <v>101539</v>
          </cell>
          <cell r="AL39">
            <v>103196</v>
          </cell>
          <cell r="AM39">
            <v>102005</v>
          </cell>
          <cell r="AO39">
            <v>1163830</v>
          </cell>
        </row>
        <row r="40">
          <cell r="AB40">
            <v>101034</v>
          </cell>
          <cell r="AC40">
            <v>105618</v>
          </cell>
          <cell r="AD40">
            <v>99734</v>
          </cell>
          <cell r="AE40">
            <v>108333</v>
          </cell>
          <cell r="AF40">
            <v>103695</v>
          </cell>
          <cell r="AG40">
            <v>100380</v>
          </cell>
          <cell r="AH40">
            <v>112531</v>
          </cell>
          <cell r="AI40">
            <v>121465</v>
          </cell>
          <cell r="AJ40">
            <v>118510</v>
          </cell>
          <cell r="AK40">
            <v>114666</v>
          </cell>
          <cell r="AL40">
            <v>112855</v>
          </cell>
          <cell r="AM40">
            <v>110099</v>
          </cell>
          <cell r="AO40">
            <v>1308920</v>
          </cell>
        </row>
        <row r="41">
          <cell r="AB41">
            <v>138732</v>
          </cell>
          <cell r="AC41">
            <v>141198</v>
          </cell>
          <cell r="AD41">
            <v>132155</v>
          </cell>
          <cell r="AE41">
            <v>144721</v>
          </cell>
          <cell r="AF41">
            <v>140089</v>
          </cell>
          <cell r="AG41">
            <v>135962</v>
          </cell>
          <cell r="AH41">
            <v>157583</v>
          </cell>
          <cell r="AI41">
            <v>167437</v>
          </cell>
          <cell r="AJ41">
            <v>158823</v>
          </cell>
          <cell r="AK41">
            <v>139930</v>
          </cell>
          <cell r="AL41">
            <v>138462</v>
          </cell>
          <cell r="AM41">
            <v>138968</v>
          </cell>
          <cell r="AO41">
            <v>1734060</v>
          </cell>
        </row>
        <row r="42">
          <cell r="AB42">
            <v>83547</v>
          </cell>
          <cell r="AC42">
            <v>87759</v>
          </cell>
          <cell r="AD42">
            <v>84617</v>
          </cell>
          <cell r="AE42">
            <v>85347</v>
          </cell>
          <cell r="AF42">
            <v>85129</v>
          </cell>
          <cell r="AG42">
            <v>85390</v>
          </cell>
          <cell r="AH42">
            <v>101139</v>
          </cell>
          <cell r="AI42">
            <v>111545</v>
          </cell>
          <cell r="AJ42">
            <v>103534</v>
          </cell>
          <cell r="AK42">
            <v>90684</v>
          </cell>
          <cell r="AL42">
            <v>87587</v>
          </cell>
          <cell r="AM42">
            <v>86491</v>
          </cell>
          <cell r="AO42">
            <v>1092770</v>
          </cell>
        </row>
        <row r="43">
          <cell r="AB43">
            <v>277402</v>
          </cell>
          <cell r="AC43">
            <v>284986</v>
          </cell>
          <cell r="AD43">
            <v>281666</v>
          </cell>
          <cell r="AE43">
            <v>279470</v>
          </cell>
          <cell r="AF43">
            <v>275078</v>
          </cell>
          <cell r="AG43">
            <v>270502</v>
          </cell>
          <cell r="AH43">
            <v>306123</v>
          </cell>
          <cell r="AI43">
            <v>340884</v>
          </cell>
          <cell r="AJ43">
            <v>324811</v>
          </cell>
          <cell r="AK43">
            <v>309135</v>
          </cell>
          <cell r="AL43">
            <v>298386</v>
          </cell>
          <cell r="AM43">
            <v>305545</v>
          </cell>
          <cell r="AO43">
            <v>3553990</v>
          </cell>
        </row>
        <row r="44">
          <cell r="AB44">
            <v>13631</v>
          </cell>
          <cell r="AC44">
            <v>15637</v>
          </cell>
          <cell r="AD44">
            <v>14797</v>
          </cell>
          <cell r="AE44">
            <v>15474</v>
          </cell>
          <cell r="AF44">
            <v>14754</v>
          </cell>
          <cell r="AG44">
            <v>15386</v>
          </cell>
          <cell r="AH44">
            <v>20005</v>
          </cell>
          <cell r="AI44">
            <v>19585</v>
          </cell>
          <cell r="AJ44">
            <v>19292</v>
          </cell>
          <cell r="AK44">
            <v>17606</v>
          </cell>
          <cell r="AL44">
            <v>16619</v>
          </cell>
          <cell r="AM44">
            <v>16654</v>
          </cell>
          <cell r="AO44">
            <v>199440</v>
          </cell>
        </row>
        <row r="45">
          <cell r="AB45">
            <v>713166</v>
          </cell>
          <cell r="AC45">
            <v>734285</v>
          </cell>
          <cell r="AD45">
            <v>726593</v>
          </cell>
          <cell r="AE45">
            <v>747686</v>
          </cell>
          <cell r="AF45">
            <v>715739</v>
          </cell>
          <cell r="AG45">
            <v>717170</v>
          </cell>
          <cell r="AH45">
            <v>817920</v>
          </cell>
          <cell r="AI45">
            <v>868645</v>
          </cell>
          <cell r="AJ45">
            <v>819795</v>
          </cell>
          <cell r="AK45">
            <v>789024</v>
          </cell>
          <cell r="AL45">
            <v>736273</v>
          </cell>
          <cell r="AM45">
            <v>762775</v>
          </cell>
          <cell r="AO45">
            <v>9149070</v>
          </cell>
        </row>
        <row r="46">
          <cell r="AB46">
            <v>77070</v>
          </cell>
          <cell r="AC46">
            <v>80412</v>
          </cell>
          <cell r="AD46">
            <v>78339</v>
          </cell>
          <cell r="AE46">
            <v>84490</v>
          </cell>
          <cell r="AF46">
            <v>78875</v>
          </cell>
          <cell r="AG46">
            <v>78770</v>
          </cell>
          <cell r="AH46">
            <v>94892</v>
          </cell>
          <cell r="AI46">
            <v>104770</v>
          </cell>
          <cell r="AJ46">
            <v>91315</v>
          </cell>
          <cell r="AK46">
            <v>86608</v>
          </cell>
          <cell r="AL46">
            <v>83105</v>
          </cell>
          <cell r="AM46">
            <v>84763</v>
          </cell>
          <cell r="AO46">
            <v>1023410</v>
          </cell>
        </row>
        <row r="47">
          <cell r="AB47">
            <v>105000</v>
          </cell>
          <cell r="AC47">
            <v>111432</v>
          </cell>
          <cell r="AD47">
            <v>110162</v>
          </cell>
          <cell r="AE47">
            <v>115842</v>
          </cell>
          <cell r="AF47">
            <v>112168</v>
          </cell>
          <cell r="AG47">
            <v>115052</v>
          </cell>
          <cell r="AH47">
            <v>136071</v>
          </cell>
          <cell r="AI47">
            <v>147258</v>
          </cell>
          <cell r="AJ47">
            <v>128897</v>
          </cell>
          <cell r="AK47">
            <v>117244</v>
          </cell>
          <cell r="AL47">
            <v>117790</v>
          </cell>
          <cell r="AM47">
            <v>115413</v>
          </cell>
          <cell r="AO47">
            <v>1432330</v>
          </cell>
        </row>
        <row r="48">
          <cell r="AB48">
            <v>212286</v>
          </cell>
          <cell r="AC48">
            <v>215988</v>
          </cell>
          <cell r="AD48">
            <v>216991</v>
          </cell>
          <cell r="AE48">
            <v>219128</v>
          </cell>
          <cell r="AF48">
            <v>212723</v>
          </cell>
          <cell r="AG48">
            <v>208335</v>
          </cell>
          <cell r="AH48">
            <v>244961</v>
          </cell>
          <cell r="AI48">
            <v>253238</v>
          </cell>
          <cell r="AJ48">
            <v>240103</v>
          </cell>
          <cell r="AK48">
            <v>230580</v>
          </cell>
          <cell r="AL48">
            <v>218811</v>
          </cell>
          <cell r="AM48">
            <v>220045</v>
          </cell>
          <cell r="AO48">
            <v>2693190</v>
          </cell>
        </row>
        <row r="49">
          <cell r="AB49">
            <v>89501</v>
          </cell>
          <cell r="AC49">
            <v>89898</v>
          </cell>
          <cell r="AD49">
            <v>87530</v>
          </cell>
          <cell r="AE49">
            <v>92596</v>
          </cell>
          <cell r="AF49">
            <v>88379</v>
          </cell>
          <cell r="AG49">
            <v>87216</v>
          </cell>
          <cell r="AH49">
            <v>104774</v>
          </cell>
          <cell r="AI49">
            <v>115401</v>
          </cell>
          <cell r="AJ49">
            <v>106169</v>
          </cell>
          <cell r="AK49">
            <v>99062</v>
          </cell>
          <cell r="AL49">
            <v>91666</v>
          </cell>
          <cell r="AM49">
            <v>88727</v>
          </cell>
          <cell r="AO49">
            <v>1140920</v>
          </cell>
        </row>
        <row r="50">
          <cell r="AB50">
            <v>57238</v>
          </cell>
          <cell r="AC50">
            <v>56757</v>
          </cell>
          <cell r="AD50">
            <v>58178</v>
          </cell>
          <cell r="AE50">
            <v>58956</v>
          </cell>
          <cell r="AF50">
            <v>52217</v>
          </cell>
          <cell r="AG50">
            <v>56793</v>
          </cell>
          <cell r="AH50">
            <v>66399</v>
          </cell>
          <cell r="AI50">
            <v>69337</v>
          </cell>
          <cell r="AJ50">
            <v>62893</v>
          </cell>
          <cell r="AK50">
            <v>57017</v>
          </cell>
          <cell r="AL50">
            <v>55387</v>
          </cell>
          <cell r="AM50">
            <v>61108</v>
          </cell>
          <cell r="AO50">
            <v>712280</v>
          </cell>
        </row>
        <row r="51">
          <cell r="AB51">
            <v>278869</v>
          </cell>
          <cell r="AC51">
            <v>296615</v>
          </cell>
          <cell r="AD51">
            <v>291283</v>
          </cell>
          <cell r="AE51">
            <v>310849</v>
          </cell>
          <cell r="AF51">
            <v>272486</v>
          </cell>
          <cell r="AG51">
            <v>279037</v>
          </cell>
          <cell r="AH51">
            <v>316446</v>
          </cell>
          <cell r="AI51">
            <v>319230</v>
          </cell>
          <cell r="AJ51">
            <v>319540</v>
          </cell>
          <cell r="AK51">
            <v>309271</v>
          </cell>
          <cell r="AL51">
            <v>291988</v>
          </cell>
          <cell r="AM51">
            <v>302026</v>
          </cell>
          <cell r="AO51">
            <v>3587640</v>
          </cell>
        </row>
        <row r="52">
          <cell r="AB52">
            <v>74013</v>
          </cell>
          <cell r="AC52">
            <v>76524</v>
          </cell>
          <cell r="AD52">
            <v>74476</v>
          </cell>
          <cell r="AE52">
            <v>84203</v>
          </cell>
          <cell r="AF52">
            <v>71517</v>
          </cell>
          <cell r="AG52">
            <v>72712</v>
          </cell>
          <cell r="AH52">
            <v>83490</v>
          </cell>
          <cell r="AI52">
            <v>83946</v>
          </cell>
          <cell r="AJ52">
            <v>83570</v>
          </cell>
          <cell r="AK52">
            <v>82870</v>
          </cell>
          <cell r="AL52">
            <v>76054</v>
          </cell>
          <cell r="AM52">
            <v>79055</v>
          </cell>
          <cell r="AO52">
            <v>942430</v>
          </cell>
        </row>
        <row r="53">
          <cell r="AB53">
            <v>366372</v>
          </cell>
          <cell r="AC53">
            <v>378429</v>
          </cell>
          <cell r="AD53">
            <v>367732</v>
          </cell>
          <cell r="AE53">
            <v>389616</v>
          </cell>
          <cell r="AF53">
            <v>366537</v>
          </cell>
          <cell r="AG53">
            <v>361662</v>
          </cell>
          <cell r="AH53">
            <v>434355</v>
          </cell>
          <cell r="AI53">
            <v>431801</v>
          </cell>
          <cell r="AJ53">
            <v>426205</v>
          </cell>
          <cell r="AK53">
            <v>415834</v>
          </cell>
          <cell r="AL53">
            <v>388615</v>
          </cell>
          <cell r="AM53">
            <v>398660</v>
          </cell>
          <cell r="AO53">
            <v>4725820</v>
          </cell>
        </row>
        <row r="54">
          <cell r="AB54">
            <v>81989</v>
          </cell>
          <cell r="AC54">
            <v>79632</v>
          </cell>
          <cell r="AD54">
            <v>81085</v>
          </cell>
          <cell r="AE54">
            <v>90793</v>
          </cell>
          <cell r="AF54">
            <v>81683</v>
          </cell>
          <cell r="AG54">
            <v>78190</v>
          </cell>
          <cell r="AH54">
            <v>93413</v>
          </cell>
          <cell r="AI54">
            <v>92409</v>
          </cell>
          <cell r="AJ54">
            <v>90647</v>
          </cell>
          <cell r="AK54">
            <v>89014</v>
          </cell>
          <cell r="AL54">
            <v>84588</v>
          </cell>
          <cell r="AM54">
            <v>84907</v>
          </cell>
          <cell r="AO54">
            <v>1028350</v>
          </cell>
        </row>
        <row r="55">
          <cell r="AB55">
            <v>630833</v>
          </cell>
          <cell r="AC55">
            <v>638879</v>
          </cell>
          <cell r="AD55">
            <v>617495</v>
          </cell>
          <cell r="AE55">
            <v>670774</v>
          </cell>
          <cell r="AF55">
            <v>639458</v>
          </cell>
          <cell r="AG55">
            <v>621469</v>
          </cell>
          <cell r="AH55">
            <v>672286</v>
          </cell>
          <cell r="AI55">
            <v>675920</v>
          </cell>
          <cell r="AJ55">
            <v>682695</v>
          </cell>
          <cell r="AK55">
            <v>681662</v>
          </cell>
          <cell r="AL55">
            <v>644826</v>
          </cell>
          <cell r="AM55">
            <v>676095</v>
          </cell>
          <cell r="AO55">
            <v>7852390</v>
          </cell>
        </row>
        <row r="56">
          <cell r="AB56">
            <v>100835</v>
          </cell>
          <cell r="AC56">
            <v>101149</v>
          </cell>
          <cell r="AD56">
            <v>96968</v>
          </cell>
          <cell r="AE56">
            <v>106997</v>
          </cell>
          <cell r="AF56">
            <v>97180</v>
          </cell>
          <cell r="AG56">
            <v>96234</v>
          </cell>
          <cell r="AH56">
            <v>115202</v>
          </cell>
          <cell r="AI56">
            <v>122176</v>
          </cell>
          <cell r="AJ56">
            <v>118102</v>
          </cell>
          <cell r="AK56">
            <v>112167</v>
          </cell>
          <cell r="AL56">
            <v>108259</v>
          </cell>
          <cell r="AM56">
            <v>108022</v>
          </cell>
          <cell r="AO56">
            <v>1283290</v>
          </cell>
        </row>
        <row r="57">
          <cell r="AB57">
            <v>41883</v>
          </cell>
          <cell r="AC57">
            <v>41324</v>
          </cell>
          <cell r="AD57">
            <v>42770</v>
          </cell>
          <cell r="AE57">
            <v>42803</v>
          </cell>
          <cell r="AF57">
            <v>41088</v>
          </cell>
          <cell r="AG57">
            <v>39406</v>
          </cell>
          <cell r="AH57">
            <v>46315</v>
          </cell>
          <cell r="AI57">
            <v>46249</v>
          </cell>
          <cell r="AJ57">
            <v>45356</v>
          </cell>
          <cell r="AK57">
            <v>45818</v>
          </cell>
          <cell r="AL57">
            <v>42617</v>
          </cell>
          <cell r="AM57">
            <v>43671</v>
          </cell>
          <cell r="AO57">
            <v>519300</v>
          </cell>
        </row>
        <row r="58">
          <cell r="AB58">
            <v>61445</v>
          </cell>
          <cell r="AC58">
            <v>64078</v>
          </cell>
          <cell r="AD58">
            <v>59367</v>
          </cell>
          <cell r="AE58">
            <v>62908</v>
          </cell>
          <cell r="AF58">
            <v>57096</v>
          </cell>
          <cell r="AG58">
            <v>62042</v>
          </cell>
          <cell r="AH58">
            <v>70954</v>
          </cell>
          <cell r="AI58">
            <v>72555</v>
          </cell>
          <cell r="AJ58">
            <v>69576</v>
          </cell>
          <cell r="AK58">
            <v>66453</v>
          </cell>
          <cell r="AL58">
            <v>66342</v>
          </cell>
          <cell r="AM58">
            <v>61286</v>
          </cell>
          <cell r="AO58">
            <v>774100</v>
          </cell>
        </row>
        <row r="59">
          <cell r="AB59">
            <v>324282</v>
          </cell>
          <cell r="AC59">
            <v>331146</v>
          </cell>
          <cell r="AD59">
            <v>320820</v>
          </cell>
          <cell r="AE59">
            <v>339132</v>
          </cell>
          <cell r="AF59">
            <v>329753</v>
          </cell>
          <cell r="AG59">
            <v>312730</v>
          </cell>
          <cell r="AH59">
            <v>366738</v>
          </cell>
          <cell r="AI59">
            <v>371380</v>
          </cell>
          <cell r="AJ59">
            <v>373604</v>
          </cell>
          <cell r="AK59">
            <v>362437</v>
          </cell>
          <cell r="AL59">
            <v>341776</v>
          </cell>
          <cell r="AM59">
            <v>343793</v>
          </cell>
          <cell r="AO59">
            <v>4117590</v>
          </cell>
        </row>
        <row r="60">
          <cell r="AB60">
            <v>49170</v>
          </cell>
          <cell r="AC60">
            <v>51469</v>
          </cell>
          <cell r="AD60">
            <v>49857</v>
          </cell>
          <cell r="AE60">
            <v>54620</v>
          </cell>
          <cell r="AF60">
            <v>51111</v>
          </cell>
          <cell r="AG60">
            <v>50879</v>
          </cell>
          <cell r="AH60">
            <v>58419</v>
          </cell>
          <cell r="AI60">
            <v>65276</v>
          </cell>
          <cell r="AJ60">
            <v>58774</v>
          </cell>
          <cell r="AK60">
            <v>56791</v>
          </cell>
          <cell r="AL60">
            <v>51658</v>
          </cell>
          <cell r="AM60">
            <v>55456</v>
          </cell>
          <cell r="AO60">
            <v>653480</v>
          </cell>
        </row>
        <row r="61">
          <cell r="AB61">
            <v>62441</v>
          </cell>
          <cell r="AC61">
            <v>63704</v>
          </cell>
          <cell r="AD61">
            <v>62152</v>
          </cell>
          <cell r="AE61">
            <v>67542</v>
          </cell>
          <cell r="AF61">
            <v>62393</v>
          </cell>
          <cell r="AG61">
            <v>62410</v>
          </cell>
          <cell r="AH61">
            <v>75242</v>
          </cell>
          <cell r="AI61">
            <v>76490</v>
          </cell>
          <cell r="AJ61">
            <v>74658</v>
          </cell>
          <cell r="AK61">
            <v>66804</v>
          </cell>
          <cell r="AL61">
            <v>67066</v>
          </cell>
          <cell r="AM61">
            <v>68307</v>
          </cell>
          <cell r="AO61">
            <v>809210</v>
          </cell>
        </row>
      </sheetData>
      <sheetData sheetId="7" refreshError="1"/>
      <sheetData sheetId="8" refreshError="1">
        <row r="68">
          <cell r="B68">
            <v>1216960</v>
          </cell>
          <cell r="C68">
            <v>1262173</v>
          </cell>
          <cell r="D68">
            <v>1298283</v>
          </cell>
          <cell r="E68">
            <v>1029055</v>
          </cell>
          <cell r="F68">
            <v>1037130</v>
          </cell>
          <cell r="G68">
            <v>1401513</v>
          </cell>
          <cell r="H68">
            <v>931029</v>
          </cell>
          <cell r="I68">
            <v>1026937</v>
          </cell>
          <cell r="J68">
            <v>839615</v>
          </cell>
          <cell r="K68">
            <v>1102280</v>
          </cell>
          <cell r="L68">
            <v>1177585</v>
          </cell>
          <cell r="M68">
            <v>929032</v>
          </cell>
          <cell r="O68">
            <v>13251592</v>
          </cell>
        </row>
        <row r="69">
          <cell r="B69">
            <v>9208</v>
          </cell>
          <cell r="C69">
            <v>9286</v>
          </cell>
          <cell r="D69">
            <v>10098</v>
          </cell>
          <cell r="E69">
            <v>8897</v>
          </cell>
          <cell r="F69">
            <v>6823</v>
          </cell>
          <cell r="G69">
            <v>9557</v>
          </cell>
          <cell r="H69">
            <v>10010</v>
          </cell>
          <cell r="I69">
            <v>10272</v>
          </cell>
          <cell r="J69">
            <v>7993</v>
          </cell>
          <cell r="K69">
            <v>7661</v>
          </cell>
          <cell r="L69">
            <v>7652</v>
          </cell>
          <cell r="M69">
            <v>6771</v>
          </cell>
          <cell r="O69">
            <v>104228</v>
          </cell>
        </row>
        <row r="70">
          <cell r="B70">
            <v>120876</v>
          </cell>
          <cell r="C70">
            <v>109908</v>
          </cell>
          <cell r="D70">
            <v>95841</v>
          </cell>
          <cell r="E70">
            <v>94670</v>
          </cell>
          <cell r="F70">
            <v>88514</v>
          </cell>
          <cell r="G70">
            <v>105129</v>
          </cell>
          <cell r="H70">
            <v>103890</v>
          </cell>
          <cell r="I70">
            <v>93613</v>
          </cell>
          <cell r="J70">
            <v>85453</v>
          </cell>
          <cell r="K70">
            <v>81592</v>
          </cell>
          <cell r="L70">
            <v>104735</v>
          </cell>
          <cell r="M70">
            <v>109241</v>
          </cell>
          <cell r="O70">
            <v>1193462</v>
          </cell>
        </row>
        <row r="71">
          <cell r="B71">
            <v>149100</v>
          </cell>
          <cell r="C71">
            <v>146752</v>
          </cell>
          <cell r="D71">
            <v>138675</v>
          </cell>
          <cell r="E71">
            <v>179845</v>
          </cell>
          <cell r="F71">
            <v>166384</v>
          </cell>
          <cell r="G71">
            <v>158198</v>
          </cell>
          <cell r="H71">
            <v>136504</v>
          </cell>
          <cell r="I71">
            <v>139642</v>
          </cell>
          <cell r="J71">
            <v>133073</v>
          </cell>
          <cell r="K71">
            <v>129413</v>
          </cell>
          <cell r="L71">
            <v>159514</v>
          </cell>
          <cell r="M71">
            <v>169000</v>
          </cell>
          <cell r="O71">
            <v>1806100</v>
          </cell>
        </row>
        <row r="72">
          <cell r="B72">
            <v>23389</v>
          </cell>
          <cell r="C72">
            <v>22602</v>
          </cell>
          <cell r="D72">
            <v>33465</v>
          </cell>
          <cell r="E72">
            <v>31581</v>
          </cell>
          <cell r="F72">
            <v>28886</v>
          </cell>
          <cell r="G72">
            <v>34688</v>
          </cell>
          <cell r="H72">
            <v>44784</v>
          </cell>
          <cell r="I72">
            <v>26669</v>
          </cell>
          <cell r="J72">
            <v>26713</v>
          </cell>
          <cell r="K72">
            <v>27675</v>
          </cell>
          <cell r="L72">
            <v>25634</v>
          </cell>
          <cell r="M72">
            <v>21555</v>
          </cell>
          <cell r="O72">
            <v>347641</v>
          </cell>
        </row>
        <row r="73">
          <cell r="B73">
            <v>32838</v>
          </cell>
          <cell r="C73">
            <v>28598</v>
          </cell>
          <cell r="D73">
            <v>35648</v>
          </cell>
          <cell r="E73">
            <v>31151</v>
          </cell>
          <cell r="F73">
            <v>27999</v>
          </cell>
          <cell r="G73">
            <v>33010</v>
          </cell>
          <cell r="H73">
            <v>32351</v>
          </cell>
          <cell r="I73">
            <v>28794</v>
          </cell>
          <cell r="J73">
            <v>28162</v>
          </cell>
          <cell r="K73">
            <v>28769</v>
          </cell>
          <cell r="L73">
            <v>32736</v>
          </cell>
          <cell r="M73">
            <v>29124</v>
          </cell>
          <cell r="O73">
            <v>369180</v>
          </cell>
        </row>
        <row r="74">
          <cell r="B74">
            <v>56201</v>
          </cell>
          <cell r="C74">
            <v>58150</v>
          </cell>
          <cell r="D74">
            <v>56008</v>
          </cell>
          <cell r="E74">
            <v>57293</v>
          </cell>
          <cell r="F74">
            <v>54697</v>
          </cell>
          <cell r="G74">
            <v>58031</v>
          </cell>
          <cell r="H74">
            <v>57821</v>
          </cell>
          <cell r="I74">
            <v>56250</v>
          </cell>
          <cell r="J74">
            <v>44655</v>
          </cell>
          <cell r="K74">
            <v>48384</v>
          </cell>
          <cell r="L74">
            <v>46167</v>
          </cell>
          <cell r="M74">
            <v>47703</v>
          </cell>
          <cell r="O74">
            <v>641360</v>
          </cell>
        </row>
        <row r="75">
          <cell r="B75">
            <v>20050</v>
          </cell>
          <cell r="C75">
            <v>19759</v>
          </cell>
          <cell r="D75">
            <v>19267</v>
          </cell>
          <cell r="E75">
            <v>11681</v>
          </cell>
          <cell r="F75">
            <v>10496</v>
          </cell>
          <cell r="G75">
            <v>25356</v>
          </cell>
          <cell r="H75">
            <v>21316</v>
          </cell>
          <cell r="I75">
            <v>14049</v>
          </cell>
          <cell r="J75">
            <v>9217</v>
          </cell>
          <cell r="K75">
            <v>12513</v>
          </cell>
          <cell r="L75">
            <v>14591</v>
          </cell>
          <cell r="M75">
            <v>14547</v>
          </cell>
          <cell r="O75">
            <v>192842</v>
          </cell>
        </row>
        <row r="76">
          <cell r="B76">
            <v>103624</v>
          </cell>
          <cell r="C76">
            <v>102782</v>
          </cell>
          <cell r="D76">
            <v>102661</v>
          </cell>
          <cell r="E76">
            <v>101229</v>
          </cell>
          <cell r="F76">
            <v>98819</v>
          </cell>
          <cell r="G76">
            <v>97367</v>
          </cell>
          <cell r="H76">
            <v>97343</v>
          </cell>
          <cell r="I76">
            <v>92376</v>
          </cell>
          <cell r="J76">
            <v>82013</v>
          </cell>
          <cell r="K76">
            <v>103118</v>
          </cell>
          <cell r="L76">
            <v>96114</v>
          </cell>
          <cell r="M76">
            <v>107215</v>
          </cell>
          <cell r="O76">
            <v>1184661</v>
          </cell>
        </row>
        <row r="77">
          <cell r="B77">
            <v>4394</v>
          </cell>
          <cell r="C77">
            <v>4862</v>
          </cell>
          <cell r="D77">
            <v>4627</v>
          </cell>
          <cell r="E77">
            <v>4872</v>
          </cell>
          <cell r="F77">
            <v>4621</v>
          </cell>
          <cell r="G77">
            <v>4818</v>
          </cell>
          <cell r="H77">
            <v>5982</v>
          </cell>
          <cell r="I77">
            <v>5627</v>
          </cell>
          <cell r="J77">
            <v>5498</v>
          </cell>
          <cell r="K77">
            <v>4987</v>
          </cell>
          <cell r="L77">
            <v>4643</v>
          </cell>
          <cell r="M77">
            <v>4639</v>
          </cell>
          <cell r="O77">
            <v>59570</v>
          </cell>
        </row>
        <row r="78">
          <cell r="B78">
            <v>210125</v>
          </cell>
          <cell r="C78">
            <v>174310</v>
          </cell>
          <cell r="D78">
            <v>196934</v>
          </cell>
          <cell r="E78">
            <v>191327</v>
          </cell>
          <cell r="F78">
            <v>163313</v>
          </cell>
          <cell r="G78">
            <v>289327</v>
          </cell>
          <cell r="H78">
            <v>199929</v>
          </cell>
          <cell r="I78">
            <v>131646</v>
          </cell>
          <cell r="J78">
            <v>139192</v>
          </cell>
          <cell r="K78">
            <v>193161</v>
          </cell>
          <cell r="L78">
            <v>280717</v>
          </cell>
          <cell r="M78">
            <v>189208</v>
          </cell>
          <cell r="O78">
            <v>2359189</v>
          </cell>
        </row>
        <row r="79">
          <cell r="B79">
            <v>26918</v>
          </cell>
          <cell r="C79">
            <v>24259</v>
          </cell>
          <cell r="D79">
            <v>18517</v>
          </cell>
          <cell r="E79">
            <v>20152</v>
          </cell>
          <cell r="F79">
            <v>17740</v>
          </cell>
          <cell r="G79">
            <v>16778</v>
          </cell>
          <cell r="H79">
            <v>17715</v>
          </cell>
          <cell r="I79">
            <v>17294</v>
          </cell>
          <cell r="J79">
            <v>14307</v>
          </cell>
          <cell r="K79">
            <v>16930</v>
          </cell>
          <cell r="L79">
            <v>16984</v>
          </cell>
          <cell r="M79">
            <v>24717</v>
          </cell>
          <cell r="O79">
            <v>232311</v>
          </cell>
        </row>
        <row r="80">
          <cell r="B80">
            <v>42155</v>
          </cell>
          <cell r="C80">
            <v>38556</v>
          </cell>
          <cell r="D80">
            <v>51397</v>
          </cell>
          <cell r="E80">
            <v>54040</v>
          </cell>
          <cell r="F80">
            <v>45746</v>
          </cell>
          <cell r="G80">
            <v>56403</v>
          </cell>
          <cell r="H80">
            <v>43596</v>
          </cell>
          <cell r="I80">
            <v>28569</v>
          </cell>
          <cell r="J80">
            <v>22675</v>
          </cell>
          <cell r="K80">
            <v>33990</v>
          </cell>
          <cell r="L80">
            <v>42428</v>
          </cell>
          <cell r="M80">
            <v>43695</v>
          </cell>
          <cell r="O80">
            <v>503250</v>
          </cell>
        </row>
        <row r="81">
          <cell r="B81">
            <v>96697</v>
          </cell>
          <cell r="C81">
            <v>96788</v>
          </cell>
          <cell r="D81">
            <v>103146</v>
          </cell>
          <cell r="E81">
            <v>93259</v>
          </cell>
          <cell r="F81">
            <v>70320</v>
          </cell>
          <cell r="G81">
            <v>111941</v>
          </cell>
          <cell r="H81">
            <v>72557</v>
          </cell>
          <cell r="I81">
            <v>65138</v>
          </cell>
          <cell r="J81">
            <v>75488</v>
          </cell>
          <cell r="K81">
            <v>91466</v>
          </cell>
          <cell r="L81">
            <v>114694</v>
          </cell>
          <cell r="M81">
            <v>108548</v>
          </cell>
          <cell r="O81">
            <v>1100042</v>
          </cell>
        </row>
        <row r="82">
          <cell r="B82">
            <v>30906</v>
          </cell>
          <cell r="C82">
            <v>30886</v>
          </cell>
          <cell r="D82">
            <v>33067</v>
          </cell>
          <cell r="E82">
            <v>31233</v>
          </cell>
          <cell r="F82">
            <v>27341</v>
          </cell>
          <cell r="G82">
            <v>28161</v>
          </cell>
          <cell r="H82">
            <v>32006</v>
          </cell>
          <cell r="I82">
            <v>27578</v>
          </cell>
          <cell r="J82">
            <v>24687</v>
          </cell>
          <cell r="K82">
            <v>25300</v>
          </cell>
          <cell r="L82">
            <v>25868</v>
          </cell>
          <cell r="M82">
            <v>23759</v>
          </cell>
          <cell r="O82">
            <v>340792</v>
          </cell>
        </row>
        <row r="83">
          <cell r="B83">
            <v>19133</v>
          </cell>
          <cell r="C83">
            <v>19076</v>
          </cell>
          <cell r="D83">
            <v>17862</v>
          </cell>
          <cell r="E83">
            <v>17168</v>
          </cell>
          <cell r="F83">
            <v>16841</v>
          </cell>
          <cell r="G83">
            <v>19997</v>
          </cell>
          <cell r="H83">
            <v>16188</v>
          </cell>
          <cell r="I83">
            <v>13721</v>
          </cell>
          <cell r="J83">
            <v>14613</v>
          </cell>
          <cell r="K83">
            <v>16629</v>
          </cell>
          <cell r="L83">
            <v>15629</v>
          </cell>
          <cell r="M83">
            <v>14046</v>
          </cell>
          <cell r="O83">
            <v>200903</v>
          </cell>
        </row>
        <row r="84">
          <cell r="B84">
            <v>138148</v>
          </cell>
          <cell r="C84">
            <v>135237</v>
          </cell>
          <cell r="D84">
            <v>145947</v>
          </cell>
          <cell r="E84">
            <v>125227</v>
          </cell>
          <cell r="F84">
            <v>113763</v>
          </cell>
          <cell r="G84">
            <v>121350</v>
          </cell>
          <cell r="H84">
            <v>116815</v>
          </cell>
          <cell r="I84">
            <v>117995</v>
          </cell>
          <cell r="J84">
            <v>103880</v>
          </cell>
          <cell r="K84">
            <v>109816</v>
          </cell>
          <cell r="L84">
            <v>122541</v>
          </cell>
          <cell r="M84">
            <v>114651</v>
          </cell>
          <cell r="O84">
            <v>1465370</v>
          </cell>
        </row>
        <row r="85">
          <cell r="B85">
            <v>11500</v>
          </cell>
          <cell r="C85">
            <v>13163</v>
          </cell>
          <cell r="D85">
            <v>13231</v>
          </cell>
          <cell r="E85">
            <v>15183</v>
          </cell>
          <cell r="F85">
            <v>13006</v>
          </cell>
          <cell r="G85">
            <v>13990</v>
          </cell>
          <cell r="H85">
            <v>16241</v>
          </cell>
          <cell r="I85">
            <v>16091</v>
          </cell>
          <cell r="J85">
            <v>15069</v>
          </cell>
          <cell r="K85">
            <v>15025</v>
          </cell>
          <cell r="L85">
            <v>13458</v>
          </cell>
          <cell r="M85">
            <v>16913</v>
          </cell>
          <cell r="O85">
            <v>172870</v>
          </cell>
        </row>
        <row r="86">
          <cell r="B86">
            <v>166396</v>
          </cell>
          <cell r="C86">
            <v>90282</v>
          </cell>
          <cell r="D86">
            <v>138376</v>
          </cell>
          <cell r="E86">
            <v>128856</v>
          </cell>
          <cell r="F86">
            <v>130042</v>
          </cell>
          <cell r="G86">
            <v>205546</v>
          </cell>
          <cell r="H86">
            <v>136752</v>
          </cell>
          <cell r="I86">
            <v>144931</v>
          </cell>
          <cell r="J86">
            <v>116486</v>
          </cell>
          <cell r="K86">
            <v>130336</v>
          </cell>
          <cell r="L86">
            <v>135377</v>
          </cell>
          <cell r="M86">
            <v>137042</v>
          </cell>
          <cell r="O86">
            <v>1660422</v>
          </cell>
        </row>
        <row r="87">
          <cell r="B87">
            <v>32853</v>
          </cell>
          <cell r="C87">
            <v>30703</v>
          </cell>
          <cell r="D87">
            <v>32754</v>
          </cell>
          <cell r="E87">
            <v>27818</v>
          </cell>
          <cell r="F87">
            <v>28139</v>
          </cell>
          <cell r="G87">
            <v>35463</v>
          </cell>
          <cell r="H87">
            <v>31160</v>
          </cell>
          <cell r="I87">
            <v>30830</v>
          </cell>
          <cell r="J87">
            <v>25016</v>
          </cell>
          <cell r="K87">
            <v>19494</v>
          </cell>
          <cell r="L87">
            <v>25008</v>
          </cell>
          <cell r="M87">
            <v>23544</v>
          </cell>
          <cell r="O87">
            <v>342782</v>
          </cell>
        </row>
        <row r="88">
          <cell r="B88">
            <v>177263</v>
          </cell>
          <cell r="C88">
            <v>149322</v>
          </cell>
          <cell r="D88">
            <v>206712</v>
          </cell>
          <cell r="E88">
            <v>182215</v>
          </cell>
          <cell r="F88">
            <v>152716</v>
          </cell>
          <cell r="G88">
            <v>208851</v>
          </cell>
          <cell r="H88">
            <v>142926</v>
          </cell>
          <cell r="I88">
            <v>163676</v>
          </cell>
          <cell r="J88">
            <v>136451</v>
          </cell>
          <cell r="K88">
            <v>142642</v>
          </cell>
          <cell r="L88">
            <v>172709</v>
          </cell>
          <cell r="M88">
            <v>127615</v>
          </cell>
          <cell r="O88">
            <v>1963098</v>
          </cell>
        </row>
        <row r="89">
          <cell r="B89">
            <v>41055</v>
          </cell>
          <cell r="C89">
            <v>32688</v>
          </cell>
          <cell r="D89">
            <v>38900</v>
          </cell>
          <cell r="E89">
            <v>30873</v>
          </cell>
          <cell r="F89">
            <v>30265</v>
          </cell>
          <cell r="G89">
            <v>40225</v>
          </cell>
          <cell r="H89">
            <v>28702</v>
          </cell>
          <cell r="I89">
            <v>27299</v>
          </cell>
          <cell r="J89">
            <v>24599</v>
          </cell>
          <cell r="K89">
            <v>29131</v>
          </cell>
          <cell r="L89">
            <v>31467</v>
          </cell>
          <cell r="M89">
            <v>28116</v>
          </cell>
          <cell r="O89">
            <v>383320</v>
          </cell>
        </row>
        <row r="90">
          <cell r="B90">
            <v>7181</v>
          </cell>
          <cell r="C90">
            <v>7570</v>
          </cell>
          <cell r="D90">
            <v>7271</v>
          </cell>
          <cell r="E90">
            <v>8090</v>
          </cell>
          <cell r="F90">
            <v>4758</v>
          </cell>
          <cell r="G90">
            <v>13412</v>
          </cell>
          <cell r="H90">
            <v>5684</v>
          </cell>
          <cell r="I90">
            <v>8039</v>
          </cell>
          <cell r="J90">
            <v>8090</v>
          </cell>
          <cell r="K90">
            <v>6977</v>
          </cell>
          <cell r="L90">
            <v>8389</v>
          </cell>
          <cell r="M90">
            <v>6180</v>
          </cell>
          <cell r="O90">
            <v>91641</v>
          </cell>
        </row>
        <row r="91">
          <cell r="B91">
            <v>15888</v>
          </cell>
          <cell r="C91">
            <v>15084</v>
          </cell>
          <cell r="D91">
            <v>14735</v>
          </cell>
          <cell r="E91">
            <v>14657</v>
          </cell>
          <cell r="F91">
            <v>12743</v>
          </cell>
          <cell r="G91">
            <v>15036</v>
          </cell>
          <cell r="H91">
            <v>16981</v>
          </cell>
          <cell r="I91">
            <v>14008</v>
          </cell>
          <cell r="J91">
            <v>13209</v>
          </cell>
          <cell r="K91">
            <v>11872</v>
          </cell>
          <cell r="L91">
            <v>12686</v>
          </cell>
          <cell r="M91">
            <v>13019</v>
          </cell>
          <cell r="O91">
            <v>169918</v>
          </cell>
        </row>
        <row r="92">
          <cell r="B92">
            <v>127561</v>
          </cell>
          <cell r="C92">
            <v>130246</v>
          </cell>
          <cell r="D92">
            <v>132043</v>
          </cell>
          <cell r="E92">
            <v>141398</v>
          </cell>
          <cell r="F92">
            <v>126602</v>
          </cell>
          <cell r="G92">
            <v>129073</v>
          </cell>
          <cell r="H92">
            <v>143057</v>
          </cell>
          <cell r="I92">
            <v>138966</v>
          </cell>
          <cell r="J92">
            <v>139063</v>
          </cell>
          <cell r="K92">
            <v>145979</v>
          </cell>
          <cell r="L92">
            <v>142035</v>
          </cell>
          <cell r="M92">
            <v>125186</v>
          </cell>
          <cell r="O92">
            <v>1621209</v>
          </cell>
        </row>
        <row r="93">
          <cell r="B93">
            <v>10151</v>
          </cell>
          <cell r="C93">
            <v>10902</v>
          </cell>
          <cell r="D93">
            <v>10579</v>
          </cell>
          <cell r="E93">
            <v>11479</v>
          </cell>
          <cell r="F93">
            <v>10694</v>
          </cell>
          <cell r="G93">
            <v>10974</v>
          </cell>
          <cell r="H93">
            <v>12123</v>
          </cell>
          <cell r="I93">
            <v>13464</v>
          </cell>
          <cell r="J93">
            <v>10270</v>
          </cell>
          <cell r="K93">
            <v>11301</v>
          </cell>
          <cell r="L93">
            <v>10931</v>
          </cell>
          <cell r="M93">
            <v>10982</v>
          </cell>
          <cell r="O93">
            <v>133850</v>
          </cell>
        </row>
        <row r="94">
          <cell r="B94">
            <v>17973</v>
          </cell>
          <cell r="C94">
            <v>17805</v>
          </cell>
          <cell r="D94">
            <v>17071</v>
          </cell>
          <cell r="E94">
            <v>17172</v>
          </cell>
          <cell r="F94">
            <v>15532</v>
          </cell>
          <cell r="G94">
            <v>15398</v>
          </cell>
          <cell r="H94">
            <v>18134</v>
          </cell>
          <cell r="I94">
            <v>17179</v>
          </cell>
          <cell r="J94">
            <v>16664</v>
          </cell>
          <cell r="K94">
            <v>17700</v>
          </cell>
          <cell r="L94">
            <v>16571</v>
          </cell>
          <cell r="M94">
            <v>15103</v>
          </cell>
          <cell r="O94">
            <v>202302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 (2)"/>
      <sheetName val="Sheet2"/>
      <sheetName val="เป้าหมาย กงป.59"/>
      <sheetName val="พ.ย.57 (4 ธ.ค.)"/>
      <sheetName val="ธ.ค.57pre"/>
      <sheetName val="Sheet1"/>
      <sheetName val="ธ.ค.57(updated)"/>
      <sheetName val="ปรับปรุง ธ.ค."/>
      <sheetName val="ปรับปรุง ก.พ.58"/>
      <sheetName val="ปรับปรุง มี.ค.58"/>
      <sheetName val="เป้าหมาย59 newform"/>
      <sheetName val="newform"/>
      <sheetName val="เป้าหมาย59(กงป)"/>
      <sheetName val="เป้าหมาย59 (ปรับปรุง ม.ค.)"/>
      <sheetName val="เป้าหมาย59(ข้อตกลง)"/>
      <sheetName val="เป้าหมายผู้ใช้น้ำขยายเขต"/>
      <sheetName val="ผู้ใช้น้ำขยายเขต"/>
      <sheetName val="ขยายเขตเข้าชอย"/>
      <sheetName val="เป้าหมาย59"/>
      <sheetName val="ต.ค.58"/>
      <sheetName val="พ.ย.58"/>
      <sheetName val="2M"/>
      <sheetName val="ธ.ค.58"/>
      <sheetName val="3M"/>
      <sheetName val="ม.ค.59"/>
      <sheetName val="4M"/>
      <sheetName val="ก.พ.59"/>
      <sheetName val="5M"/>
      <sheetName val="มี.ค.59"/>
      <sheetName val="6M"/>
      <sheetName val="เม.ย.59"/>
      <sheetName val="7M"/>
      <sheetName val="พ.ค.59"/>
      <sheetName val="8M"/>
      <sheetName val="มิ.ย.59"/>
      <sheetName val="9M"/>
      <sheetName val="ก.ค.59"/>
      <sheetName val="10M"/>
      <sheetName val="ส.ค.59"/>
      <sheetName val="11M"/>
      <sheetName val="ก.ย.59"/>
      <sheetName val="12M"/>
      <sheetName val="Sheet13"/>
      <sheetName val="KPI.ผู้ใช้น้ำสิ้นปี"/>
      <sheetName val="KPI.ผู้ใช้น้ำสิ้นปี (3)"/>
      <sheetName val="KPI.น้ำจำหน่ายสิ้นปี"/>
      <sheetName val="KPI.น้ำจำหน่ายสิ้นปี (3)"/>
      <sheetName val="KPI.อัตราการใช้น้ำ"/>
      <sheetName val="KPI.อัตราการใช้น้ำ (3)"/>
      <sheetName val="KPI น้ำสูญเสีย"/>
      <sheetName val="KPI EBITDA "/>
      <sheetName val="KPI EBITDA  (2)"/>
      <sheetName val="BU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9">
          <cell r="G9">
            <v>293</v>
          </cell>
          <cell r="H9">
            <v>7</v>
          </cell>
          <cell r="I9">
            <v>137</v>
          </cell>
          <cell r="J9">
            <v>44</v>
          </cell>
          <cell r="K9">
            <v>20</v>
          </cell>
          <cell r="L9">
            <v>36</v>
          </cell>
          <cell r="M9">
            <v>68</v>
          </cell>
          <cell r="N9">
            <v>7</v>
          </cell>
          <cell r="O9">
            <v>55</v>
          </cell>
          <cell r="P9">
            <v>4</v>
          </cell>
          <cell r="Q9">
            <v>109</v>
          </cell>
          <cell r="R9">
            <v>16</v>
          </cell>
          <cell r="S9">
            <v>22</v>
          </cell>
          <cell r="T9">
            <v>31</v>
          </cell>
          <cell r="U9">
            <v>6</v>
          </cell>
          <cell r="V9">
            <v>5</v>
          </cell>
          <cell r="W9">
            <v>15</v>
          </cell>
          <cell r="X9">
            <v>11</v>
          </cell>
          <cell r="Y9">
            <v>40</v>
          </cell>
          <cell r="Z9">
            <v>23</v>
          </cell>
          <cell r="AA9">
            <v>86</v>
          </cell>
          <cell r="AB9">
            <v>26</v>
          </cell>
          <cell r="AC9">
            <v>8</v>
          </cell>
          <cell r="AD9">
            <v>8</v>
          </cell>
          <cell r="AE9">
            <v>97</v>
          </cell>
          <cell r="AF9">
            <v>7</v>
          </cell>
          <cell r="AG9">
            <v>4</v>
          </cell>
        </row>
        <row r="28">
          <cell r="G28">
            <v>2621087</v>
          </cell>
          <cell r="H28">
            <v>47135</v>
          </cell>
          <cell r="I28">
            <v>204290.89</v>
          </cell>
          <cell r="J28">
            <v>387272</v>
          </cell>
          <cell r="K28">
            <v>90230</v>
          </cell>
          <cell r="L28">
            <v>98059</v>
          </cell>
          <cell r="M28">
            <v>129799</v>
          </cell>
          <cell r="N28">
            <v>83058</v>
          </cell>
          <cell r="O28">
            <v>262204</v>
          </cell>
          <cell r="P28">
            <v>13320</v>
          </cell>
          <cell r="Q28">
            <v>699754</v>
          </cell>
          <cell r="R28">
            <v>76565</v>
          </cell>
          <cell r="S28">
            <v>101004</v>
          </cell>
          <cell r="T28">
            <v>206726</v>
          </cell>
          <cell r="U28">
            <v>87047</v>
          </cell>
          <cell r="V28">
            <v>54498</v>
          </cell>
          <cell r="W28">
            <v>264405</v>
          </cell>
          <cell r="X28">
            <v>71025</v>
          </cell>
          <cell r="Y28">
            <v>360392</v>
          </cell>
          <cell r="Z28">
            <v>78955</v>
          </cell>
          <cell r="AA28">
            <v>555442.47</v>
          </cell>
          <cell r="AB28">
            <v>93026</v>
          </cell>
          <cell r="AC28">
            <v>39802</v>
          </cell>
          <cell r="AD28">
            <v>56461</v>
          </cell>
          <cell r="AE28">
            <v>292991</v>
          </cell>
          <cell r="AF28">
            <v>43663</v>
          </cell>
          <cell r="AG28">
            <v>64283</v>
          </cell>
        </row>
        <row r="35">
          <cell r="G35">
            <v>971711.77</v>
          </cell>
          <cell r="H35">
            <v>8732.510000000002</v>
          </cell>
          <cell r="I35">
            <v>130493.84999999998</v>
          </cell>
          <cell r="J35">
            <v>143097</v>
          </cell>
          <cell r="K35">
            <v>20125</v>
          </cell>
          <cell r="L35">
            <v>36090.880000000005</v>
          </cell>
          <cell r="M35">
            <v>52833.790000000008</v>
          </cell>
          <cell r="N35">
            <v>17931.199999999997</v>
          </cell>
          <cell r="O35">
            <v>92989</v>
          </cell>
          <cell r="P35">
            <v>4390</v>
          </cell>
          <cell r="Q35">
            <v>201723.07000000007</v>
          </cell>
          <cell r="R35">
            <v>32333.899999999994</v>
          </cell>
          <cell r="S35">
            <v>35547</v>
          </cell>
          <cell r="T35">
            <v>100318.87</v>
          </cell>
          <cell r="U35">
            <v>26521</v>
          </cell>
          <cell r="V35">
            <v>20126</v>
          </cell>
          <cell r="W35">
            <v>90308</v>
          </cell>
          <cell r="X35">
            <v>13963</v>
          </cell>
          <cell r="Y35">
            <v>175778</v>
          </cell>
          <cell r="Z35">
            <v>41202</v>
          </cell>
          <cell r="AA35">
            <v>134463.53000000003</v>
          </cell>
          <cell r="AB35">
            <v>27059.660000000003</v>
          </cell>
          <cell r="AC35">
            <v>7601</v>
          </cell>
          <cell r="AD35">
            <v>12447</v>
          </cell>
          <cell r="AE35">
            <v>120119</v>
          </cell>
          <cell r="AF35">
            <v>8129</v>
          </cell>
          <cell r="AG35">
            <v>12455</v>
          </cell>
        </row>
        <row r="37">
          <cell r="E37">
            <v>26.368307953596155</v>
          </cell>
          <cell r="G37">
            <v>27.017662116249962</v>
          </cell>
          <cell r="H37">
            <v>15.630748533449946</v>
          </cell>
          <cell r="I37">
            <v>38.977037231605053</v>
          </cell>
          <cell r="J37">
            <v>26.980649321510121</v>
          </cell>
          <cell r="K37">
            <v>18.178615625028229</v>
          </cell>
          <cell r="L37">
            <v>26.903400882654537</v>
          </cell>
          <cell r="M37">
            <v>28.888637125529272</v>
          </cell>
          <cell r="N37">
            <v>17.755561980885084</v>
          </cell>
          <cell r="O37">
            <v>26.179851517344094</v>
          </cell>
          <cell r="P37">
            <v>24.788255223037829</v>
          </cell>
          <cell r="Q37">
            <v>22.373847256140401</v>
          </cell>
          <cell r="R37">
            <v>29.691668143571693</v>
          </cell>
          <cell r="S37">
            <v>26.03203198804842</v>
          </cell>
          <cell r="T37">
            <v>32.662381677708197</v>
          </cell>
          <cell r="U37">
            <v>23.34800598644247</v>
          </cell>
          <cell r="V37">
            <v>26.9698756432247</v>
          </cell>
          <cell r="W37">
            <v>25.440163163202641</v>
          </cell>
          <cell r="X37">
            <v>16.416243416102333</v>
          </cell>
          <cell r="Y37">
            <v>32.769092529277764</v>
          </cell>
          <cell r="Z37">
            <v>34.290137070665878</v>
          </cell>
          <cell r="AA37">
            <v>19.490123292158646</v>
          </cell>
          <cell r="AB37">
            <v>22.417516833645852</v>
          </cell>
          <cell r="AC37">
            <v>16.034850114971626</v>
          </cell>
          <cell r="AD37">
            <v>18.063214721077379</v>
          </cell>
          <cell r="AE37">
            <v>29.067049326312528</v>
          </cell>
          <cell r="AF37">
            <v>15.689112770926217</v>
          </cell>
          <cell r="AG37">
            <v>16.217447916666668</v>
          </cell>
        </row>
        <row r="61">
          <cell r="E61">
            <v>147982016.53999996</v>
          </cell>
          <cell r="G61">
            <v>59055283.570000008</v>
          </cell>
          <cell r="H61">
            <v>874075.29</v>
          </cell>
          <cell r="I61">
            <v>4007436.83</v>
          </cell>
          <cell r="J61">
            <v>7456067.4799999995</v>
          </cell>
          <cell r="K61">
            <v>1852650.8000000003</v>
          </cell>
          <cell r="L61">
            <v>2039030.91</v>
          </cell>
          <cell r="M61">
            <v>2653610.36</v>
          </cell>
          <cell r="N61">
            <v>1618336.38</v>
          </cell>
          <cell r="O61">
            <v>5192167.8699999992</v>
          </cell>
          <cell r="P61">
            <v>274001.46000000002</v>
          </cell>
          <cell r="Q61">
            <v>13500048.219999999</v>
          </cell>
          <cell r="R61">
            <v>1376992.7</v>
          </cell>
          <cell r="S61">
            <v>1896817.6500000004</v>
          </cell>
          <cell r="T61">
            <v>4116456.7100000004</v>
          </cell>
          <cell r="U61">
            <v>1661082.96</v>
          </cell>
          <cell r="V61">
            <v>1036090.3</v>
          </cell>
          <cell r="W61">
            <v>5307407.6900000004</v>
          </cell>
          <cell r="X61">
            <v>1469825.3600000003</v>
          </cell>
          <cell r="Y61">
            <v>7234295.6799999997</v>
          </cell>
          <cell r="Z61">
            <v>1614618.2</v>
          </cell>
          <cell r="AA61">
            <v>11853536.809999999</v>
          </cell>
          <cell r="AB61">
            <v>1728932.16</v>
          </cell>
          <cell r="AC61">
            <v>803776.47000000009</v>
          </cell>
          <cell r="AD61">
            <v>1090017.33</v>
          </cell>
          <cell r="AE61">
            <v>6169970.0700000003</v>
          </cell>
          <cell r="AF61">
            <v>836274.4</v>
          </cell>
          <cell r="AG61">
            <v>1227162.8799999999</v>
          </cell>
        </row>
      </sheetData>
      <sheetData sheetId="20">
        <row r="9">
          <cell r="G9">
            <v>516</v>
          </cell>
          <cell r="H9">
            <v>3</v>
          </cell>
          <cell r="I9">
            <v>75</v>
          </cell>
          <cell r="J9">
            <v>193</v>
          </cell>
          <cell r="K9">
            <v>28</v>
          </cell>
          <cell r="L9">
            <v>20</v>
          </cell>
          <cell r="M9">
            <v>15</v>
          </cell>
          <cell r="N9">
            <v>18</v>
          </cell>
          <cell r="O9">
            <v>49</v>
          </cell>
          <cell r="P9">
            <v>5</v>
          </cell>
          <cell r="Q9">
            <v>103</v>
          </cell>
          <cell r="R9">
            <v>9</v>
          </cell>
          <cell r="S9">
            <v>19</v>
          </cell>
          <cell r="T9">
            <v>46</v>
          </cell>
          <cell r="U9">
            <v>14</v>
          </cell>
          <cell r="V9">
            <v>6</v>
          </cell>
          <cell r="W9">
            <v>79</v>
          </cell>
          <cell r="X9">
            <v>8</v>
          </cell>
          <cell r="Y9">
            <v>37</v>
          </cell>
          <cell r="Z9">
            <v>10</v>
          </cell>
          <cell r="AA9">
            <v>107</v>
          </cell>
          <cell r="AB9">
            <v>40</v>
          </cell>
          <cell r="AC9">
            <v>14</v>
          </cell>
          <cell r="AD9">
            <v>7</v>
          </cell>
          <cell r="AE9">
            <v>56</v>
          </cell>
          <cell r="AF9">
            <v>25</v>
          </cell>
          <cell r="AG9">
            <v>11</v>
          </cell>
        </row>
        <row r="28">
          <cell r="G28">
            <v>2733642</v>
          </cell>
          <cell r="H28">
            <v>45524</v>
          </cell>
          <cell r="I28">
            <v>225191</v>
          </cell>
          <cell r="J28">
            <v>408644</v>
          </cell>
          <cell r="K28">
            <v>96406</v>
          </cell>
          <cell r="L28">
            <v>101256</v>
          </cell>
          <cell r="M28">
            <v>130819</v>
          </cell>
          <cell r="N28">
            <v>85697</v>
          </cell>
          <cell r="O28">
            <v>270532</v>
          </cell>
          <cell r="P28">
            <v>13985</v>
          </cell>
          <cell r="Q28">
            <v>712624</v>
          </cell>
          <cell r="R28">
            <v>81775</v>
          </cell>
          <cell r="S28">
            <v>107686</v>
          </cell>
          <cell r="T28">
            <v>205379</v>
          </cell>
          <cell r="U28">
            <v>89770</v>
          </cell>
          <cell r="V28">
            <v>54978</v>
          </cell>
          <cell r="W28">
            <v>298491</v>
          </cell>
          <cell r="X28">
            <v>75434</v>
          </cell>
          <cell r="Y28">
            <v>369738</v>
          </cell>
          <cell r="Z28">
            <v>78838</v>
          </cell>
          <cell r="AA28">
            <v>578302.87</v>
          </cell>
          <cell r="AB28">
            <v>96432</v>
          </cell>
          <cell r="AC28">
            <v>37627</v>
          </cell>
          <cell r="AD28">
            <v>57594</v>
          </cell>
          <cell r="AE28">
            <v>296016</v>
          </cell>
          <cell r="AF28">
            <v>44558</v>
          </cell>
          <cell r="AG28">
            <v>65340</v>
          </cell>
        </row>
        <row r="35">
          <cell r="G35">
            <v>1249296.6600000001</v>
          </cell>
          <cell r="H35">
            <v>9495.9499999999971</v>
          </cell>
          <cell r="I35">
            <v>109732.03000000003</v>
          </cell>
          <cell r="J35">
            <v>154581</v>
          </cell>
          <cell r="K35">
            <v>21582</v>
          </cell>
          <cell r="L35">
            <v>30017.089999999997</v>
          </cell>
          <cell r="M35">
            <v>52708.31</v>
          </cell>
          <cell r="N35">
            <v>15594.479999999996</v>
          </cell>
          <cell r="O35">
            <v>95178</v>
          </cell>
          <cell r="P35">
            <v>4525</v>
          </cell>
          <cell r="Q35">
            <v>185325.32000000007</v>
          </cell>
          <cell r="R35">
            <v>24905.72</v>
          </cell>
          <cell r="S35">
            <v>31210</v>
          </cell>
          <cell r="T35">
            <v>137105.90999999997</v>
          </cell>
          <cell r="U35">
            <v>22887</v>
          </cell>
          <cell r="V35">
            <v>21227</v>
          </cell>
          <cell r="W35">
            <v>112399</v>
          </cell>
          <cell r="X35">
            <v>18437</v>
          </cell>
          <cell r="Y35">
            <v>57800</v>
          </cell>
          <cell r="Z35">
            <v>36825</v>
          </cell>
          <cell r="AA35">
            <v>106728.19000000006</v>
          </cell>
          <cell r="AB35">
            <v>20395.869999999995</v>
          </cell>
          <cell r="AC35">
            <v>7636.1100000000006</v>
          </cell>
          <cell r="AD35">
            <v>10511</v>
          </cell>
          <cell r="AE35">
            <v>126915</v>
          </cell>
          <cell r="AF35">
            <v>9124</v>
          </cell>
          <cell r="AG35">
            <v>14275</v>
          </cell>
        </row>
        <row r="37">
          <cell r="E37">
            <v>26.721559402513311</v>
          </cell>
          <cell r="G37">
            <v>31.349777055136958</v>
          </cell>
          <cell r="H37">
            <v>17.251891477473496</v>
          </cell>
          <cell r="I37">
            <v>32.763357598908627</v>
          </cell>
          <cell r="J37">
            <v>27.445692218917838</v>
          </cell>
          <cell r="K37">
            <v>18.25208890091675</v>
          </cell>
          <cell r="L37">
            <v>22.866141110870476</v>
          </cell>
          <cell r="M37">
            <v>28.681000081023296</v>
          </cell>
          <cell r="N37">
            <v>15.395648281573134</v>
          </cell>
          <cell r="O37">
            <v>26.025539361789395</v>
          </cell>
          <cell r="P37">
            <v>24.4462452728255</v>
          </cell>
          <cell r="Q37">
            <v>20.635556907762606</v>
          </cell>
          <cell r="R37">
            <v>23.346036659670087</v>
          </cell>
          <cell r="S37">
            <v>22.461963640551005</v>
          </cell>
          <cell r="T37">
            <v>40.019949566529064</v>
          </cell>
          <cell r="U37">
            <v>20.313845225309983</v>
          </cell>
          <cell r="V37">
            <v>27.849280382046942</v>
          </cell>
          <cell r="W37">
            <v>27.333523016052506</v>
          </cell>
          <cell r="X37">
            <v>19.61216066717726</v>
          </cell>
          <cell r="Y37">
            <v>13.508334034457937</v>
          </cell>
          <cell r="Z37">
            <v>31.83543264201672</v>
          </cell>
          <cell r="AA37">
            <v>15.580051216947746</v>
          </cell>
          <cell r="AB37">
            <v>17.322823611067346</v>
          </cell>
          <cell r="AC37">
            <v>16.870493432731422</v>
          </cell>
          <cell r="AD37">
            <v>15.433521767858455</v>
          </cell>
          <cell r="AE37">
            <v>30.008441093227972</v>
          </cell>
          <cell r="AF37">
            <v>16.996386125703214</v>
          </cell>
          <cell r="AG37">
            <v>17.927561349308014</v>
          </cell>
        </row>
        <row r="61">
          <cell r="E61">
            <v>154008039.15000001</v>
          </cell>
          <cell r="G61">
            <v>60275003.82</v>
          </cell>
          <cell r="H61">
            <v>832809.31</v>
          </cell>
          <cell r="I61">
            <v>4072921.38</v>
          </cell>
          <cell r="J61">
            <v>8782981.9199999999</v>
          </cell>
          <cell r="K61">
            <v>1955409.7199999997</v>
          </cell>
          <cell r="L61">
            <v>2092180.57</v>
          </cell>
          <cell r="M61">
            <v>2661855.35</v>
          </cell>
          <cell r="N61">
            <v>1766192.42</v>
          </cell>
          <cell r="O61">
            <v>5337525.5100000007</v>
          </cell>
          <cell r="P61">
            <v>285830.59999999998</v>
          </cell>
          <cell r="Q61">
            <v>13802768.709999999</v>
          </cell>
          <cell r="R61">
            <v>1467263.41</v>
          </cell>
          <cell r="S61">
            <v>1995703.42</v>
          </cell>
          <cell r="T61">
            <v>4108773.79</v>
          </cell>
          <cell r="U61">
            <v>1773298.5700000003</v>
          </cell>
          <cell r="V61">
            <v>1042406.8599999998</v>
          </cell>
          <cell r="W61">
            <v>5819231.4100000001</v>
          </cell>
          <cell r="X61">
            <v>1538593.46</v>
          </cell>
          <cell r="Y61">
            <v>8834326.7300000004</v>
          </cell>
          <cell r="Z61">
            <v>1586946.8200000003</v>
          </cell>
          <cell r="AA61">
            <v>12212976.27</v>
          </cell>
          <cell r="AB61">
            <v>1814410.8199999998</v>
          </cell>
          <cell r="AC61">
            <v>762839.87</v>
          </cell>
          <cell r="AD61">
            <v>1115900.8400000001</v>
          </cell>
          <cell r="AE61">
            <v>5951333.6900000004</v>
          </cell>
          <cell r="AF61">
            <v>862922.34</v>
          </cell>
          <cell r="AG61">
            <v>1234531.5399999998</v>
          </cell>
        </row>
      </sheetData>
      <sheetData sheetId="21">
        <row r="37">
          <cell r="E37">
            <v>26.548759787957575</v>
          </cell>
          <cell r="G37">
            <v>29.294698207474507</v>
          </cell>
          <cell r="H37">
            <v>16.435293839733415</v>
          </cell>
          <cell r="I37">
            <v>35.869611554098221</v>
          </cell>
          <cell r="J37">
            <v>27.220156657772442</v>
          </cell>
          <cell r="K37">
            <v>18.216561622355876</v>
          </cell>
          <cell r="L37">
            <v>24.906649940658859</v>
          </cell>
          <cell r="M37">
            <v>28.784567589614518</v>
          </cell>
          <cell r="N37">
            <v>16.573841851826874</v>
          </cell>
          <cell r="O37">
            <v>26.101569836718667</v>
          </cell>
          <cell r="P37">
            <v>24.613473219215905</v>
          </cell>
          <cell r="Q37">
            <v>21.506399501527319</v>
          </cell>
          <cell r="R37">
            <v>26.551498699181302</v>
          </cell>
          <cell r="S37">
            <v>24.23147983462615</v>
          </cell>
          <cell r="T37">
            <v>36.541911891839604</v>
          </cell>
          <cell r="U37">
            <v>21.837114431818684</v>
          </cell>
          <cell r="V37">
            <v>27.414233153236765</v>
          </cell>
          <cell r="W37">
            <v>26.456319866352562</v>
          </cell>
          <cell r="X37">
            <v>18.094089264173704</v>
          </cell>
          <cell r="Y37">
            <v>24.222595089899595</v>
          </cell>
          <cell r="Z37">
            <v>33.086121358605773</v>
          </cell>
          <cell r="AA37">
            <v>17.542018977945084</v>
          </cell>
          <cell r="AB37">
            <v>19.901875267904849</v>
          </cell>
          <cell r="AC37">
            <v>16.443023236866207</v>
          </cell>
          <cell r="AD37">
            <v>16.756074241130403</v>
          </cell>
          <cell r="AE37">
            <v>29.543195894658918</v>
          </cell>
          <cell r="AF37">
            <v>16.354329589080052</v>
          </cell>
          <cell r="AG37">
            <v>17.087952130719959</v>
          </cell>
        </row>
      </sheetData>
      <sheetData sheetId="22">
        <row r="9">
          <cell r="G9">
            <v>482</v>
          </cell>
          <cell r="H9">
            <v>6</v>
          </cell>
          <cell r="I9">
            <v>57</v>
          </cell>
          <cell r="J9">
            <v>80</v>
          </cell>
          <cell r="K9">
            <v>25</v>
          </cell>
          <cell r="L9">
            <v>13</v>
          </cell>
          <cell r="M9">
            <v>10</v>
          </cell>
          <cell r="N9">
            <v>14</v>
          </cell>
          <cell r="O9">
            <v>63</v>
          </cell>
          <cell r="P9">
            <v>8</v>
          </cell>
          <cell r="Q9">
            <v>81</v>
          </cell>
          <cell r="R9">
            <v>11</v>
          </cell>
          <cell r="S9">
            <v>20</v>
          </cell>
          <cell r="T9">
            <v>48</v>
          </cell>
          <cell r="U9">
            <v>14</v>
          </cell>
          <cell r="V9">
            <v>5</v>
          </cell>
          <cell r="W9">
            <v>21</v>
          </cell>
          <cell r="X9">
            <v>10</v>
          </cell>
          <cell r="Y9">
            <v>173</v>
          </cell>
          <cell r="Z9">
            <v>10</v>
          </cell>
          <cell r="AA9">
            <v>160</v>
          </cell>
          <cell r="AB9">
            <v>17</v>
          </cell>
          <cell r="AC9">
            <v>5</v>
          </cell>
          <cell r="AD9">
            <v>22</v>
          </cell>
          <cell r="AE9">
            <v>96</v>
          </cell>
          <cell r="AF9">
            <v>17</v>
          </cell>
          <cell r="AG9">
            <v>9</v>
          </cell>
        </row>
        <row r="28">
          <cell r="G28">
            <v>2668942</v>
          </cell>
          <cell r="H28">
            <v>46587</v>
          </cell>
          <cell r="I28">
            <v>219471.04</v>
          </cell>
          <cell r="J28">
            <v>404550</v>
          </cell>
          <cell r="K28">
            <v>91666.209999999992</v>
          </cell>
          <cell r="L28">
            <v>95196</v>
          </cell>
          <cell r="M28">
            <v>130229</v>
          </cell>
          <cell r="N28">
            <v>87051</v>
          </cell>
          <cell r="O28">
            <v>264940</v>
          </cell>
          <cell r="P28">
            <v>14979</v>
          </cell>
          <cell r="Q28">
            <v>700062</v>
          </cell>
          <cell r="R28">
            <v>81583</v>
          </cell>
          <cell r="S28">
            <v>110127</v>
          </cell>
          <cell r="T28">
            <v>211785</v>
          </cell>
          <cell r="U28">
            <v>85531</v>
          </cell>
          <cell r="V28">
            <v>58288</v>
          </cell>
          <cell r="W28">
            <v>281043</v>
          </cell>
          <cell r="X28">
            <v>71960</v>
          </cell>
          <cell r="Y28">
            <v>359992</v>
          </cell>
          <cell r="Z28">
            <v>77099</v>
          </cell>
          <cell r="AA28">
            <v>537351.32999999996</v>
          </cell>
          <cell r="AB28">
            <v>88274</v>
          </cell>
          <cell r="AC28">
            <v>41245</v>
          </cell>
          <cell r="AD28">
            <v>51637</v>
          </cell>
          <cell r="AE28">
            <v>301109</v>
          </cell>
          <cell r="AF28">
            <v>43369</v>
          </cell>
          <cell r="AG28">
            <v>64063</v>
          </cell>
        </row>
        <row r="35">
          <cell r="G35">
            <v>1448249.31</v>
          </cell>
          <cell r="H35">
            <v>10260.010000000002</v>
          </cell>
          <cell r="I35">
            <v>111547.74999999997</v>
          </cell>
          <cell r="J35">
            <v>160434</v>
          </cell>
          <cell r="K35">
            <v>43179.790000000008</v>
          </cell>
          <cell r="L35">
            <v>36034.700000000012</v>
          </cell>
          <cell r="M35">
            <v>52658.290000000008</v>
          </cell>
          <cell r="N35">
            <v>12430</v>
          </cell>
          <cell r="O35">
            <v>92342</v>
          </cell>
          <cell r="P35">
            <v>4826</v>
          </cell>
          <cell r="Q35">
            <v>226279.12</v>
          </cell>
          <cell r="R35">
            <v>23646</v>
          </cell>
          <cell r="S35">
            <v>36563</v>
          </cell>
          <cell r="T35">
            <v>126039.45000000001</v>
          </cell>
          <cell r="U35">
            <v>28092</v>
          </cell>
          <cell r="V35">
            <v>20448</v>
          </cell>
          <cell r="W35">
            <v>106876</v>
          </cell>
          <cell r="X35">
            <v>18911</v>
          </cell>
          <cell r="Y35">
            <v>138316</v>
          </cell>
          <cell r="Z35">
            <v>40908</v>
          </cell>
          <cell r="AA35">
            <v>178222.88</v>
          </cell>
          <cell r="AB35">
            <v>30985</v>
          </cell>
          <cell r="AC35">
            <v>4638.7099999999991</v>
          </cell>
          <cell r="AD35">
            <v>10836</v>
          </cell>
          <cell r="AE35">
            <v>129179</v>
          </cell>
          <cell r="AF35">
            <v>9045</v>
          </cell>
          <cell r="AG35">
            <v>13733</v>
          </cell>
        </row>
        <row r="37">
          <cell r="E37">
            <v>30.216211521295278</v>
          </cell>
          <cell r="G37">
            <v>35.158890622164961</v>
          </cell>
          <cell r="H37">
            <v>18.038940513926455</v>
          </cell>
          <cell r="I37">
            <v>33.698313621411032</v>
          </cell>
          <cell r="J37">
            <v>28.396202370332613</v>
          </cell>
          <cell r="K37">
            <v>31.931809946385659</v>
          </cell>
          <cell r="L37">
            <v>27.459047311337979</v>
          </cell>
          <cell r="M37">
            <v>28.757376143348985</v>
          </cell>
          <cell r="N37">
            <v>12.494848262482282</v>
          </cell>
          <cell r="O37">
            <v>25.84330352769965</v>
          </cell>
          <cell r="P37">
            <v>24.367583943448622</v>
          </cell>
          <cell r="Q37">
            <v>24.422129669795289</v>
          </cell>
          <cell r="R37">
            <v>22.467148707326576</v>
          </cell>
          <cell r="S37">
            <v>24.925352784784238</v>
          </cell>
          <cell r="T37">
            <v>37.28531600286297</v>
          </cell>
          <cell r="U37">
            <v>24.720168954593451</v>
          </cell>
          <cell r="V37">
            <v>25.961758208273022</v>
          </cell>
          <cell r="W37">
            <v>27.537199026061863</v>
          </cell>
          <cell r="X37">
            <v>20.790685913433524</v>
          </cell>
          <cell r="Y37">
            <v>27.725137958198616</v>
          </cell>
          <cell r="Z37">
            <v>34.665740167956137</v>
          </cell>
          <cell r="AA37">
            <v>24.906274920109269</v>
          </cell>
          <cell r="AB37">
            <v>25.74488591986972</v>
          </cell>
          <cell r="AC37">
            <v>10.109709960245148</v>
          </cell>
          <cell r="AD37">
            <v>17.345093080210653</v>
          </cell>
          <cell r="AE37">
            <v>30.015660870130954</v>
          </cell>
          <cell r="AF37">
            <v>17.251244492761916</v>
          </cell>
          <cell r="AG37">
            <v>17.649856055932553</v>
          </cell>
        </row>
        <row r="61">
          <cell r="E61">
            <v>149703294.15000001</v>
          </cell>
          <cell r="G61">
            <v>59445871.980000004</v>
          </cell>
          <cell r="H61">
            <v>858986.15999999992</v>
          </cell>
          <cell r="I61">
            <v>4462754.43</v>
          </cell>
          <cell r="J61">
            <v>7880494.9000000004</v>
          </cell>
          <cell r="K61">
            <v>1898508.4100000001</v>
          </cell>
          <cell r="L61">
            <v>1987958.38</v>
          </cell>
          <cell r="M61">
            <v>2780019.61</v>
          </cell>
          <cell r="N61">
            <v>1687108.5599999998</v>
          </cell>
          <cell r="O61">
            <v>5291703.1099999994</v>
          </cell>
          <cell r="P61">
            <v>314885.01999999996</v>
          </cell>
          <cell r="Q61">
            <v>13548706.130000001</v>
          </cell>
          <cell r="R61">
            <v>1462777.3699999999</v>
          </cell>
          <cell r="S61">
            <v>2077428.27</v>
          </cell>
          <cell r="T61">
            <v>4241343.3699999992</v>
          </cell>
          <cell r="U61">
            <v>1641984.41</v>
          </cell>
          <cell r="V61">
            <v>1112524.2300000002</v>
          </cell>
          <cell r="W61">
            <v>5655955.5300000003</v>
          </cell>
          <cell r="X61">
            <v>1465880.8499999999</v>
          </cell>
          <cell r="Y61">
            <v>7106233.2700000005</v>
          </cell>
          <cell r="Z61">
            <v>1557113.24</v>
          </cell>
          <cell r="AA61">
            <v>11520040.490000002</v>
          </cell>
          <cell r="AB61">
            <v>1650638.7799999998</v>
          </cell>
          <cell r="AC61">
            <v>819925.74</v>
          </cell>
          <cell r="AD61">
            <v>1031756.68</v>
          </cell>
          <cell r="AE61">
            <v>6101919.9900000002</v>
          </cell>
          <cell r="AF61">
            <v>849527.59999999986</v>
          </cell>
          <cell r="AG61">
            <v>1215997.6399999999</v>
          </cell>
        </row>
      </sheetData>
      <sheetData sheetId="23">
        <row r="37">
          <cell r="E37">
            <v>27.809380887327972</v>
          </cell>
          <cell r="G37">
            <v>31.35913827770484</v>
          </cell>
          <cell r="H37">
            <v>16.978901940651468</v>
          </cell>
          <cell r="I37">
            <v>35.151401580848443</v>
          </cell>
          <cell r="J37">
            <v>27.620769116677057</v>
          </cell>
          <cell r="K37">
            <v>23.309276283994564</v>
          </cell>
          <cell r="L37">
            <v>25.751096668284951</v>
          </cell>
          <cell r="M37">
            <v>28.775510987334279</v>
          </cell>
          <cell r="N37">
            <v>15.229130484692421</v>
          </cell>
          <cell r="O37">
            <v>26.015981925733016</v>
          </cell>
          <cell r="P37">
            <v>24.526550647032575</v>
          </cell>
          <cell r="Q37">
            <v>22.497338634328866</v>
          </cell>
          <cell r="R37">
            <v>25.211629882832042</v>
          </cell>
          <cell r="S37">
            <v>24.472567843159549</v>
          </cell>
          <cell r="T37">
            <v>36.796323180372077</v>
          </cell>
          <cell r="U37">
            <v>22.801025016402026</v>
          </cell>
          <cell r="V37">
            <v>26.915991237200959</v>
          </cell>
          <cell r="W37">
            <v>26.819745129124762</v>
          </cell>
          <cell r="X37">
            <v>19.002455346396417</v>
          </cell>
          <cell r="Y37">
            <v>25.416814461095385</v>
          </cell>
          <cell r="Z37">
            <v>33.612934769399473</v>
          </cell>
          <cell r="AA37">
            <v>20.062776317871755</v>
          </cell>
          <cell r="AB37">
            <v>21.861815918120534</v>
          </cell>
          <cell r="AC37">
            <v>14.345612285891102</v>
          </cell>
          <cell r="AD37">
            <v>16.940537180554024</v>
          </cell>
          <cell r="AE37">
            <v>29.703738736142483</v>
          </cell>
          <cell r="AF37">
            <v>16.652102883629041</v>
          </cell>
          <cell r="AG37">
            <v>17.274605736144196</v>
          </cell>
        </row>
      </sheetData>
      <sheetData sheetId="24">
        <row r="9">
          <cell r="G9">
            <v>301</v>
          </cell>
          <cell r="H9">
            <v>5</v>
          </cell>
          <cell r="I9">
            <v>75</v>
          </cell>
          <cell r="J9">
            <v>40</v>
          </cell>
          <cell r="K9">
            <v>21</v>
          </cell>
          <cell r="L9">
            <v>36</v>
          </cell>
          <cell r="M9">
            <v>19</v>
          </cell>
          <cell r="N9">
            <v>13</v>
          </cell>
          <cell r="O9">
            <v>40</v>
          </cell>
          <cell r="P9">
            <v>2</v>
          </cell>
          <cell r="Q9">
            <v>120</v>
          </cell>
          <cell r="R9">
            <v>17</v>
          </cell>
          <cell r="S9">
            <v>23</v>
          </cell>
          <cell r="T9">
            <v>40</v>
          </cell>
          <cell r="U9">
            <v>9</v>
          </cell>
          <cell r="V9">
            <v>3</v>
          </cell>
          <cell r="W9">
            <v>45</v>
          </cell>
          <cell r="X9">
            <v>14</v>
          </cell>
          <cell r="Y9">
            <v>106</v>
          </cell>
          <cell r="Z9">
            <v>19</v>
          </cell>
          <cell r="AA9">
            <v>68</v>
          </cell>
          <cell r="AB9">
            <v>30</v>
          </cell>
          <cell r="AC9">
            <v>4</v>
          </cell>
          <cell r="AD9">
            <v>11</v>
          </cell>
          <cell r="AE9">
            <v>56</v>
          </cell>
          <cell r="AF9">
            <v>49</v>
          </cell>
          <cell r="AG9">
            <v>18</v>
          </cell>
        </row>
        <row r="28">
          <cell r="G28">
            <v>2816494</v>
          </cell>
          <cell r="H28">
            <v>51525</v>
          </cell>
          <cell r="I28">
            <v>234080.65</v>
          </cell>
          <cell r="J28">
            <v>424205</v>
          </cell>
          <cell r="K28">
            <v>105293.32</v>
          </cell>
          <cell r="L28">
            <v>96860.5</v>
          </cell>
          <cell r="M28">
            <v>133947</v>
          </cell>
          <cell r="N28">
            <v>86094</v>
          </cell>
          <cell r="O28">
            <v>265081</v>
          </cell>
          <cell r="P28">
            <v>14609</v>
          </cell>
          <cell r="Q28">
            <v>712376</v>
          </cell>
          <cell r="R28">
            <v>83429</v>
          </cell>
          <cell r="S28">
            <v>113283.44</v>
          </cell>
          <cell r="T28">
            <v>209063</v>
          </cell>
          <cell r="U28">
            <v>86754</v>
          </cell>
          <cell r="V28">
            <v>53742</v>
          </cell>
          <cell r="W28">
            <v>286645</v>
          </cell>
          <cell r="X28">
            <v>76972</v>
          </cell>
          <cell r="Y28">
            <v>371440</v>
          </cell>
          <cell r="Z28">
            <v>83758</v>
          </cell>
          <cell r="AA28">
            <v>592054.21</v>
          </cell>
          <cell r="AB28">
            <v>94954</v>
          </cell>
          <cell r="AC28">
            <v>39915</v>
          </cell>
          <cell r="AD28">
            <v>56474</v>
          </cell>
          <cell r="AE28">
            <v>315175</v>
          </cell>
          <cell r="AF28">
            <v>47385</v>
          </cell>
          <cell r="AG28">
            <v>69396</v>
          </cell>
        </row>
        <row r="35">
          <cell r="G35">
            <v>1114717.4100000001</v>
          </cell>
          <cell r="H35">
            <v>8053.6699999999983</v>
          </cell>
          <cell r="I35">
            <v>110420.32999999999</v>
          </cell>
          <cell r="J35">
            <v>269651</v>
          </cell>
          <cell r="K35">
            <v>41068.679999999993</v>
          </cell>
          <cell r="L35">
            <v>34616.350000000006</v>
          </cell>
          <cell r="M35">
            <v>58513.200000000012</v>
          </cell>
          <cell r="N35">
            <v>3217.6499999999942</v>
          </cell>
          <cell r="O35">
            <v>90934</v>
          </cell>
          <cell r="P35">
            <v>4716</v>
          </cell>
          <cell r="Q35">
            <v>213422.96999999997</v>
          </cell>
          <cell r="R35">
            <v>18621.240000000002</v>
          </cell>
          <cell r="S35">
            <v>40742.559999999998</v>
          </cell>
          <cell r="T35">
            <v>124840.81</v>
          </cell>
          <cell r="U35">
            <v>27710</v>
          </cell>
          <cell r="V35">
            <v>16896</v>
          </cell>
          <cell r="W35">
            <v>103833</v>
          </cell>
          <cell r="X35">
            <v>21113</v>
          </cell>
          <cell r="Y35">
            <v>169410</v>
          </cell>
          <cell r="Z35">
            <v>32686</v>
          </cell>
          <cell r="AA35">
            <v>166110.57000000007</v>
          </cell>
          <cell r="AB35">
            <v>27138.17</v>
          </cell>
          <cell r="AC35">
            <v>6802.0400000000009</v>
          </cell>
          <cell r="AD35">
            <v>10703</v>
          </cell>
          <cell r="AE35">
            <v>141678</v>
          </cell>
          <cell r="AF35">
            <v>9780</v>
          </cell>
          <cell r="AG35">
            <v>14133</v>
          </cell>
        </row>
        <row r="37">
          <cell r="E37">
            <v>27.682386307530766</v>
          </cell>
          <cell r="G37">
            <v>28.334905760050678</v>
          </cell>
          <cell r="H37">
            <v>13.512037094360126</v>
          </cell>
          <cell r="I37">
            <v>32.05225424903</v>
          </cell>
          <cell r="J37">
            <v>38.862674676013462</v>
          </cell>
          <cell r="K37">
            <v>27.973081769573948</v>
          </cell>
          <cell r="L37">
            <v>26.328855612223752</v>
          </cell>
          <cell r="M37">
            <v>30.382704561881585</v>
          </cell>
          <cell r="N37">
            <v>3.6026004692399223</v>
          </cell>
          <cell r="O37">
            <v>25.542182211423675</v>
          </cell>
          <cell r="P37">
            <v>24.403622250970248</v>
          </cell>
          <cell r="Q37">
            <v>23.045075257018063</v>
          </cell>
          <cell r="R37">
            <v>18.213629891212598</v>
          </cell>
          <cell r="S37">
            <v>26.451741913702882</v>
          </cell>
          <cell r="T37">
            <v>37.366209917300111</v>
          </cell>
          <cell r="U37">
            <v>24.205735649955887</v>
          </cell>
          <cell r="V37">
            <v>23.915751330540143</v>
          </cell>
          <cell r="W37">
            <v>26.560169849207671</v>
          </cell>
          <cell r="X37">
            <v>21.506132094690951</v>
          </cell>
          <cell r="Y37">
            <v>31.284914137767377</v>
          </cell>
          <cell r="Z37">
            <v>28.070145305898116</v>
          </cell>
          <cell r="AA37">
            <v>21.909560346498829</v>
          </cell>
          <cell r="AB37">
            <v>21.999491399718394</v>
          </cell>
          <cell r="AC37">
            <v>14.560083429943338</v>
          </cell>
          <cell r="AD37">
            <v>15.932536433600786</v>
          </cell>
          <cell r="AE37">
            <v>31.011725872435992</v>
          </cell>
          <cell r="AF37">
            <v>17.106575011806687</v>
          </cell>
          <cell r="AG37">
            <v>16.910154707634874</v>
          </cell>
        </row>
        <row r="61">
          <cell r="E61">
            <v>155562826.60000002</v>
          </cell>
          <cell r="G61">
            <v>61875669.330000006</v>
          </cell>
          <cell r="H61">
            <v>954000.23999999987</v>
          </cell>
          <cell r="I61">
            <v>4524999.4000000004</v>
          </cell>
          <cell r="J61">
            <v>8361683.8799999999</v>
          </cell>
          <cell r="K61">
            <v>2160229.81</v>
          </cell>
          <cell r="L61">
            <v>2018167.9899999998</v>
          </cell>
          <cell r="M61">
            <v>2753860.4600000004</v>
          </cell>
          <cell r="N61">
            <v>1688554.4</v>
          </cell>
          <cell r="O61">
            <v>5147717.8999999994</v>
          </cell>
          <cell r="P61">
            <v>295790.28999999998</v>
          </cell>
          <cell r="Q61">
            <v>14051047.810000002</v>
          </cell>
          <cell r="R61">
            <v>1501147.6400000001</v>
          </cell>
          <cell r="S61">
            <v>2114402.4899999998</v>
          </cell>
          <cell r="T61">
            <v>4172936.9699999997</v>
          </cell>
          <cell r="U61">
            <v>1643638.9200000002</v>
          </cell>
          <cell r="V61">
            <v>1010082.2</v>
          </cell>
          <cell r="W61">
            <v>5812976.8700000001</v>
          </cell>
          <cell r="X61">
            <v>1572540.5999999999</v>
          </cell>
          <cell r="Y61">
            <v>7463350.7800000003</v>
          </cell>
          <cell r="Z61">
            <v>1694953.82</v>
          </cell>
          <cell r="AA61">
            <v>12350906.009999998</v>
          </cell>
          <cell r="AB61">
            <v>1774193.29</v>
          </cell>
          <cell r="AC61">
            <v>787443.49</v>
          </cell>
          <cell r="AD61">
            <v>1104316.49</v>
          </cell>
          <cell r="AE61">
            <v>6392244.3399999999</v>
          </cell>
          <cell r="AF61">
            <v>946642.65000000014</v>
          </cell>
          <cell r="AG61">
            <v>1337728.5299999998</v>
          </cell>
        </row>
      </sheetData>
      <sheetData sheetId="25">
        <row r="37">
          <cell r="E37">
            <v>27.776658232373435</v>
          </cell>
          <cell r="G37">
            <v>30.598173119037174</v>
          </cell>
          <cell r="H37">
            <v>16.07016878494035</v>
          </cell>
          <cell r="I37">
            <v>34.357744197735961</v>
          </cell>
          <cell r="J37">
            <v>30.936595883242635</v>
          </cell>
          <cell r="K37">
            <v>24.649254096451802</v>
          </cell>
          <cell r="L37">
            <v>25.894928397624135</v>
          </cell>
          <cell r="M37">
            <v>29.192457276783411</v>
          </cell>
          <cell r="N37">
            <v>12.573844599595162</v>
          </cell>
          <cell r="O37">
            <v>25.898372161287604</v>
          </cell>
          <cell r="P37">
            <v>24.495023224950234</v>
          </cell>
          <cell r="Q37">
            <v>22.636226525514321</v>
          </cell>
          <cell r="R37">
            <v>23.520490584226671</v>
          </cell>
          <cell r="S37">
            <v>25.001615721963926</v>
          </cell>
          <cell r="T37">
            <v>36.940360822881431</v>
          </cell>
          <cell r="U37">
            <v>23.154934041120313</v>
          </cell>
          <cell r="V37">
            <v>26.210054786764587</v>
          </cell>
          <cell r="W37">
            <v>26.75407459658501</v>
          </cell>
          <cell r="X37">
            <v>19.670011814391831</v>
          </cell>
          <cell r="Y37">
            <v>27.001907528752607</v>
          </cell>
          <cell r="Z37">
            <v>32.24051152396121</v>
          </cell>
          <cell r="AA37">
            <v>20.554291176773155</v>
          </cell>
          <cell r="AB37">
            <v>21.897039507864307</v>
          </cell>
          <cell r="AC37">
            <v>14.399693501579296</v>
          </cell>
          <cell r="AD37">
            <v>16.686604440811063</v>
          </cell>
          <cell r="AE37">
            <v>30.050469884020231</v>
          </cell>
          <cell r="AF37">
            <v>16.772897808895522</v>
          </cell>
          <cell r="AG37">
            <v>17.178763478923006</v>
          </cell>
        </row>
      </sheetData>
      <sheetData sheetId="26">
        <row r="9">
          <cell r="G9">
            <v>434</v>
          </cell>
          <cell r="H9">
            <v>28</v>
          </cell>
          <cell r="I9">
            <v>155</v>
          </cell>
          <cell r="J9">
            <v>84</v>
          </cell>
          <cell r="K9">
            <v>20</v>
          </cell>
          <cell r="L9">
            <v>18</v>
          </cell>
          <cell r="M9">
            <v>11</v>
          </cell>
          <cell r="N9">
            <v>12</v>
          </cell>
          <cell r="O9">
            <v>116</v>
          </cell>
          <cell r="P9">
            <v>12</v>
          </cell>
          <cell r="Q9">
            <v>61</v>
          </cell>
          <cell r="R9">
            <v>21</v>
          </cell>
          <cell r="S9">
            <v>38</v>
          </cell>
          <cell r="T9">
            <v>23</v>
          </cell>
          <cell r="U9">
            <v>12</v>
          </cell>
          <cell r="V9">
            <v>8</v>
          </cell>
          <cell r="W9">
            <v>29</v>
          </cell>
          <cell r="X9">
            <v>17</v>
          </cell>
          <cell r="Y9">
            <v>90</v>
          </cell>
          <cell r="Z9">
            <v>14</v>
          </cell>
          <cell r="AA9">
            <v>218</v>
          </cell>
          <cell r="AB9">
            <v>97</v>
          </cell>
          <cell r="AC9">
            <v>14</v>
          </cell>
          <cell r="AD9">
            <v>9</v>
          </cell>
          <cell r="AE9">
            <v>50</v>
          </cell>
          <cell r="AF9">
            <v>78</v>
          </cell>
          <cell r="AG9">
            <v>13</v>
          </cell>
        </row>
        <row r="28">
          <cell r="G28">
            <v>2692452</v>
          </cell>
          <cell r="H28">
            <v>46344</v>
          </cell>
          <cell r="I28">
            <v>222388</v>
          </cell>
          <cell r="J28">
            <v>402766</v>
          </cell>
          <cell r="K28">
            <v>99144.03</v>
          </cell>
          <cell r="L28">
            <v>96929.5</v>
          </cell>
          <cell r="M28">
            <v>132512</v>
          </cell>
          <cell r="N28">
            <v>83330</v>
          </cell>
          <cell r="O28">
            <v>263277</v>
          </cell>
          <cell r="P28">
            <v>13882</v>
          </cell>
          <cell r="Q28">
            <v>689081</v>
          </cell>
          <cell r="R28">
            <v>77948.399999999994</v>
          </cell>
          <cell r="S28">
            <v>108904.64</v>
          </cell>
          <cell r="T28">
            <v>207081</v>
          </cell>
          <cell r="U28">
            <v>83277</v>
          </cell>
          <cell r="V28">
            <v>53291</v>
          </cell>
          <cell r="W28">
            <v>271310</v>
          </cell>
          <cell r="X28">
            <v>71334</v>
          </cell>
          <cell r="Y28">
            <v>363405</v>
          </cell>
          <cell r="Z28">
            <v>77681</v>
          </cell>
          <cell r="AA28">
            <v>577727.81999999995</v>
          </cell>
          <cell r="AB28">
            <v>85816</v>
          </cell>
          <cell r="AC28">
            <v>38653</v>
          </cell>
          <cell r="AD28">
            <v>52615</v>
          </cell>
          <cell r="AE28">
            <v>306306</v>
          </cell>
          <cell r="AF28">
            <v>45868</v>
          </cell>
          <cell r="AG28">
            <v>65981</v>
          </cell>
        </row>
        <row r="35">
          <cell r="G35">
            <v>1156685</v>
          </cell>
          <cell r="H35">
            <v>6780.6999999999971</v>
          </cell>
          <cell r="I35">
            <v>113238.90000000002</v>
          </cell>
          <cell r="J35">
            <v>253177</v>
          </cell>
          <cell r="K35">
            <v>39195.97</v>
          </cell>
          <cell r="L35">
            <v>34864.950000000012</v>
          </cell>
          <cell r="M35">
            <v>56217.25</v>
          </cell>
          <cell r="N35">
            <v>8454.3800000000047</v>
          </cell>
          <cell r="O35">
            <v>90238</v>
          </cell>
          <cell r="P35">
            <v>4580</v>
          </cell>
          <cell r="Q35">
            <v>179492.15000000002</v>
          </cell>
          <cell r="R35">
            <v>16089.420000000013</v>
          </cell>
          <cell r="S35">
            <v>28812.36</v>
          </cell>
          <cell r="T35">
            <v>100901.32</v>
          </cell>
          <cell r="U35">
            <v>25521</v>
          </cell>
          <cell r="V35">
            <v>16901</v>
          </cell>
          <cell r="W35">
            <v>87500</v>
          </cell>
          <cell r="X35">
            <v>19434</v>
          </cell>
          <cell r="Y35">
            <v>142025</v>
          </cell>
          <cell r="Z35">
            <v>29071</v>
          </cell>
          <cell r="AA35">
            <v>155773.18000000005</v>
          </cell>
          <cell r="AB35">
            <v>34468.039999999994</v>
          </cell>
          <cell r="AC35">
            <v>2697.7799999999988</v>
          </cell>
          <cell r="AD35">
            <v>10808</v>
          </cell>
          <cell r="AE35">
            <v>122217</v>
          </cell>
          <cell r="AF35">
            <v>9469</v>
          </cell>
          <cell r="AG35">
            <v>13589</v>
          </cell>
        </row>
        <row r="37">
          <cell r="E37">
            <v>27.597419459087881</v>
          </cell>
          <cell r="G37">
            <v>30.025813137183949</v>
          </cell>
          <cell r="H37">
            <v>12.763742665840933</v>
          </cell>
          <cell r="I37">
            <v>33.739518495090834</v>
          </cell>
          <cell r="J37">
            <v>38.59740861629745</v>
          </cell>
          <cell r="K37">
            <v>28.212341289263815</v>
          </cell>
          <cell r="L37">
            <v>26.427566268932427</v>
          </cell>
          <cell r="M37">
            <v>29.761386391520077</v>
          </cell>
          <cell r="N37">
            <v>9.211031212160373</v>
          </cell>
          <cell r="O37">
            <v>25.525932421537984</v>
          </cell>
          <cell r="P37">
            <v>24.80771314050482</v>
          </cell>
          <cell r="Q37">
            <v>20.658656703886297</v>
          </cell>
          <cell r="R37">
            <v>17.10952040359933</v>
          </cell>
          <cell r="S37">
            <v>20.918691690565218</v>
          </cell>
          <cell r="T37">
            <v>32.741956649307923</v>
          </cell>
          <cell r="U37">
            <v>23.453352448169387</v>
          </cell>
          <cell r="V37">
            <v>24.071726652518834</v>
          </cell>
          <cell r="W37">
            <v>24.362672487721213</v>
          </cell>
          <cell r="X37">
            <v>21.376951084027233</v>
          </cell>
          <cell r="Y37">
            <v>28.067072447729341</v>
          </cell>
          <cell r="Z37">
            <v>27.232276678657076</v>
          </cell>
          <cell r="AA37">
            <v>21.236941735594094</v>
          </cell>
          <cell r="AB37">
            <v>28.373184819622878</v>
          </cell>
          <cell r="AC37">
            <v>6.524133281161804</v>
          </cell>
          <cell r="AD37">
            <v>17.041136496223768</v>
          </cell>
          <cell r="AE37">
            <v>28.519724176555005</v>
          </cell>
          <cell r="AF37">
            <v>17.110589085652332</v>
          </cell>
          <cell r="AG37">
            <v>17.06753413130032</v>
          </cell>
        </row>
        <row r="61">
          <cell r="E61">
            <v>149746938.40000004</v>
          </cell>
          <cell r="G61">
            <v>58790066.820000008</v>
          </cell>
          <cell r="H61">
            <v>865805.87</v>
          </cell>
          <cell r="I61">
            <v>4354542.2699999996</v>
          </cell>
          <cell r="J61">
            <v>7925511.5500000007</v>
          </cell>
          <cell r="K61">
            <v>2257921.12</v>
          </cell>
          <cell r="L61">
            <v>2015332.53</v>
          </cell>
          <cell r="M61">
            <v>2714959.71</v>
          </cell>
          <cell r="N61">
            <v>1615515.46</v>
          </cell>
          <cell r="O61">
            <v>5498688.7600000007</v>
          </cell>
          <cell r="P61">
            <v>294702.55000000005</v>
          </cell>
          <cell r="Q61">
            <v>13353594.949999997</v>
          </cell>
          <cell r="R61">
            <v>1442554.6800000002</v>
          </cell>
          <cell r="S61">
            <v>2045763.84</v>
          </cell>
          <cell r="T61">
            <v>4227120.08</v>
          </cell>
          <cell r="U61">
            <v>1588964.95</v>
          </cell>
          <cell r="V61">
            <v>1009768.29</v>
          </cell>
          <cell r="W61">
            <v>5457623.0099999998</v>
          </cell>
          <cell r="X61">
            <v>1467770.9899999998</v>
          </cell>
          <cell r="Y61">
            <v>7097804.21</v>
          </cell>
          <cell r="Z61">
            <v>1579919.53</v>
          </cell>
          <cell r="AA61">
            <v>12296624.91</v>
          </cell>
          <cell r="AB61">
            <v>1615332.6</v>
          </cell>
          <cell r="AC61">
            <v>767894.96</v>
          </cell>
          <cell r="AD61">
            <v>1054782.5300000003</v>
          </cell>
          <cell r="AE61">
            <v>6194770.3199999994</v>
          </cell>
          <cell r="AF61">
            <v>933480.14</v>
          </cell>
          <cell r="AG61">
            <v>1258421.77</v>
          </cell>
        </row>
      </sheetData>
      <sheetData sheetId="27">
        <row r="37">
          <cell r="E37">
            <v>27.741109238831115</v>
          </cell>
          <cell r="G37">
            <v>30.485026532483445</v>
          </cell>
          <cell r="H37">
            <v>15.443990613863381</v>
          </cell>
          <cell r="I37">
            <v>34.234300019696981</v>
          </cell>
          <cell r="J37">
            <v>32.606950525150275</v>
          </cell>
          <cell r="K37">
            <v>25.410924063312123</v>
          </cell>
          <cell r="L37">
            <v>26.001387425694478</v>
          </cell>
          <cell r="M37">
            <v>29.30785734225017</v>
          </cell>
          <cell r="N37">
            <v>11.934619955680471</v>
          </cell>
          <cell r="O37">
            <v>25.824724737490968</v>
          </cell>
          <cell r="P37">
            <v>24.556559928367371</v>
          </cell>
          <cell r="Q37">
            <v>22.256191741669049</v>
          </cell>
          <cell r="R37">
            <v>22.354621535487805</v>
          </cell>
          <cell r="S37">
            <v>24.213937149484284</v>
          </cell>
          <cell r="T37">
            <v>36.146623551629261</v>
          </cell>
          <cell r="U37">
            <v>23.212592553134822</v>
          </cell>
          <cell r="V37">
            <v>25.804797201362607</v>
          </cell>
          <cell r="W37">
            <v>26.303073774903503</v>
          </cell>
          <cell r="X37">
            <v>20.008015578101791</v>
          </cell>
          <cell r="Y37">
            <v>27.216585919190923</v>
          </cell>
          <cell r="Z37">
            <v>31.313980309618337</v>
          </cell>
          <cell r="AA37">
            <v>20.694073454577019</v>
          </cell>
          <cell r="AB37">
            <v>23.200345954118337</v>
          </cell>
          <cell r="AC37">
            <v>12.962644920316006</v>
          </cell>
          <cell r="AD37">
            <v>16.754724526335561</v>
          </cell>
          <cell r="AE37">
            <v>29.745638700725252</v>
          </cell>
          <cell r="AF37">
            <v>16.842000170095066</v>
          </cell>
          <cell r="AG37">
            <v>17.156480386483157</v>
          </cell>
        </row>
      </sheetData>
      <sheetData sheetId="28">
        <row r="9">
          <cell r="G9">
            <v>492</v>
          </cell>
          <cell r="H9">
            <v>32</v>
          </cell>
          <cell r="I9">
            <v>137</v>
          </cell>
          <cell r="J9">
            <v>100</v>
          </cell>
          <cell r="K9">
            <v>36</v>
          </cell>
          <cell r="L9">
            <v>53</v>
          </cell>
          <cell r="M9">
            <v>20</v>
          </cell>
          <cell r="N9">
            <v>22</v>
          </cell>
          <cell r="O9">
            <v>140</v>
          </cell>
          <cell r="P9">
            <v>14</v>
          </cell>
          <cell r="Q9">
            <v>127</v>
          </cell>
          <cell r="R9">
            <v>30</v>
          </cell>
          <cell r="S9">
            <v>47</v>
          </cell>
          <cell r="T9">
            <v>36</v>
          </cell>
          <cell r="U9">
            <v>33</v>
          </cell>
          <cell r="V9">
            <v>27</v>
          </cell>
          <cell r="W9">
            <v>76</v>
          </cell>
          <cell r="X9">
            <v>16</v>
          </cell>
          <cell r="Y9">
            <v>161</v>
          </cell>
          <cell r="Z9">
            <v>31</v>
          </cell>
          <cell r="AA9">
            <v>118</v>
          </cell>
          <cell r="AB9">
            <v>110</v>
          </cell>
          <cell r="AC9">
            <v>15</v>
          </cell>
          <cell r="AD9">
            <v>13</v>
          </cell>
          <cell r="AE9">
            <v>52</v>
          </cell>
          <cell r="AF9">
            <v>57</v>
          </cell>
          <cell r="AG9">
            <v>22</v>
          </cell>
        </row>
        <row r="28">
          <cell r="G28">
            <v>2612646</v>
          </cell>
          <cell r="H28">
            <v>44357</v>
          </cell>
          <cell r="I28">
            <v>218765.15</v>
          </cell>
          <cell r="J28">
            <v>400031</v>
          </cell>
          <cell r="K28">
            <v>106501.51000000001</v>
          </cell>
          <cell r="L28">
            <v>94789</v>
          </cell>
          <cell r="M28">
            <v>132109</v>
          </cell>
          <cell r="N28">
            <v>85701</v>
          </cell>
          <cell r="O28">
            <v>256287</v>
          </cell>
          <cell r="P28">
            <v>14596</v>
          </cell>
          <cell r="Q28">
            <v>682935</v>
          </cell>
          <cell r="R28">
            <v>79723.899999999994</v>
          </cell>
          <cell r="S28">
            <v>111572.7</v>
          </cell>
          <cell r="T28">
            <v>201275</v>
          </cell>
          <cell r="U28">
            <v>85970</v>
          </cell>
          <cell r="V28">
            <v>56047</v>
          </cell>
          <cell r="W28">
            <v>267406</v>
          </cell>
          <cell r="X28">
            <v>74372</v>
          </cell>
          <cell r="Y28">
            <v>354711</v>
          </cell>
          <cell r="Z28">
            <v>75364</v>
          </cell>
          <cell r="AA28">
            <v>563269.48</v>
          </cell>
          <cell r="AB28">
            <v>87988</v>
          </cell>
          <cell r="AC28">
            <v>35993</v>
          </cell>
          <cell r="AD28">
            <v>57283</v>
          </cell>
          <cell r="AE28">
            <v>295498</v>
          </cell>
          <cell r="AF28">
            <v>44438</v>
          </cell>
          <cell r="AG28">
            <v>64480</v>
          </cell>
        </row>
        <row r="35">
          <cell r="G35">
            <v>1474401.25</v>
          </cell>
          <cell r="H35">
            <v>7408.07</v>
          </cell>
          <cell r="I35">
            <v>100038.9</v>
          </cell>
          <cell r="J35">
            <v>181298</v>
          </cell>
          <cell r="K35">
            <v>40012.69</v>
          </cell>
          <cell r="L35">
            <v>29971.279999999999</v>
          </cell>
          <cell r="M35">
            <v>67840.59</v>
          </cell>
          <cell r="N35">
            <v>26433.380000000005</v>
          </cell>
          <cell r="O35">
            <v>89627</v>
          </cell>
          <cell r="P35">
            <v>4884</v>
          </cell>
          <cell r="Q35">
            <v>279413.67999999993</v>
          </cell>
          <cell r="R35">
            <v>12994.100000000006</v>
          </cell>
          <cell r="S35">
            <v>52065.3</v>
          </cell>
          <cell r="T35">
            <v>144186.66999999998</v>
          </cell>
          <cell r="U35">
            <v>26938</v>
          </cell>
          <cell r="V35">
            <v>18565</v>
          </cell>
          <cell r="W35">
            <v>102223</v>
          </cell>
          <cell r="X35">
            <v>21601</v>
          </cell>
          <cell r="Y35">
            <v>206149</v>
          </cell>
          <cell r="Z35">
            <v>31486</v>
          </cell>
          <cell r="AA35">
            <v>207482.52000000002</v>
          </cell>
          <cell r="AB35">
            <v>38566.960000000006</v>
          </cell>
          <cell r="AC35">
            <v>13169.300000000003</v>
          </cell>
          <cell r="AD35">
            <v>14260</v>
          </cell>
          <cell r="AE35">
            <v>122816</v>
          </cell>
          <cell r="AF35">
            <v>9194</v>
          </cell>
          <cell r="AG35">
            <v>11735</v>
          </cell>
        </row>
        <row r="37">
          <cell r="E37">
            <v>31.912772186209427</v>
          </cell>
          <cell r="G37">
            <v>36.057629551579467</v>
          </cell>
          <cell r="H37">
            <v>14.305969113071123</v>
          </cell>
          <cell r="I37">
            <v>31.379431973966454</v>
          </cell>
          <cell r="J37">
            <v>31.186278574119402</v>
          </cell>
          <cell r="K37">
            <v>27.258049133400817</v>
          </cell>
          <cell r="L37">
            <v>23.797253833203065</v>
          </cell>
          <cell r="M37">
            <v>33.884785439099097</v>
          </cell>
          <cell r="N37">
            <v>23.572738595080342</v>
          </cell>
          <cell r="O37">
            <v>25.910197332284902</v>
          </cell>
          <cell r="P37">
            <v>25.071868583162214</v>
          </cell>
          <cell r="Q37">
            <v>29.020595180149865</v>
          </cell>
          <cell r="R37">
            <v>14.013588568347272</v>
          </cell>
          <cell r="S37">
            <v>31.805508891318823</v>
          </cell>
          <cell r="T37">
            <v>41.697433898757886</v>
          </cell>
          <cell r="U37">
            <v>23.751708327822598</v>
          </cell>
          <cell r="V37">
            <v>24.86239637878159</v>
          </cell>
          <cell r="W37">
            <v>27.598821779264505</v>
          </cell>
          <cell r="X37">
            <v>22.437468838291508</v>
          </cell>
          <cell r="Y37">
            <v>36.682817980095273</v>
          </cell>
          <cell r="Z37">
            <v>29.308932494321777</v>
          </cell>
          <cell r="AA37">
            <v>26.919491613385372</v>
          </cell>
          <cell r="AB37">
            <v>29.934004946912435</v>
          </cell>
          <cell r="AC37">
            <v>26.7531127286172</v>
          </cell>
          <cell r="AD37">
            <v>19.890365865565677</v>
          </cell>
          <cell r="AE37">
            <v>29.341876727612416</v>
          </cell>
          <cell r="AF37">
            <v>17.139554826441966</v>
          </cell>
          <cell r="AG37">
            <v>15.381086571859232</v>
          </cell>
        </row>
        <row r="61">
          <cell r="E61">
            <v>146662922.10000002</v>
          </cell>
          <cell r="G61">
            <v>57492511.749999993</v>
          </cell>
          <cell r="H61">
            <v>814555.30999999994</v>
          </cell>
          <cell r="I61">
            <v>4224119.47</v>
          </cell>
          <cell r="J61">
            <v>7878135.8100000005</v>
          </cell>
          <cell r="K61">
            <v>2196679.14</v>
          </cell>
          <cell r="L61">
            <v>1969888.75</v>
          </cell>
          <cell r="M61">
            <v>2707262.8400000003</v>
          </cell>
          <cell r="N61">
            <v>1660715.3099999998</v>
          </cell>
          <cell r="O61">
            <v>5007620.25</v>
          </cell>
          <cell r="P61">
            <v>315753.51</v>
          </cell>
          <cell r="Q61">
            <v>13233862.85</v>
          </cell>
          <cell r="R61">
            <v>1445505.42</v>
          </cell>
          <cell r="S61">
            <v>2082756.1999999997</v>
          </cell>
          <cell r="T61">
            <v>4013635.9400000004</v>
          </cell>
          <cell r="U61">
            <v>1667173.6</v>
          </cell>
          <cell r="V61">
            <v>1083668.46</v>
          </cell>
          <cell r="W61">
            <v>5373620.7199999997</v>
          </cell>
          <cell r="X61">
            <v>1521428.65</v>
          </cell>
          <cell r="Y61">
            <v>7008415.8300000001</v>
          </cell>
          <cell r="Z61">
            <v>1523851.66</v>
          </cell>
          <cell r="AA61">
            <v>11740008.920000002</v>
          </cell>
          <cell r="AB61">
            <v>1701064.19</v>
          </cell>
          <cell r="AC61">
            <v>720869.6100000001</v>
          </cell>
          <cell r="AD61">
            <v>1131532.08</v>
          </cell>
          <cell r="AE61">
            <v>5981723.9199999999</v>
          </cell>
          <cell r="AF61">
            <v>880625.68</v>
          </cell>
          <cell r="AG61">
            <v>1242486.23</v>
          </cell>
        </row>
      </sheetData>
      <sheetData sheetId="29">
        <row r="37">
          <cell r="E37">
            <v>28.457596021477656</v>
          </cell>
          <cell r="G37">
            <v>31.45153053459812</v>
          </cell>
          <cell r="H37">
            <v>15.266649535504051</v>
          </cell>
          <cell r="I37">
            <v>33.779153284399371</v>
          </cell>
          <cell r="J37">
            <v>32.376878839440224</v>
          </cell>
          <cell r="K37">
            <v>25.751250886138489</v>
          </cell>
          <cell r="L37">
            <v>25.648209846994519</v>
          </cell>
          <cell r="M37">
            <v>30.117732468178438</v>
          </cell>
          <cell r="N37">
            <v>14.12798338223805</v>
          </cell>
          <cell r="O37">
            <v>25.838581743500143</v>
          </cell>
          <cell r="P37">
            <v>24.645164707128483</v>
          </cell>
          <cell r="Q37">
            <v>23.443802203289383</v>
          </cell>
          <cell r="R37">
            <v>21.086357257360262</v>
          </cell>
          <cell r="S37">
            <v>25.629919546241265</v>
          </cell>
          <cell r="T37">
            <v>37.11807440005596</v>
          </cell>
          <cell r="U37">
            <v>23.302961107293029</v>
          </cell>
          <cell r="V37">
            <v>25.646711012564673</v>
          </cell>
          <cell r="W37">
            <v>26.514051846544078</v>
          </cell>
          <cell r="X37">
            <v>20.429149156070281</v>
          </cell>
          <cell r="Y37">
            <v>28.947907123574335</v>
          </cell>
          <cell r="Z37">
            <v>30.999282647221683</v>
          </cell>
          <cell r="AA37">
            <v>21.79637800436927</v>
          </cell>
          <cell r="AB37">
            <v>24.384765359687972</v>
          </cell>
          <cell r="AC37">
            <v>15.423610261694574</v>
          </cell>
          <cell r="AD37">
            <v>17.314244895825816</v>
          </cell>
          <cell r="AE37">
            <v>29.679892068027019</v>
          </cell>
          <cell r="AF37">
            <v>16.89125182440084</v>
          </cell>
          <cell r="AG37">
            <v>16.870547258430523</v>
          </cell>
        </row>
      </sheetData>
      <sheetData sheetId="30">
        <row r="9">
          <cell r="G9">
            <v>539</v>
          </cell>
          <cell r="H9">
            <v>25</v>
          </cell>
          <cell r="I9">
            <v>57</v>
          </cell>
          <cell r="J9">
            <v>78</v>
          </cell>
          <cell r="K9">
            <v>64</v>
          </cell>
          <cell r="L9">
            <v>39</v>
          </cell>
          <cell r="M9">
            <v>27</v>
          </cell>
          <cell r="N9">
            <v>43</v>
          </cell>
          <cell r="O9">
            <v>88</v>
          </cell>
          <cell r="P9">
            <v>16</v>
          </cell>
          <cell r="Q9">
            <v>154</v>
          </cell>
          <cell r="R9">
            <v>19</v>
          </cell>
          <cell r="S9">
            <v>13</v>
          </cell>
          <cell r="T9">
            <v>47</v>
          </cell>
          <cell r="U9">
            <v>9</v>
          </cell>
          <cell r="V9">
            <v>23</v>
          </cell>
          <cell r="W9">
            <v>24</v>
          </cell>
          <cell r="X9">
            <v>12</v>
          </cell>
          <cell r="Y9">
            <v>71</v>
          </cell>
          <cell r="Z9">
            <v>17</v>
          </cell>
          <cell r="AA9">
            <v>129</v>
          </cell>
          <cell r="AB9">
            <v>46</v>
          </cell>
          <cell r="AC9">
            <v>16</v>
          </cell>
          <cell r="AD9">
            <v>75</v>
          </cell>
          <cell r="AE9">
            <v>76</v>
          </cell>
          <cell r="AF9">
            <v>50</v>
          </cell>
          <cell r="AG9">
            <v>21</v>
          </cell>
        </row>
        <row r="28">
          <cell r="G28">
            <v>3047630</v>
          </cell>
          <cell r="H28">
            <v>60720</v>
          </cell>
          <cell r="I28">
            <v>254600.1</v>
          </cell>
          <cell r="J28">
            <v>442830</v>
          </cell>
          <cell r="K28">
            <v>117760.5</v>
          </cell>
          <cell r="L28">
            <v>108147</v>
          </cell>
          <cell r="M28">
            <v>151969</v>
          </cell>
          <cell r="N28">
            <v>100069</v>
          </cell>
          <cell r="O28">
            <v>298747</v>
          </cell>
          <cell r="P28">
            <v>19676</v>
          </cell>
          <cell r="Q28">
            <v>777043</v>
          </cell>
          <cell r="R28">
            <v>95738.4</v>
          </cell>
          <cell r="S28">
            <v>134080.1</v>
          </cell>
          <cell r="T28">
            <v>239866</v>
          </cell>
          <cell r="U28">
            <v>104447</v>
          </cell>
          <cell r="V28">
            <v>65327</v>
          </cell>
          <cell r="W28">
            <v>308785</v>
          </cell>
          <cell r="X28">
            <v>83623</v>
          </cell>
          <cell r="Y28">
            <v>425133</v>
          </cell>
          <cell r="Z28">
            <v>90876</v>
          </cell>
          <cell r="AA28">
            <v>621501.97</v>
          </cell>
          <cell r="AB28">
            <v>108633</v>
          </cell>
          <cell r="AC28">
            <v>43833.11</v>
          </cell>
          <cell r="AD28">
            <v>67226</v>
          </cell>
          <cell r="AE28">
            <v>340388</v>
          </cell>
          <cell r="AF28">
            <v>49708</v>
          </cell>
          <cell r="AG28">
            <v>80378</v>
          </cell>
        </row>
        <row r="35">
          <cell r="G35">
            <v>771143.06</v>
          </cell>
          <cell r="H35">
            <v>9613.3500000000058</v>
          </cell>
          <cell r="I35">
            <v>99496.889999999985</v>
          </cell>
          <cell r="J35">
            <v>152943</v>
          </cell>
          <cell r="K35">
            <v>42228.5</v>
          </cell>
          <cell r="L35">
            <v>30538.75</v>
          </cell>
          <cell r="M35">
            <v>62913.5</v>
          </cell>
          <cell r="N35">
            <v>22698</v>
          </cell>
          <cell r="O35">
            <v>81700</v>
          </cell>
          <cell r="P35">
            <v>6166</v>
          </cell>
          <cell r="Q35">
            <v>236148.83999999997</v>
          </cell>
          <cell r="R35">
            <v>17006.660000000011</v>
          </cell>
          <cell r="S35">
            <v>29624.899999999994</v>
          </cell>
          <cell r="T35">
            <v>118705.02000000002</v>
          </cell>
          <cell r="U35">
            <v>42243</v>
          </cell>
          <cell r="V35">
            <v>22334</v>
          </cell>
          <cell r="W35">
            <v>86636</v>
          </cell>
          <cell r="X35">
            <v>25075</v>
          </cell>
          <cell r="Y35">
            <v>144051</v>
          </cell>
          <cell r="Z35">
            <v>21162</v>
          </cell>
          <cell r="AA35">
            <v>141569.03000000003</v>
          </cell>
          <cell r="AB35">
            <v>25175.179999999993</v>
          </cell>
          <cell r="AC35">
            <v>4102.1599999999962</v>
          </cell>
          <cell r="AD35">
            <v>16431</v>
          </cell>
          <cell r="AE35">
            <v>127596</v>
          </cell>
          <cell r="AF35">
            <v>10533</v>
          </cell>
          <cell r="AG35">
            <v>11769</v>
          </cell>
        </row>
        <row r="37">
          <cell r="E37">
            <v>22.228984906788007</v>
          </cell>
          <cell r="G37">
            <v>20.185046254417696</v>
          </cell>
          <cell r="H37">
            <v>13.650217567714366</v>
          </cell>
          <cell r="I37">
            <v>28.093451849805508</v>
          </cell>
          <cell r="J37">
            <v>25.659467594107195</v>
          </cell>
          <cell r="K37">
            <v>26.362660207387801</v>
          </cell>
          <cell r="L37">
            <v>21.69596345494298</v>
          </cell>
          <cell r="M37">
            <v>29.224373192739606</v>
          </cell>
          <cell r="N37">
            <v>18.376715378698943</v>
          </cell>
          <cell r="O37">
            <v>21.474738925527078</v>
          </cell>
          <cell r="P37">
            <v>23.843774168600156</v>
          </cell>
          <cell r="Q37">
            <v>23.297781621988175</v>
          </cell>
          <cell r="R37">
            <v>15.067147468922013</v>
          </cell>
          <cell r="S37">
            <v>18.096515072844443</v>
          </cell>
          <cell r="T37">
            <v>33.069055798871986</v>
          </cell>
          <cell r="U37">
            <v>28.718956292363231</v>
          </cell>
          <cell r="V37">
            <v>25.449821666647676</v>
          </cell>
          <cell r="W37">
            <v>21.838402476343159</v>
          </cell>
          <cell r="X37">
            <v>22.988769195507679</v>
          </cell>
          <cell r="Y37">
            <v>25.268470149908257</v>
          </cell>
          <cell r="Z37">
            <v>18.786286241855016</v>
          </cell>
          <cell r="AA37">
            <v>18.531699935465209</v>
          </cell>
          <cell r="AB37">
            <v>18.363821800935696</v>
          </cell>
          <cell r="AC37">
            <v>8.5269331031857849</v>
          </cell>
          <cell r="AD37">
            <v>19.501050357833773</v>
          </cell>
          <cell r="AE37">
            <v>27.183713121878888</v>
          </cell>
          <cell r="AF37">
            <v>17.462738531425632</v>
          </cell>
          <cell r="AG37">
            <v>12.746117356553382</v>
          </cell>
        </row>
        <row r="61">
          <cell r="E61">
            <v>169041016.90000001</v>
          </cell>
          <cell r="G61">
            <v>66100349.910000004</v>
          </cell>
          <cell r="H61">
            <v>1128075.28</v>
          </cell>
          <cell r="I61">
            <v>4715720.47</v>
          </cell>
          <cell r="J61">
            <v>8655830.3499999996</v>
          </cell>
          <cell r="K61">
            <v>2400073.7999999998</v>
          </cell>
          <cell r="L61">
            <v>2224076.6399999997</v>
          </cell>
          <cell r="M61">
            <v>3116057.2199999997</v>
          </cell>
          <cell r="N61">
            <v>1958601.87</v>
          </cell>
          <cell r="O61">
            <v>5932623.0299999993</v>
          </cell>
          <cell r="P61">
            <v>424506.43999999994</v>
          </cell>
          <cell r="Q61">
            <v>15001764.480000002</v>
          </cell>
          <cell r="R61">
            <v>1714227.7599999998</v>
          </cell>
          <cell r="S61">
            <v>2490556.89</v>
          </cell>
          <cell r="T61">
            <v>4831680.2600000007</v>
          </cell>
          <cell r="U61">
            <v>1990336.3000000003</v>
          </cell>
          <cell r="V61">
            <v>1241576.2100000002</v>
          </cell>
          <cell r="W61">
            <v>6187344.2000000002</v>
          </cell>
          <cell r="X61">
            <v>1688934.79</v>
          </cell>
          <cell r="Y61">
            <v>8240043.3600000003</v>
          </cell>
          <cell r="Z61">
            <v>1799046.6800000002</v>
          </cell>
          <cell r="AA61">
            <v>13558992.67</v>
          </cell>
          <cell r="AB61">
            <v>2049188.5699999998</v>
          </cell>
          <cell r="AC61">
            <v>944675.5199999999</v>
          </cell>
          <cell r="AD61">
            <v>1309561.22</v>
          </cell>
          <cell r="AE61">
            <v>6830312.1299999999</v>
          </cell>
          <cell r="AF61">
            <v>962488.76</v>
          </cell>
          <cell r="AG61">
            <v>1528372.09</v>
          </cell>
        </row>
      </sheetData>
      <sheetData sheetId="31">
        <row r="37">
          <cell r="E37">
            <v>27.532327491170992</v>
          </cell>
          <cell r="G37">
            <v>29.880450965819399</v>
          </cell>
          <cell r="H37">
            <v>14.983976917663425</v>
          </cell>
          <cell r="I37">
            <v>32.923668022740493</v>
          </cell>
          <cell r="J37">
            <v>31.420325794687471</v>
          </cell>
          <cell r="K37">
            <v>25.853599682808476</v>
          </cell>
          <cell r="L37">
            <v>25.047935871138023</v>
          </cell>
          <cell r="M37">
            <v>29.974928455669314</v>
          </cell>
          <cell r="N37">
            <v>14.858356802319078</v>
          </cell>
          <cell r="O37">
            <v>25.178224174051323</v>
          </cell>
          <cell r="P37">
            <v>24.496234333678281</v>
          </cell>
          <cell r="Q37">
            <v>23.421023335350981</v>
          </cell>
          <cell r="R37">
            <v>20.146267086485022</v>
          </cell>
          <cell r="S37">
            <v>24.445636057740334</v>
          </cell>
          <cell r="T37">
            <v>36.495562648100268</v>
          </cell>
          <cell r="U37">
            <v>24.27011907305608</v>
          </cell>
          <cell r="V37">
            <v>25.614287269137954</v>
          </cell>
          <cell r="W37">
            <v>25.819725517910509</v>
          </cell>
          <cell r="X37">
            <v>20.849330200932194</v>
          </cell>
          <cell r="Y37">
            <v>28.372086383784634</v>
          </cell>
          <cell r="Z37">
            <v>29.273359787330939</v>
          </cell>
          <cell r="AA37">
            <v>21.308972993690929</v>
          </cell>
          <cell r="AB37">
            <v>23.435541636879968</v>
          </cell>
          <cell r="AC37">
            <v>14.399421443741492</v>
          </cell>
          <cell r="AD37">
            <v>17.693339588014055</v>
          </cell>
          <cell r="AE37">
            <v>29.294461776931545</v>
          </cell>
          <cell r="AF37">
            <v>16.980925920144852</v>
          </cell>
          <cell r="AG37">
            <v>16.197781503341524</v>
          </cell>
        </row>
      </sheetData>
      <sheetData sheetId="32">
        <row r="9">
          <cell r="G9">
            <v>621</v>
          </cell>
          <cell r="H9">
            <v>25</v>
          </cell>
          <cell r="I9">
            <v>197</v>
          </cell>
          <cell r="J9">
            <v>110</v>
          </cell>
          <cell r="K9">
            <v>34</v>
          </cell>
          <cell r="L9">
            <v>39</v>
          </cell>
          <cell r="M9">
            <v>32</v>
          </cell>
          <cell r="N9">
            <v>36</v>
          </cell>
          <cell r="O9">
            <v>224</v>
          </cell>
          <cell r="P9">
            <v>23</v>
          </cell>
          <cell r="Q9">
            <v>180</v>
          </cell>
          <cell r="R9">
            <v>15</v>
          </cell>
          <cell r="S9">
            <v>50</v>
          </cell>
          <cell r="T9">
            <v>47</v>
          </cell>
          <cell r="U9">
            <v>12</v>
          </cell>
          <cell r="V9">
            <v>22</v>
          </cell>
          <cell r="W9">
            <v>47</v>
          </cell>
          <cell r="X9">
            <v>13</v>
          </cell>
          <cell r="Y9">
            <v>81</v>
          </cell>
          <cell r="Z9">
            <v>45</v>
          </cell>
          <cell r="AA9">
            <v>227</v>
          </cell>
          <cell r="AB9">
            <v>40</v>
          </cell>
          <cell r="AC9">
            <v>13</v>
          </cell>
          <cell r="AD9">
            <v>45</v>
          </cell>
          <cell r="AE9">
            <v>41</v>
          </cell>
          <cell r="AF9">
            <v>59</v>
          </cell>
          <cell r="AG9">
            <v>29</v>
          </cell>
        </row>
        <row r="28">
          <cell r="G28">
            <v>3014691</v>
          </cell>
          <cell r="H28">
            <v>64147</v>
          </cell>
          <cell r="I28">
            <v>283256</v>
          </cell>
          <cell r="J28">
            <v>469956</v>
          </cell>
          <cell r="K28">
            <v>138384</v>
          </cell>
          <cell r="L28">
            <v>120937</v>
          </cell>
          <cell r="M28">
            <v>165716</v>
          </cell>
          <cell r="N28">
            <v>118097</v>
          </cell>
          <cell r="O28">
            <v>330086</v>
          </cell>
          <cell r="P28">
            <v>21694</v>
          </cell>
          <cell r="Q28">
            <v>864049</v>
          </cell>
          <cell r="R28">
            <v>114638</v>
          </cell>
          <cell r="S28">
            <v>153074.9</v>
          </cell>
          <cell r="T28">
            <v>254484</v>
          </cell>
          <cell r="U28">
            <v>114435</v>
          </cell>
          <cell r="V28">
            <v>77483</v>
          </cell>
          <cell r="W28">
            <v>314253</v>
          </cell>
          <cell r="X28">
            <v>84906</v>
          </cell>
          <cell r="Y28">
            <v>426136</v>
          </cell>
          <cell r="Z28">
            <v>96125</v>
          </cell>
          <cell r="AA28">
            <v>629571.1</v>
          </cell>
          <cell r="AB28">
            <v>114986</v>
          </cell>
          <cell r="AC28">
            <v>44984</v>
          </cell>
          <cell r="AD28">
            <v>72710</v>
          </cell>
          <cell r="AE28">
            <v>354466</v>
          </cell>
          <cell r="AF28">
            <v>61382</v>
          </cell>
          <cell r="AG28">
            <v>87322</v>
          </cell>
        </row>
        <row r="35">
          <cell r="G35">
            <v>950974.29999999981</v>
          </cell>
          <cell r="H35">
            <v>12612.070000000007</v>
          </cell>
          <cell r="I35">
            <v>76688.969999999972</v>
          </cell>
          <cell r="J35">
            <v>143204</v>
          </cell>
          <cell r="K35">
            <v>12142.919999999984</v>
          </cell>
          <cell r="L35">
            <v>25901.139999999985</v>
          </cell>
          <cell r="M35">
            <v>68131.59</v>
          </cell>
          <cell r="N35">
            <v>4929.1000000000058</v>
          </cell>
          <cell r="O35">
            <v>74520</v>
          </cell>
          <cell r="P35">
            <v>6456</v>
          </cell>
          <cell r="Q35">
            <v>118552.95999999996</v>
          </cell>
          <cell r="R35">
            <v>13924.5</v>
          </cell>
          <cell r="S35">
            <v>19969.100000000006</v>
          </cell>
          <cell r="T35">
            <v>96843.340000000026</v>
          </cell>
          <cell r="U35">
            <v>32638</v>
          </cell>
          <cell r="V35">
            <v>16148</v>
          </cell>
          <cell r="W35">
            <v>91995</v>
          </cell>
          <cell r="X35">
            <v>23436</v>
          </cell>
          <cell r="Y35">
            <v>118808</v>
          </cell>
          <cell r="Z35">
            <v>19273</v>
          </cell>
          <cell r="AA35">
            <v>126322.27000000002</v>
          </cell>
          <cell r="AB35">
            <v>24049.279999999999</v>
          </cell>
          <cell r="AC35">
            <v>5035.4700000000012</v>
          </cell>
          <cell r="AD35">
            <v>9515</v>
          </cell>
          <cell r="AE35">
            <v>129238</v>
          </cell>
          <cell r="AF35">
            <v>12699</v>
          </cell>
          <cell r="AG35">
            <v>10805</v>
          </cell>
        </row>
        <row r="37">
          <cell r="E37">
            <v>20.684771254325184</v>
          </cell>
          <cell r="G37">
            <v>23.963004455349402</v>
          </cell>
          <cell r="H37">
            <v>16.387171145849567</v>
          </cell>
          <cell r="I37">
            <v>21.305452532750589</v>
          </cell>
          <cell r="J37">
            <v>23.353060029712353</v>
          </cell>
          <cell r="K37">
            <v>8.0546886649625336</v>
          </cell>
          <cell r="L37">
            <v>17.435371135593144</v>
          </cell>
          <cell r="M37">
            <v>29.105169564947893</v>
          </cell>
          <cell r="N37">
            <v>3.9824964389334703</v>
          </cell>
          <cell r="O37">
            <v>18.40836330579819</v>
          </cell>
          <cell r="P37">
            <v>22.934280639431616</v>
          </cell>
          <cell r="Q37">
            <v>12.062088935188424</v>
          </cell>
          <cell r="R37">
            <v>10.808094136640948</v>
          </cell>
          <cell r="S37">
            <v>11.524114011345736</v>
          </cell>
          <cell r="T37">
            <v>27.542097087151131</v>
          </cell>
          <cell r="U37">
            <v>22.176019350849657</v>
          </cell>
          <cell r="V37">
            <v>17.242373442388391</v>
          </cell>
          <cell r="W37">
            <v>22.585048376365918</v>
          </cell>
          <cell r="X37">
            <v>21.447004776982631</v>
          </cell>
          <cell r="Y37">
            <v>21.777336231894683</v>
          </cell>
          <cell r="Z37">
            <v>16.661191604135688</v>
          </cell>
          <cell r="AA37">
            <v>16.691226720619905</v>
          </cell>
          <cell r="AB37">
            <v>16.926662353581744</v>
          </cell>
          <cell r="AC37">
            <v>10.045130042867857</v>
          </cell>
          <cell r="AD37">
            <v>11.488077271355266</v>
          </cell>
          <cell r="AE37">
            <v>26.69357270620505</v>
          </cell>
          <cell r="AF37">
            <v>17.134645743661707</v>
          </cell>
          <cell r="AG37">
            <v>10.987055509797342</v>
          </cell>
        </row>
        <row r="61">
          <cell r="E61">
            <v>175672783.11000001</v>
          </cell>
          <cell r="G61">
            <v>65775888.189999998</v>
          </cell>
          <cell r="H61">
            <v>1194358.3600000001</v>
          </cell>
          <cell r="I61">
            <v>5444936.0100000007</v>
          </cell>
          <cell r="J61">
            <v>9152313.6799999997</v>
          </cell>
          <cell r="K61">
            <v>2778569.9299999997</v>
          </cell>
          <cell r="L61">
            <v>2474682.9300000002</v>
          </cell>
          <cell r="M61">
            <v>3392771.4</v>
          </cell>
          <cell r="N61">
            <v>2308610.75</v>
          </cell>
          <cell r="O61">
            <v>6603048.0099999998</v>
          </cell>
          <cell r="P61">
            <v>454645.06</v>
          </cell>
          <cell r="Q61">
            <v>16619130.039999999</v>
          </cell>
          <cell r="R61">
            <v>2021751.97</v>
          </cell>
          <cell r="S61">
            <v>2952192.81</v>
          </cell>
          <cell r="T61">
            <v>5040103.2199999988</v>
          </cell>
          <cell r="U61">
            <v>2152966.31</v>
          </cell>
          <cell r="V61">
            <v>1463135.41</v>
          </cell>
          <cell r="W61">
            <v>6252715.9900000012</v>
          </cell>
          <cell r="X61">
            <v>1694902.52</v>
          </cell>
          <cell r="Y61">
            <v>8309559.0899999999</v>
          </cell>
          <cell r="Z61">
            <v>1935560.37</v>
          </cell>
          <cell r="AA61">
            <v>13208351.240000002</v>
          </cell>
          <cell r="AB61">
            <v>2109568.5499999998</v>
          </cell>
          <cell r="AC61">
            <v>892621.79</v>
          </cell>
          <cell r="AD61">
            <v>1431082.9600000002</v>
          </cell>
          <cell r="AE61">
            <v>7082029.79</v>
          </cell>
          <cell r="AF61">
            <v>1206206.5699999998</v>
          </cell>
          <cell r="AG61">
            <v>1673580.16</v>
          </cell>
        </row>
      </sheetData>
      <sheetData sheetId="33">
        <row r="37">
          <cell r="E37">
            <v>26.629475061012446</v>
          </cell>
          <cell r="G37">
            <v>29.131736701556051</v>
          </cell>
          <cell r="H37">
            <v>15.209110882476548</v>
          </cell>
          <cell r="I37">
            <v>31.38265531737423</v>
          </cell>
          <cell r="J37">
            <v>30.389491262514646</v>
          </cell>
          <cell r="K37">
            <v>23.431100495522912</v>
          </cell>
          <cell r="L37">
            <v>23.996256572986191</v>
          </cell>
          <cell r="M37">
            <v>29.84613546437317</v>
          </cell>
          <cell r="N37">
            <v>13.260202332192645</v>
          </cell>
          <cell r="O37">
            <v>24.239334686571254</v>
          </cell>
          <cell r="P37">
            <v>24.233422194594205</v>
          </cell>
          <cell r="Q37">
            <v>21.928575317083716</v>
          </cell>
          <cell r="R37">
            <v>18.733435185617509</v>
          </cell>
          <cell r="S37">
            <v>22.602236231026168</v>
          </cell>
          <cell r="T37">
            <v>35.323663414915792</v>
          </cell>
          <cell r="U37">
            <v>23.952669401662217</v>
          </cell>
          <cell r="V37">
            <v>24.362896957450918</v>
          </cell>
          <cell r="W37">
            <v>25.39178019189751</v>
          </cell>
          <cell r="X37">
            <v>20.933740195185123</v>
          </cell>
          <cell r="Y37">
            <v>27.513075035963062</v>
          </cell>
          <cell r="Z37">
            <v>27.675033386905763</v>
          </cell>
          <cell r="AA37">
            <v>20.713980188918899</v>
          </cell>
          <cell r="AB37">
            <v>22.52141538591227</v>
          </cell>
          <cell r="AC37">
            <v>13.815925526882417</v>
          </cell>
          <cell r="AD37">
            <v>16.789866065699705</v>
          </cell>
          <cell r="AE37">
            <v>28.937136461896358</v>
          </cell>
          <cell r="AF37">
            <v>17.005773060070794</v>
          </cell>
          <cell r="AG37">
            <v>15.426503833522476</v>
          </cell>
        </row>
      </sheetData>
      <sheetData sheetId="34">
        <row r="9">
          <cell r="G9">
            <v>764</v>
          </cell>
          <cell r="H9">
            <v>15</v>
          </cell>
          <cell r="I9">
            <v>173</v>
          </cell>
          <cell r="J9">
            <v>233</v>
          </cell>
          <cell r="K9">
            <v>29</v>
          </cell>
          <cell r="L9">
            <v>65</v>
          </cell>
          <cell r="M9">
            <v>27</v>
          </cell>
          <cell r="N9">
            <v>24</v>
          </cell>
          <cell r="O9">
            <v>92</v>
          </cell>
          <cell r="P9">
            <v>3</v>
          </cell>
          <cell r="Q9">
            <v>160</v>
          </cell>
          <cell r="R9">
            <v>8</v>
          </cell>
          <cell r="S9">
            <v>96</v>
          </cell>
          <cell r="T9">
            <v>49</v>
          </cell>
          <cell r="U9">
            <v>17</v>
          </cell>
          <cell r="V9">
            <v>12</v>
          </cell>
          <cell r="W9">
            <v>83</v>
          </cell>
          <cell r="X9">
            <v>13</v>
          </cell>
          <cell r="Y9">
            <v>98</v>
          </cell>
          <cell r="Z9">
            <v>16</v>
          </cell>
          <cell r="AA9">
            <v>300</v>
          </cell>
          <cell r="AB9">
            <v>66</v>
          </cell>
          <cell r="AC9">
            <v>25</v>
          </cell>
          <cell r="AD9">
            <v>9</v>
          </cell>
          <cell r="AE9">
            <v>0</v>
          </cell>
          <cell r="AF9">
            <v>40</v>
          </cell>
          <cell r="AG9">
            <v>47</v>
          </cell>
        </row>
        <row r="28">
          <cell r="G28">
            <v>2935393</v>
          </cell>
          <cell r="H28">
            <v>58352</v>
          </cell>
          <cell r="I28">
            <v>252421.22</v>
          </cell>
          <cell r="J28">
            <v>428035</v>
          </cell>
          <cell r="K28">
            <v>114035.5</v>
          </cell>
          <cell r="L28">
            <v>110537</v>
          </cell>
          <cell r="M28">
            <v>153169</v>
          </cell>
          <cell r="N28">
            <v>103093</v>
          </cell>
          <cell r="O28">
            <v>309147</v>
          </cell>
          <cell r="P28">
            <v>19998</v>
          </cell>
          <cell r="Q28">
            <v>793147</v>
          </cell>
          <cell r="R28">
            <v>95234.8</v>
          </cell>
          <cell r="S28">
            <v>124766.2</v>
          </cell>
          <cell r="T28">
            <v>234389</v>
          </cell>
          <cell r="U28">
            <v>101238</v>
          </cell>
          <cell r="V28">
            <v>61814</v>
          </cell>
          <cell r="W28">
            <v>309512</v>
          </cell>
          <cell r="X28">
            <v>82953</v>
          </cell>
          <cell r="Y28">
            <v>404307</v>
          </cell>
          <cell r="Z28">
            <v>89099</v>
          </cell>
          <cell r="AA28">
            <v>618567.72</v>
          </cell>
          <cell r="AB28">
            <v>108000</v>
          </cell>
          <cell r="AC28">
            <v>41011</v>
          </cell>
          <cell r="AD28">
            <v>65141</v>
          </cell>
          <cell r="AE28">
            <v>339967</v>
          </cell>
          <cell r="AF28">
            <v>50797</v>
          </cell>
          <cell r="AG28">
            <v>78157</v>
          </cell>
        </row>
        <row r="35">
          <cell r="G35">
            <v>661294.66000000015</v>
          </cell>
          <cell r="H35">
            <v>8983.3999999999942</v>
          </cell>
          <cell r="I35">
            <v>77783.72</v>
          </cell>
          <cell r="J35">
            <v>134397</v>
          </cell>
          <cell r="K35">
            <v>16985.010000000009</v>
          </cell>
          <cell r="L35">
            <v>28644.170000000013</v>
          </cell>
          <cell r="M35">
            <v>52415.540000000008</v>
          </cell>
          <cell r="N35">
            <v>3126.6000000000058</v>
          </cell>
          <cell r="O35">
            <v>70475</v>
          </cell>
          <cell r="P35">
            <v>5902</v>
          </cell>
          <cell r="Q35">
            <v>116980.41000000015</v>
          </cell>
          <cell r="R35">
            <v>6147.4999999999973</v>
          </cell>
          <cell r="S35">
            <v>6770.8000000000029</v>
          </cell>
          <cell r="T35">
            <v>124144.46000000002</v>
          </cell>
          <cell r="U35">
            <v>25319</v>
          </cell>
          <cell r="V35">
            <v>16146</v>
          </cell>
          <cell r="W35">
            <v>58399</v>
          </cell>
          <cell r="X35">
            <v>22649</v>
          </cell>
          <cell r="Y35">
            <v>96652</v>
          </cell>
          <cell r="Z35">
            <v>18039</v>
          </cell>
          <cell r="AA35">
            <v>103748.28000000003</v>
          </cell>
          <cell r="AB35">
            <v>30659.020000000019</v>
          </cell>
          <cell r="AC35">
            <v>7446.57</v>
          </cell>
          <cell r="AD35">
            <v>7468</v>
          </cell>
          <cell r="AE35">
            <v>126627</v>
          </cell>
          <cell r="AF35">
            <v>6124</v>
          </cell>
          <cell r="AG35">
            <v>9738</v>
          </cell>
        </row>
        <row r="37">
          <cell r="E37">
            <v>18.561300159848727</v>
          </cell>
          <cell r="G37">
            <v>18.379467819142999</v>
          </cell>
          <cell r="H37">
            <v>13.341273683679008</v>
          </cell>
          <cell r="I37">
            <v>23.553484595310351</v>
          </cell>
          <cell r="J37">
            <v>23.894669094115805</v>
          </cell>
          <cell r="K37">
            <v>12.961351538889646</v>
          </cell>
          <cell r="L37">
            <v>20.543296835322622</v>
          </cell>
          <cell r="M37">
            <v>25.481355171186372</v>
          </cell>
          <cell r="N37">
            <v>2.9434137046758022</v>
          </cell>
          <cell r="O37">
            <v>18.563932629848747</v>
          </cell>
          <cell r="P37">
            <v>22.787644787644787</v>
          </cell>
          <cell r="Q37">
            <v>12.849463287444696</v>
          </cell>
          <cell r="R37">
            <v>6.0615472598552493</v>
          </cell>
          <cell r="S37">
            <v>5.144046678417312</v>
          </cell>
          <cell r="T37">
            <v>34.621957921581384</v>
          </cell>
          <cell r="U37">
            <v>20.003792337897305</v>
          </cell>
          <cell r="V37">
            <v>20.704778025698239</v>
          </cell>
          <cell r="W37">
            <v>15.865628862898514</v>
          </cell>
          <cell r="X37">
            <v>21.357712690719122</v>
          </cell>
          <cell r="Y37">
            <v>19.279809779139537</v>
          </cell>
          <cell r="Z37">
            <v>16.837163284735574</v>
          </cell>
          <cell r="AA37">
            <v>14.363082597054518</v>
          </cell>
          <cell r="AB37">
            <v>21.990873137297022</v>
          </cell>
          <cell r="AC37">
            <v>15.367196497884644</v>
          </cell>
          <cell r="AD37">
            <v>10.285226349350632</v>
          </cell>
          <cell r="AE37">
            <v>27.126025577858233</v>
          </cell>
          <cell r="AF37">
            <v>10.758770928128458</v>
          </cell>
          <cell r="AG37">
            <v>11.071570689557159</v>
          </cell>
        </row>
        <row r="61">
          <cell r="E61">
            <v>167526329.05000004</v>
          </cell>
          <cell r="G61">
            <v>63988178.710000001</v>
          </cell>
          <cell r="H61">
            <v>1084279.1399999999</v>
          </cell>
          <cell r="I61">
            <v>4895053.07</v>
          </cell>
          <cell r="J61">
            <v>8574777.8200000003</v>
          </cell>
          <cell r="K61">
            <v>2312773.2999999998</v>
          </cell>
          <cell r="L61">
            <v>2277240.69</v>
          </cell>
          <cell r="M61">
            <v>3142428.5399999996</v>
          </cell>
          <cell r="N61">
            <v>2024419.9200000004</v>
          </cell>
          <cell r="O61">
            <v>6173462.6899999995</v>
          </cell>
          <cell r="P61">
            <v>409046.19999999995</v>
          </cell>
          <cell r="Q61">
            <v>15913152.440000001</v>
          </cell>
          <cell r="R61">
            <v>1768895.4699999997</v>
          </cell>
          <cell r="S61">
            <v>2538403.73</v>
          </cell>
          <cell r="T61">
            <v>4657712.9800000004</v>
          </cell>
          <cell r="U61">
            <v>1937832.57</v>
          </cell>
          <cell r="V61">
            <v>1172953.53</v>
          </cell>
          <cell r="W61">
            <v>6226425.7999999998</v>
          </cell>
          <cell r="X61">
            <v>1693938.95</v>
          </cell>
          <cell r="Y61">
            <v>8067084.4900000002</v>
          </cell>
          <cell r="Z61">
            <v>1776355.92</v>
          </cell>
          <cell r="AA61">
            <v>13486457.109999999</v>
          </cell>
          <cell r="AB61">
            <v>2030675.64</v>
          </cell>
          <cell r="AC61">
            <v>837619.99999999988</v>
          </cell>
          <cell r="AD61">
            <v>1230992.2200000002</v>
          </cell>
          <cell r="AE61">
            <v>6769811.4799999995</v>
          </cell>
          <cell r="AF61">
            <v>984753.74</v>
          </cell>
          <cell r="AG61">
            <v>1519002.9</v>
          </cell>
        </row>
      </sheetData>
      <sheetData sheetId="35">
        <row r="37">
          <cell r="E37">
            <v>25.760926407033434</v>
          </cell>
          <cell r="G37">
            <v>28.025232652235115</v>
          </cell>
          <cell r="H37">
            <v>14.979191122110915</v>
          </cell>
          <cell r="I37">
            <v>30.533277823101319</v>
          </cell>
          <cell r="J37">
            <v>29.708134055180015</v>
          </cell>
          <cell r="K37">
            <v>22.32349148839495</v>
          </cell>
          <cell r="L37">
            <v>23.599913137490287</v>
          </cell>
          <cell r="M37">
            <v>29.343573797144067</v>
          </cell>
          <cell r="N37">
            <v>12.104819207080645</v>
          </cell>
          <cell r="O37">
            <v>23.586147769374442</v>
          </cell>
          <cell r="P37">
            <v>24.039606215256569</v>
          </cell>
          <cell r="Q37">
            <v>20.943508835144875</v>
          </cell>
          <cell r="R37">
            <v>17.384828177675786</v>
          </cell>
          <cell r="S37">
            <v>20.895343162561087</v>
          </cell>
          <cell r="T37">
            <v>35.241032084228451</v>
          </cell>
          <cell r="U37">
            <v>23.497235394243351</v>
          </cell>
          <cell r="V37">
            <v>23.95799179309865</v>
          </cell>
          <cell r="W37">
            <v>24.374513333078031</v>
          </cell>
          <cell r="X37">
            <v>20.984844954323446</v>
          </cell>
          <cell r="Y37">
            <v>26.632956879178494</v>
          </cell>
          <cell r="Z37">
            <v>26.536565086903792</v>
          </cell>
          <cell r="AA37">
            <v>20.018495535967393</v>
          </cell>
          <cell r="AB37">
            <v>22.457156273749131</v>
          </cell>
          <cell r="AC37">
            <v>13.993828946442017</v>
          </cell>
          <cell r="AD37">
            <v>16.053595647497154</v>
          </cell>
          <cell r="AE37">
            <v>28.725291015260883</v>
          </cell>
          <cell r="AF37">
            <v>16.315891585666336</v>
          </cell>
          <cell r="AG37">
            <v>14.917386294006702</v>
          </cell>
        </row>
      </sheetData>
      <sheetData sheetId="36">
        <row r="9">
          <cell r="G9">
            <v>612</v>
          </cell>
          <cell r="H9">
            <v>4</v>
          </cell>
          <cell r="I9">
            <v>113</v>
          </cell>
          <cell r="J9">
            <v>92</v>
          </cell>
          <cell r="K9">
            <v>16</v>
          </cell>
          <cell r="L9">
            <v>32</v>
          </cell>
          <cell r="M9">
            <v>17</v>
          </cell>
          <cell r="N9">
            <v>23</v>
          </cell>
          <cell r="O9">
            <v>41</v>
          </cell>
          <cell r="P9">
            <v>5</v>
          </cell>
          <cell r="Q9">
            <v>95</v>
          </cell>
          <cell r="R9">
            <v>27</v>
          </cell>
          <cell r="S9">
            <v>26</v>
          </cell>
          <cell r="T9">
            <v>38</v>
          </cell>
          <cell r="U9">
            <v>8</v>
          </cell>
          <cell r="V9">
            <v>8</v>
          </cell>
          <cell r="W9">
            <v>11</v>
          </cell>
          <cell r="X9">
            <v>10</v>
          </cell>
          <cell r="Y9">
            <v>45</v>
          </cell>
          <cell r="Z9">
            <v>10</v>
          </cell>
          <cell r="AA9">
            <v>215</v>
          </cell>
          <cell r="AB9">
            <v>57</v>
          </cell>
          <cell r="AC9">
            <v>5</v>
          </cell>
          <cell r="AD9">
            <v>21</v>
          </cell>
          <cell r="AE9">
            <v>100</v>
          </cell>
          <cell r="AF9">
            <v>21</v>
          </cell>
          <cell r="AG9">
            <v>7</v>
          </cell>
        </row>
        <row r="28">
          <cell r="G28">
            <v>2710118</v>
          </cell>
          <cell r="H28">
            <v>50027</v>
          </cell>
          <cell r="I28">
            <v>217526</v>
          </cell>
          <cell r="J28">
            <v>397052</v>
          </cell>
          <cell r="K28">
            <v>109867</v>
          </cell>
          <cell r="L28">
            <v>104839</v>
          </cell>
          <cell r="M28">
            <v>129871</v>
          </cell>
          <cell r="N28">
            <v>90393</v>
          </cell>
          <cell r="O28">
            <v>284692</v>
          </cell>
          <cell r="P28">
            <v>14822</v>
          </cell>
          <cell r="Q28">
            <v>764743</v>
          </cell>
          <cell r="R28">
            <v>88342.1</v>
          </cell>
          <cell r="S28">
            <v>107179.1</v>
          </cell>
          <cell r="T28">
            <v>221612</v>
          </cell>
          <cell r="U28">
            <v>94767</v>
          </cell>
          <cell r="V28">
            <v>57622</v>
          </cell>
          <cell r="W28">
            <v>298395</v>
          </cell>
          <cell r="X28">
            <v>86804</v>
          </cell>
          <cell r="Y28">
            <v>406524</v>
          </cell>
          <cell r="Z28">
            <v>87844</v>
          </cell>
          <cell r="AA28">
            <v>636542</v>
          </cell>
          <cell r="AB28">
            <v>105002</v>
          </cell>
          <cell r="AC28">
            <v>42932</v>
          </cell>
          <cell r="AD28">
            <v>63416</v>
          </cell>
          <cell r="AE28">
            <v>341737</v>
          </cell>
          <cell r="AF28">
            <v>49389</v>
          </cell>
          <cell r="AG28">
            <v>65588</v>
          </cell>
        </row>
        <row r="35">
          <cell r="G35">
            <v>1065727.2799999998</v>
          </cell>
          <cell r="H35">
            <v>8184.3000000000029</v>
          </cell>
          <cell r="I35">
            <v>80432.989999999991</v>
          </cell>
          <cell r="J35">
            <v>138820</v>
          </cell>
          <cell r="K35">
            <v>21751.979999999981</v>
          </cell>
          <cell r="L35">
            <v>32963.719999999972</v>
          </cell>
          <cell r="M35">
            <v>48534.140000000014</v>
          </cell>
          <cell r="N35">
            <v>8534.9600000000064</v>
          </cell>
          <cell r="O35">
            <v>113872</v>
          </cell>
          <cell r="P35">
            <v>4178</v>
          </cell>
          <cell r="Q35">
            <v>181819.83999999985</v>
          </cell>
          <cell r="R35">
            <v>14450.199999999997</v>
          </cell>
          <cell r="S35">
            <v>23885.899999999994</v>
          </cell>
          <cell r="T35">
            <v>124319.84000000003</v>
          </cell>
          <cell r="U35">
            <v>23901</v>
          </cell>
          <cell r="V35">
            <v>19275</v>
          </cell>
          <cell r="W35">
            <v>97921</v>
          </cell>
          <cell r="X35">
            <v>22881</v>
          </cell>
          <cell r="Y35">
            <v>104046</v>
          </cell>
          <cell r="Z35">
            <v>14881</v>
          </cell>
          <cell r="AA35">
            <v>111973</v>
          </cell>
          <cell r="AB35">
            <v>31638.059999999998</v>
          </cell>
          <cell r="AC35">
            <v>6320.0199999999968</v>
          </cell>
          <cell r="AD35">
            <v>7224</v>
          </cell>
          <cell r="AE35">
            <v>145573</v>
          </cell>
          <cell r="AF35">
            <v>9146</v>
          </cell>
          <cell r="AG35">
            <v>13102</v>
          </cell>
        </row>
        <row r="37">
          <cell r="E37">
            <v>24.494315857143985</v>
          </cell>
          <cell r="G37">
            <v>28.218334511745862</v>
          </cell>
          <cell r="H37">
            <v>14.056743606082106</v>
          </cell>
          <cell r="I37">
            <v>26.994651176660252</v>
          </cell>
          <cell r="J37">
            <v>25.905440105099725</v>
          </cell>
          <cell r="K37">
            <v>16.526476652531407</v>
          </cell>
          <cell r="L37">
            <v>23.914529135723708</v>
          </cell>
          <cell r="M37">
            <v>27.175053446805219</v>
          </cell>
          <cell r="N37">
            <v>8.6274497118913658</v>
          </cell>
          <cell r="O37">
            <v>28.570568340341829</v>
          </cell>
          <cell r="P37">
            <v>21.989473684210527</v>
          </cell>
          <cell r="Q37">
            <v>19.206398763893581</v>
          </cell>
          <cell r="R37">
            <v>14.057667743595578</v>
          </cell>
          <cell r="S37">
            <v>18.224468775035284</v>
          </cell>
          <cell r="T37">
            <v>35.937357451478441</v>
          </cell>
          <cell r="U37">
            <v>20.138011222890654</v>
          </cell>
          <cell r="V37">
            <v>25.065997373109482</v>
          </cell>
          <cell r="W37">
            <v>24.695346467733962</v>
          </cell>
          <cell r="X37">
            <v>20.839367195825023</v>
          </cell>
          <cell r="Y37">
            <v>20.375567179290343</v>
          </cell>
          <cell r="Z37">
            <v>14.486249695789729</v>
          </cell>
          <cell r="AA37">
            <v>14.95911303132686</v>
          </cell>
          <cell r="AB37">
            <v>22.991429426444931</v>
          </cell>
          <cell r="AC37">
            <v>12.832001611304463</v>
          </cell>
          <cell r="AD37">
            <v>10.226500566251415</v>
          </cell>
          <cell r="AE37">
            <v>29.859168218701544</v>
          </cell>
          <cell r="AF37">
            <v>15.624839839412315</v>
          </cell>
          <cell r="AG37">
            <v>16.64676136508017</v>
          </cell>
        </row>
        <row r="61">
          <cell r="E61">
            <v>156390044.24000004</v>
          </cell>
          <cell r="G61">
            <v>58608815.799999997</v>
          </cell>
          <cell r="H61">
            <v>904613.96</v>
          </cell>
          <cell r="I61">
            <v>4104608.1100000003</v>
          </cell>
          <cell r="J61">
            <v>8306658.4699999997</v>
          </cell>
          <cell r="K61">
            <v>2225338.25</v>
          </cell>
          <cell r="L61">
            <v>2144989.9699999997</v>
          </cell>
          <cell r="M61">
            <v>2620044.89</v>
          </cell>
          <cell r="N61">
            <v>1777965.2399999998</v>
          </cell>
          <cell r="O61">
            <v>5580951.8700000001</v>
          </cell>
          <cell r="P61">
            <v>309239.38999999996</v>
          </cell>
          <cell r="Q61">
            <v>14894495.350000001</v>
          </cell>
          <cell r="R61">
            <v>1767497.3499999996</v>
          </cell>
          <cell r="S61">
            <v>1999433.82</v>
          </cell>
          <cell r="T61">
            <v>4366095.7200000007</v>
          </cell>
          <cell r="U61">
            <v>1828410.5400000003</v>
          </cell>
          <cell r="V61">
            <v>1082379.32</v>
          </cell>
          <cell r="W61">
            <v>6016998.2600000007</v>
          </cell>
          <cell r="X61">
            <v>1740648.7999999998</v>
          </cell>
          <cell r="Y61">
            <v>7933343.7200000007</v>
          </cell>
          <cell r="Z61">
            <v>1747245.36</v>
          </cell>
          <cell r="AA61">
            <v>13334589.790000001</v>
          </cell>
          <cell r="AB61">
            <v>1941513.3900000001</v>
          </cell>
          <cell r="AC61">
            <v>844180.14</v>
          </cell>
          <cell r="AD61">
            <v>1216971.5300000003</v>
          </cell>
          <cell r="AE61">
            <v>6887954.1099999994</v>
          </cell>
          <cell r="AF61">
            <v>958208.01000000013</v>
          </cell>
          <cell r="AG61">
            <v>1213853.08</v>
          </cell>
        </row>
      </sheetData>
      <sheetData sheetId="37">
        <row r="37">
          <cell r="E37">
            <v>25.635857148516145</v>
          </cell>
          <cell r="G37">
            <v>28.044058053359588</v>
          </cell>
          <cell r="H37">
            <v>14.890453902764303</v>
          </cell>
          <cell r="I37">
            <v>30.217787123357446</v>
          </cell>
          <cell r="J37">
            <v>29.362593699563831</v>
          </cell>
          <cell r="K37">
            <v>21.766687918932842</v>
          </cell>
          <cell r="L37">
            <v>23.63197508998736</v>
          </cell>
          <cell r="M37">
            <v>29.146490724375791</v>
          </cell>
          <cell r="N37">
            <v>11.776388507997282</v>
          </cell>
          <cell r="O37">
            <v>24.123487371126142</v>
          </cell>
          <cell r="P37">
            <v>23.856042827117559</v>
          </cell>
          <cell r="Q37">
            <v>20.767395828390008</v>
          </cell>
          <cell r="R37">
            <v>17.060879921152093</v>
          </cell>
          <cell r="S37">
            <v>20.658388624822479</v>
          </cell>
          <cell r="T37">
            <v>35.312069699784452</v>
          </cell>
          <cell r="U37">
            <v>23.169398008436598</v>
          </cell>
          <cell r="V37">
            <v>24.067026180342094</v>
          </cell>
          <cell r="W37">
            <v>24.407612779411732</v>
          </cell>
          <cell r="X37">
            <v>20.968703578321897</v>
          </cell>
          <cell r="Y37">
            <v>26.01851285642806</v>
          </cell>
          <cell r="Z37">
            <v>25.433930197052323</v>
          </cell>
          <cell r="AA37">
            <v>19.502862172482128</v>
          </cell>
          <cell r="AB37">
            <v>22.514207292283125</v>
          </cell>
          <cell r="AC37">
            <v>13.872541018154161</v>
          </cell>
          <cell r="AD37">
            <v>15.475558551347405</v>
          </cell>
          <cell r="AE37">
            <v>28.848728605024842</v>
          </cell>
          <cell r="AF37">
            <v>16.2454156612337</v>
          </cell>
          <cell r="AG37">
            <v>15.081167131733695</v>
          </cell>
        </row>
      </sheetData>
      <sheetData sheetId="38">
        <row r="9">
          <cell r="G9">
            <v>732</v>
          </cell>
          <cell r="H9">
            <v>10</v>
          </cell>
          <cell r="I9">
            <v>96</v>
          </cell>
          <cell r="J9">
            <v>45</v>
          </cell>
          <cell r="K9">
            <v>28</v>
          </cell>
          <cell r="L9">
            <v>34</v>
          </cell>
          <cell r="M9">
            <v>15</v>
          </cell>
          <cell r="N9">
            <v>15</v>
          </cell>
          <cell r="O9">
            <v>50</v>
          </cell>
          <cell r="P9">
            <v>5</v>
          </cell>
          <cell r="Q9">
            <v>168</v>
          </cell>
          <cell r="R9">
            <v>35</v>
          </cell>
          <cell r="S9">
            <v>53</v>
          </cell>
          <cell r="T9">
            <v>57</v>
          </cell>
          <cell r="U9">
            <v>17</v>
          </cell>
          <cell r="V9">
            <v>5</v>
          </cell>
          <cell r="W9">
            <v>37</v>
          </cell>
          <cell r="X9">
            <v>18</v>
          </cell>
          <cell r="Y9">
            <v>72</v>
          </cell>
          <cell r="Z9">
            <v>63</v>
          </cell>
          <cell r="AA9">
            <v>244</v>
          </cell>
          <cell r="AB9">
            <v>30</v>
          </cell>
          <cell r="AC9">
            <v>6</v>
          </cell>
          <cell r="AD9">
            <v>38</v>
          </cell>
          <cell r="AE9">
            <v>99</v>
          </cell>
          <cell r="AF9">
            <v>0</v>
          </cell>
          <cell r="AG9">
            <v>3</v>
          </cell>
        </row>
        <row r="28">
          <cell r="G28">
            <v>2604129</v>
          </cell>
          <cell r="H28">
            <v>49033</v>
          </cell>
          <cell r="I28">
            <v>219003.25</v>
          </cell>
          <cell r="J28">
            <v>404980</v>
          </cell>
          <cell r="K28">
            <v>102391</v>
          </cell>
          <cell r="L28">
            <v>101112</v>
          </cell>
          <cell r="M28">
            <v>130830</v>
          </cell>
          <cell r="N28">
            <v>86310</v>
          </cell>
          <cell r="O28">
            <v>269873</v>
          </cell>
          <cell r="P28">
            <v>14978</v>
          </cell>
          <cell r="Q28">
            <v>677556</v>
          </cell>
          <cell r="R28">
            <v>83597.899999999994</v>
          </cell>
          <cell r="S28">
            <v>108680.6</v>
          </cell>
          <cell r="T28">
            <v>199601</v>
          </cell>
          <cell r="U28">
            <v>85385</v>
          </cell>
          <cell r="V28">
            <v>49442</v>
          </cell>
          <cell r="W28">
            <v>261884</v>
          </cell>
          <cell r="X28">
            <v>67836</v>
          </cell>
          <cell r="Y28">
            <v>341441</v>
          </cell>
          <cell r="Z28">
            <v>75279</v>
          </cell>
          <cell r="AA28">
            <v>546369.98</v>
          </cell>
          <cell r="AB28">
            <v>91127</v>
          </cell>
          <cell r="AC28">
            <v>38087</v>
          </cell>
          <cell r="AD28">
            <v>61351</v>
          </cell>
          <cell r="AE28">
            <v>293554</v>
          </cell>
          <cell r="AF28">
            <v>40456</v>
          </cell>
          <cell r="AG28">
            <v>65489</v>
          </cell>
        </row>
        <row r="35">
          <cell r="G35">
            <v>1364572.5699999998</v>
          </cell>
          <cell r="H35">
            <v>8174.6999999999971</v>
          </cell>
          <cell r="I35">
            <v>88086.729999999981</v>
          </cell>
          <cell r="J35">
            <v>213749</v>
          </cell>
          <cell r="K35">
            <v>28518.850000000006</v>
          </cell>
          <cell r="L35">
            <v>32230.119999999995</v>
          </cell>
          <cell r="M35">
            <v>46869.070000000007</v>
          </cell>
          <cell r="N35">
            <v>6861.4600000000064</v>
          </cell>
          <cell r="O35">
            <v>90915</v>
          </cell>
          <cell r="P35">
            <v>4132</v>
          </cell>
          <cell r="Q35">
            <v>282857.26</v>
          </cell>
          <cell r="R35">
            <v>14774.14</v>
          </cell>
          <cell r="S35">
            <v>49914.399999999994</v>
          </cell>
          <cell r="T35">
            <v>138712.93</v>
          </cell>
          <cell r="U35">
            <v>23990</v>
          </cell>
          <cell r="V35">
            <v>17881</v>
          </cell>
          <cell r="W35">
            <v>131163</v>
          </cell>
          <cell r="X35">
            <v>18675</v>
          </cell>
          <cell r="Y35">
            <v>154174</v>
          </cell>
          <cell r="Z35">
            <v>29802</v>
          </cell>
          <cell r="AA35">
            <v>200909.02000000002</v>
          </cell>
          <cell r="AB35">
            <v>46875.899999999994</v>
          </cell>
          <cell r="AC35">
            <v>8106.2700000000041</v>
          </cell>
          <cell r="AD35">
            <v>11645</v>
          </cell>
          <cell r="AE35">
            <v>137215</v>
          </cell>
          <cell r="AF35">
            <v>9328</v>
          </cell>
          <cell r="AG35">
            <v>16303</v>
          </cell>
        </row>
        <row r="37">
          <cell r="E37">
            <v>30.990850010636763</v>
          </cell>
          <cell r="G37">
            <v>34.37416082040393</v>
          </cell>
          <cell r="H37">
            <v>14.285764215949259</v>
          </cell>
          <cell r="I37">
            <v>28.684338707501944</v>
          </cell>
          <cell r="J37">
            <v>34.546465415391872</v>
          </cell>
          <cell r="K37">
            <v>21.78127948792072</v>
          </cell>
          <cell r="L37">
            <v>24.167734702098347</v>
          </cell>
          <cell r="M37">
            <v>26.342767288704422</v>
          </cell>
          <cell r="N37">
            <v>7.3642576357863749</v>
          </cell>
          <cell r="O37">
            <v>25.199008836214066</v>
          </cell>
          <cell r="P37">
            <v>21.622187336473051</v>
          </cell>
          <cell r="Q37">
            <v>29.448890625202694</v>
          </cell>
          <cell r="R37">
            <v>15.018637409572882</v>
          </cell>
          <cell r="S37">
            <v>31.472871149784037</v>
          </cell>
          <cell r="T37">
            <v>41.000762212041195</v>
          </cell>
          <cell r="U37">
            <v>21.930706645945701</v>
          </cell>
          <cell r="V37">
            <v>26.560016636216449</v>
          </cell>
          <cell r="W37">
            <v>33.292044967091989</v>
          </cell>
          <cell r="X37">
            <v>21.571390618322109</v>
          </cell>
          <cell r="Y37">
            <v>31.103848287688507</v>
          </cell>
          <cell r="Z37">
            <v>28.353153838835503</v>
          </cell>
          <cell r="AA37">
            <v>26.884006540722961</v>
          </cell>
          <cell r="AB37">
            <v>33.790545172496067</v>
          </cell>
          <cell r="AC37">
            <v>17.54859528238638</v>
          </cell>
          <cell r="AD37">
            <v>15.952928927612472</v>
          </cell>
          <cell r="AE37">
            <v>31.847288982553213</v>
          </cell>
          <cell r="AF37">
            <v>18.736943596336172</v>
          </cell>
          <cell r="AG37">
            <v>19.930561498306826</v>
          </cell>
        </row>
        <row r="61">
          <cell r="E61">
            <v>145138836.24000004</v>
          </cell>
          <cell r="G61">
            <v>56715575.079999998</v>
          </cell>
          <cell r="H61">
            <v>892868.85000000009</v>
          </cell>
          <cell r="I61">
            <v>4212209.1499999994</v>
          </cell>
          <cell r="J61">
            <v>7830598.3899999997</v>
          </cell>
          <cell r="K61">
            <v>2061799.2600000002</v>
          </cell>
          <cell r="L61">
            <v>2129324.33</v>
          </cell>
          <cell r="M61">
            <v>2642498.3299999996</v>
          </cell>
          <cell r="N61">
            <v>1678030.47</v>
          </cell>
          <cell r="O61">
            <v>5630145.7000000002</v>
          </cell>
          <cell r="P61">
            <v>302541.53000000003</v>
          </cell>
          <cell r="Q61">
            <v>12969354.439999998</v>
          </cell>
          <cell r="R61">
            <v>1565901.8599999999</v>
          </cell>
          <cell r="S61">
            <v>1995539.34</v>
          </cell>
          <cell r="T61">
            <v>3937885.8600000008</v>
          </cell>
          <cell r="U61">
            <v>1611310.9499999997</v>
          </cell>
          <cell r="V61">
            <v>907149.58000000007</v>
          </cell>
          <cell r="W61">
            <v>5236661.4800000004</v>
          </cell>
          <cell r="X61">
            <v>1413169.46</v>
          </cell>
          <cell r="Y61">
            <v>6762092.2899999991</v>
          </cell>
          <cell r="Z61">
            <v>1524293.56</v>
          </cell>
          <cell r="AA61">
            <v>11471052.690000001</v>
          </cell>
          <cell r="AB61">
            <v>1661630.4200000002</v>
          </cell>
          <cell r="AC61">
            <v>768875.37</v>
          </cell>
          <cell r="AD61">
            <v>1176260.72</v>
          </cell>
          <cell r="AE61">
            <v>5980361.6699999999</v>
          </cell>
          <cell r="AF61">
            <v>755250.33000000007</v>
          </cell>
          <cell r="AG61">
            <v>1198655.1300000001</v>
          </cell>
        </row>
      </sheetData>
      <sheetData sheetId="39">
        <row r="37">
          <cell r="E37">
            <v>26.123328912711745</v>
          </cell>
          <cell r="G37">
            <v>28.632428133221548</v>
          </cell>
          <cell r="H37">
            <v>14.838222117710945</v>
          </cell>
          <cell r="I37">
            <v>30.088738948723993</v>
          </cell>
          <cell r="J37">
            <v>29.854827360503744</v>
          </cell>
          <cell r="K37">
            <v>21.767960536019121</v>
          </cell>
          <cell r="L37">
            <v>23.680058203954289</v>
          </cell>
          <cell r="M37">
            <v>28.913720215121323</v>
          </cell>
          <cell r="N37">
            <v>11.415975383805231</v>
          </cell>
          <cell r="O37">
            <v>24.21911175479206</v>
          </cell>
          <cell r="P37">
            <v>23.671491319084183</v>
          </cell>
          <cell r="Q37">
            <v>21.577124195505924</v>
          </cell>
          <cell r="R37">
            <v>16.886807704229557</v>
          </cell>
          <cell r="S37">
            <v>21.706805418612305</v>
          </cell>
          <cell r="T37">
            <v>35.828149470199918</v>
          </cell>
          <cell r="U37">
            <v>23.067173637515843</v>
          </cell>
          <cell r="V37">
            <v>24.264770856872879</v>
          </cell>
          <cell r="W37">
            <v>25.233651035337868</v>
          </cell>
          <cell r="X37">
            <v>21.017188236135905</v>
          </cell>
          <cell r="Y37">
            <v>26.461050503752404</v>
          </cell>
          <cell r="Z37">
            <v>25.683849233886864</v>
          </cell>
          <cell r="AA37">
            <v>20.184543593383779</v>
          </cell>
          <cell r="AB37">
            <v>23.610121258555246</v>
          </cell>
          <cell r="AC37">
            <v>14.20036860701909</v>
          </cell>
          <cell r="AD37">
            <v>15.519942530053266</v>
          </cell>
          <cell r="AE37">
            <v>29.11189326415224</v>
          </cell>
          <cell r="AF37">
            <v>16.444274860560899</v>
          </cell>
          <cell r="AG37">
            <v>15.515707741148169</v>
          </cell>
        </row>
      </sheetData>
      <sheetData sheetId="40">
        <row r="9">
          <cell r="G9">
            <v>803</v>
          </cell>
          <cell r="H9">
            <v>10</v>
          </cell>
          <cell r="I9">
            <v>112</v>
          </cell>
          <cell r="J9">
            <v>48</v>
          </cell>
          <cell r="K9">
            <v>23</v>
          </cell>
          <cell r="L9">
            <v>35</v>
          </cell>
          <cell r="M9">
            <v>27</v>
          </cell>
          <cell r="N9">
            <v>9</v>
          </cell>
          <cell r="O9">
            <v>43</v>
          </cell>
          <cell r="P9">
            <v>19</v>
          </cell>
          <cell r="Q9">
            <v>166</v>
          </cell>
          <cell r="R9">
            <v>26</v>
          </cell>
          <cell r="S9">
            <v>12</v>
          </cell>
          <cell r="T9">
            <v>40</v>
          </cell>
          <cell r="U9">
            <v>9</v>
          </cell>
          <cell r="V9">
            <v>3</v>
          </cell>
          <cell r="W9">
            <v>61</v>
          </cell>
          <cell r="X9">
            <v>66</v>
          </cell>
          <cell r="Y9">
            <v>91</v>
          </cell>
          <cell r="Z9">
            <v>33</v>
          </cell>
          <cell r="AA9">
            <v>285</v>
          </cell>
          <cell r="AB9">
            <v>50</v>
          </cell>
          <cell r="AC9">
            <v>40</v>
          </cell>
          <cell r="AD9">
            <v>58</v>
          </cell>
          <cell r="AE9">
            <v>129</v>
          </cell>
          <cell r="AF9">
            <v>59</v>
          </cell>
          <cell r="AG9">
            <v>27</v>
          </cell>
        </row>
        <row r="28">
          <cell r="G28">
            <v>2794735</v>
          </cell>
          <cell r="H28">
            <v>51715</v>
          </cell>
          <cell r="I28">
            <v>223811.88</v>
          </cell>
          <cell r="J28">
            <v>404745</v>
          </cell>
          <cell r="K28">
            <v>109754.83</v>
          </cell>
          <cell r="L28">
            <v>104361</v>
          </cell>
          <cell r="M28">
            <v>128709</v>
          </cell>
          <cell r="N28">
            <v>81112</v>
          </cell>
          <cell r="O28">
            <v>288544</v>
          </cell>
          <cell r="P28">
            <v>16390</v>
          </cell>
          <cell r="Q28">
            <v>729718</v>
          </cell>
          <cell r="R28">
            <v>82579</v>
          </cell>
          <cell r="S28">
            <v>108150.3</v>
          </cell>
          <cell r="T28">
            <v>210261</v>
          </cell>
          <cell r="U28">
            <v>85763</v>
          </cell>
          <cell r="V28">
            <v>58530</v>
          </cell>
          <cell r="W28">
            <v>295693</v>
          </cell>
          <cell r="X28">
            <v>79520</v>
          </cell>
          <cell r="Y28">
            <v>393356</v>
          </cell>
          <cell r="Z28">
            <v>80589</v>
          </cell>
          <cell r="AA28">
            <v>616353.05000000005</v>
          </cell>
          <cell r="AB28">
            <v>93839</v>
          </cell>
          <cell r="AC28">
            <v>42757</v>
          </cell>
          <cell r="AD28">
            <v>59088</v>
          </cell>
          <cell r="AE28">
            <v>321636</v>
          </cell>
          <cell r="AF28">
            <v>47249</v>
          </cell>
          <cell r="AG28">
            <v>67282</v>
          </cell>
        </row>
        <row r="35">
          <cell r="G35">
            <v>879533.95000000019</v>
          </cell>
          <cell r="H35">
            <v>6387.1200000000026</v>
          </cell>
          <cell r="I35">
            <v>72310.109999999986</v>
          </cell>
          <cell r="J35">
            <v>192136</v>
          </cell>
          <cell r="K35">
            <v>18581.169999999998</v>
          </cell>
          <cell r="L35">
            <v>34749.75</v>
          </cell>
          <cell r="M35">
            <v>42260.09</v>
          </cell>
          <cell r="N35">
            <v>9397.7400000000052</v>
          </cell>
          <cell r="O35">
            <v>128957</v>
          </cell>
          <cell r="P35">
            <v>4410</v>
          </cell>
          <cell r="Q35">
            <v>185486.70000000007</v>
          </cell>
          <cell r="R35">
            <v>16833.509999999995</v>
          </cell>
          <cell r="S35">
            <v>44002.7</v>
          </cell>
          <cell r="T35">
            <v>123109.04999999999</v>
          </cell>
          <cell r="U35">
            <v>23675</v>
          </cell>
          <cell r="V35">
            <v>16247</v>
          </cell>
          <cell r="W35">
            <v>111518</v>
          </cell>
          <cell r="X35">
            <v>29090</v>
          </cell>
          <cell r="Y35">
            <v>110024</v>
          </cell>
          <cell r="Z35">
            <v>23911</v>
          </cell>
          <cell r="AA35">
            <v>128281.94999999995</v>
          </cell>
          <cell r="AB35">
            <v>37167.049999999988</v>
          </cell>
          <cell r="AC35">
            <v>2502.1800000000003</v>
          </cell>
          <cell r="AD35">
            <v>12272</v>
          </cell>
          <cell r="AE35">
            <v>106688</v>
          </cell>
          <cell r="AF35">
            <v>9397</v>
          </cell>
          <cell r="AG35">
            <v>13201</v>
          </cell>
        </row>
        <row r="37">
          <cell r="E37">
            <v>23.915510325126277</v>
          </cell>
          <cell r="G37">
            <v>23.934153874396046</v>
          </cell>
          <cell r="H37">
            <v>10.992920740241496</v>
          </cell>
          <cell r="I37">
            <v>24.419027442034949</v>
          </cell>
          <cell r="J37">
            <v>32.190001021979256</v>
          </cell>
          <cell r="K37">
            <v>14.478532913601793</v>
          </cell>
          <cell r="L37">
            <v>24.979917080455678</v>
          </cell>
          <cell r="M37">
            <v>24.690676321522396</v>
          </cell>
          <cell r="N37">
            <v>10.383010900142905</v>
          </cell>
          <cell r="O37">
            <v>30.887830208789918</v>
          </cell>
          <cell r="P37">
            <v>21.201923076923077</v>
          </cell>
          <cell r="Q37">
            <v>20.265066409178083</v>
          </cell>
          <cell r="R37">
            <v>16.932989620722779</v>
          </cell>
          <cell r="S37">
            <v>28.920034439018615</v>
          </cell>
          <cell r="T37">
            <v>36.928314991268792</v>
          </cell>
          <cell r="U37">
            <v>21.631079315480271</v>
          </cell>
          <cell r="V37">
            <v>21.727269080064726</v>
          </cell>
          <cell r="W37">
            <v>27.36819372081095</v>
          </cell>
          <cell r="X37">
            <v>26.736640870572231</v>
          </cell>
          <cell r="Y37">
            <v>21.857046366562042</v>
          </cell>
          <cell r="Z37">
            <v>22.88133971291866</v>
          </cell>
          <cell r="AA37">
            <v>17.227494007131003</v>
          </cell>
          <cell r="AB37">
            <v>28.2482240854035</v>
          </cell>
          <cell r="AC37">
            <v>5.5285579632684465</v>
          </cell>
          <cell r="AD37">
            <v>17.197309417040358</v>
          </cell>
          <cell r="AE37">
            <v>24.886632952021944</v>
          </cell>
          <cell r="AF37">
            <v>16.588991279172404</v>
          </cell>
          <cell r="AG37">
            <v>16.402221587167475</v>
          </cell>
        </row>
        <row r="61">
          <cell r="E61">
            <v>158404928.99000001</v>
          </cell>
          <cell r="G61">
            <v>61461736.430000007</v>
          </cell>
          <cell r="H61">
            <v>943713.13000000012</v>
          </cell>
          <cell r="I61">
            <v>4456951.41</v>
          </cell>
          <cell r="J61">
            <v>8639331.3000000007</v>
          </cell>
          <cell r="K61">
            <v>2252981.37</v>
          </cell>
          <cell r="L61">
            <v>2178500.2400000002</v>
          </cell>
          <cell r="M61">
            <v>2673060.6100000003</v>
          </cell>
          <cell r="N61">
            <v>1536754.3299999996</v>
          </cell>
          <cell r="O61">
            <v>5735467.4400000004</v>
          </cell>
          <cell r="P61">
            <v>357494.02999999991</v>
          </cell>
          <cell r="Q61">
            <v>14854114.859999999</v>
          </cell>
          <cell r="R61">
            <v>1492162.2400000002</v>
          </cell>
          <cell r="S61">
            <v>1977724.54</v>
          </cell>
          <cell r="T61">
            <v>4218333.95</v>
          </cell>
          <cell r="U61">
            <v>1630630.98</v>
          </cell>
          <cell r="V61">
            <v>1104570.3899999999</v>
          </cell>
          <cell r="W61">
            <v>5980210.8699999992</v>
          </cell>
          <cell r="X61">
            <v>1693507.54</v>
          </cell>
          <cell r="Y61">
            <v>7753565.1699999981</v>
          </cell>
          <cell r="Z61">
            <v>1639977.17</v>
          </cell>
          <cell r="AA61">
            <v>13222121.710000001</v>
          </cell>
          <cell r="AB61">
            <v>1728407.21</v>
          </cell>
          <cell r="AC61">
            <v>889972.10999999987</v>
          </cell>
          <cell r="AD61">
            <v>1177567.1300000001</v>
          </cell>
          <cell r="AE61">
            <v>6482887.21</v>
          </cell>
          <cell r="AF61">
            <v>969354.3</v>
          </cell>
          <cell r="AG61">
            <v>1283431.3199999996</v>
          </cell>
        </row>
      </sheetData>
      <sheetData sheetId="41">
        <row r="37">
          <cell r="E37">
            <v>25.943889132866381</v>
          </cell>
          <cell r="G37">
            <v>28.260206497387401</v>
          </cell>
          <cell r="H37">
            <v>14.528162597525837</v>
          </cell>
          <cell r="I37">
            <v>29.663177011112751</v>
          </cell>
          <cell r="J37">
            <v>30.050783672969004</v>
          </cell>
          <cell r="K37">
            <v>21.193890622956349</v>
          </cell>
          <cell r="L37">
            <v>23.791330758122523</v>
          </cell>
          <cell r="M37">
            <v>28.601385141217417</v>
          </cell>
          <cell r="N37">
            <v>11.340032594005461</v>
          </cell>
          <cell r="O37">
            <v>24.841221322193352</v>
          </cell>
          <cell r="P37">
            <v>23.467744494510377</v>
          </cell>
          <cell r="Q37">
            <v>21.470025654279283</v>
          </cell>
          <cell r="R37">
            <v>16.890470213330328</v>
          </cell>
          <cell r="S37">
            <v>22.320603779494082</v>
          </cell>
          <cell r="T37">
            <v>35.918427646885917</v>
          </cell>
          <cell r="U37">
            <v>22.957638806134486</v>
          </cell>
          <cell r="V37">
            <v>24.059311811470387</v>
          </cell>
          <cell r="W37">
            <v>25.420904126305039</v>
          </cell>
          <cell r="X37">
            <v>21.54235006688074</v>
          </cell>
          <cell r="Y37">
            <v>26.087209704656939</v>
          </cell>
          <cell r="Z37">
            <v>25.464024932145175</v>
          </cell>
          <cell r="AA37">
            <v>19.935358169365326</v>
          </cell>
          <cell r="AB37">
            <v>24.001564131090582</v>
          </cell>
          <cell r="AC37">
            <v>13.503546931857265</v>
          </cell>
          <cell r="AD37">
            <v>15.659699275861506</v>
          </cell>
          <cell r="AE37">
            <v>28.772557637903933</v>
          </cell>
          <cell r="AF37">
            <v>16.456323165220201</v>
          </cell>
          <cell r="AG37">
            <v>15.587535045729329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หมายข้อตกลง60 (ok)"/>
      <sheetName val="ผู้ใช้น้ำเพิ่ม"/>
      <sheetName val="ขยายเขต 59-60"/>
      <sheetName val="ขยายเขต59"/>
      <sheetName val="ผู้ใช้น้ำลด"/>
      <sheetName val="น้ำจ่าย"/>
      <sheetName val="น้ำจำหน่าย"/>
      <sheetName val="น้ำผลิต"/>
      <sheetName val="ปริมาณน้ำสูญเสีย"/>
      <sheetName val="รายได้ค่าจำหน่ายน้ำ"/>
      <sheetName val="รายได้ค่าบริการ"/>
      <sheetName val="รายได้ค่าบริการอื่น"/>
      <sheetName val="รายได้ค่าติดตั้ง"/>
      <sheetName val="ต้นทุนค่าติดตั้ง"/>
      <sheetName val="ค่าติดตั้งสุทธิ"/>
      <sheetName val="รายได้"/>
      <sheetName val="เงินเดือนพนักงาน"/>
      <sheetName val="ค่าจ้างชั่วคราว"/>
      <sheetName val="ค่าตอบแทน"/>
      <sheetName val="ค่าวัสดุการผลิต"/>
      <sheetName val="วัสดุดำเนินการซ่อมบำรุง"/>
      <sheetName val="ค่าน้ำมัน"/>
      <sheetName val="ค่าวัสดุสำนักงาน"/>
      <sheetName val="ค่าจ้างและบริการ"/>
      <sheetName val="ค่าวัสดุดำเนินการอื่นๆ"/>
      <sheetName val="ไฟฟ้า"/>
      <sheetName val="ค่าติดตั้งสาธารณูปโภค"/>
      <sheetName val="ค่าธรรมเนียมธนาคาร"/>
      <sheetName val="ค่าธรรมเนียมอื่นๆ"/>
      <sheetName val="ค่าน้ำดิบ"/>
      <sheetName val="ค่าใช้จ่ายดำเนินงาน"/>
      <sheetName val="EBITDA59"/>
      <sheetName val="ค่าใช้จ่ายที่ไม่เกี่ยวดำเนินงาน"/>
      <sheetName val="รายได้ไม่เกี่ยวดำเนินงาน"/>
      <sheetName val="ค่าเสื่อมราคา"/>
      <sheetName val="อัตราการใช้น้ำรายเดือน"/>
      <sheetName val="อัตราการใช้น้ำสะสม"/>
      <sheetName val="Goal1M "/>
      <sheetName val="Goal2M"/>
      <sheetName val="Goal3M"/>
      <sheetName val="Goal4M"/>
      <sheetName val="Goal5M"/>
      <sheetName val="Goal6M"/>
      <sheetName val="Goal7M"/>
      <sheetName val="Goal8M"/>
      <sheetName val="Goal9M"/>
      <sheetName val="Goal10M"/>
      <sheetName val="Goal11M"/>
      <sheetName val="Goal12M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9">
          <cell r="C69">
            <v>62361190</v>
          </cell>
          <cell r="D69">
            <v>63717212</v>
          </cell>
          <cell r="E69">
            <v>63184067</v>
          </cell>
          <cell r="F69">
            <v>65684599</v>
          </cell>
          <cell r="G69">
            <v>64462760</v>
          </cell>
          <cell r="H69">
            <v>62998054</v>
          </cell>
          <cell r="I69">
            <v>68917754</v>
          </cell>
          <cell r="J69">
            <v>70581945</v>
          </cell>
          <cell r="K69">
            <v>69337795</v>
          </cell>
          <cell r="L69">
            <v>64881573</v>
          </cell>
          <cell r="M69">
            <v>64526851</v>
          </cell>
          <cell r="N69">
            <v>67335758</v>
          </cell>
          <cell r="AO69">
            <v>787989560</v>
          </cell>
        </row>
        <row r="70">
          <cell r="C70">
            <v>851660</v>
          </cell>
          <cell r="D70">
            <v>838431</v>
          </cell>
          <cell r="E70">
            <v>831212</v>
          </cell>
          <cell r="F70">
            <v>913052</v>
          </cell>
          <cell r="G70">
            <v>867038</v>
          </cell>
          <cell r="H70">
            <v>917601</v>
          </cell>
          <cell r="I70">
            <v>1034162</v>
          </cell>
          <cell r="J70">
            <v>1068271</v>
          </cell>
          <cell r="K70">
            <v>1006285</v>
          </cell>
          <cell r="L70">
            <v>897486</v>
          </cell>
          <cell r="M70">
            <v>905524</v>
          </cell>
          <cell r="N70">
            <v>915837</v>
          </cell>
          <cell r="AO70">
            <v>11046560</v>
          </cell>
        </row>
        <row r="71">
          <cell r="C71">
            <v>4386878</v>
          </cell>
          <cell r="D71">
            <v>4592887</v>
          </cell>
          <cell r="E71">
            <v>4732323</v>
          </cell>
          <cell r="F71">
            <v>4898695</v>
          </cell>
          <cell r="G71">
            <v>5010430</v>
          </cell>
          <cell r="H71">
            <v>4754308</v>
          </cell>
          <cell r="I71">
            <v>5300802</v>
          </cell>
          <cell r="J71">
            <v>5718470</v>
          </cell>
          <cell r="K71">
            <v>5690772</v>
          </cell>
          <cell r="L71">
            <v>4959719</v>
          </cell>
          <cell r="M71">
            <v>5943731</v>
          </cell>
          <cell r="N71">
            <v>5066205</v>
          </cell>
          <cell r="AO71">
            <v>61055220</v>
          </cell>
        </row>
        <row r="72">
          <cell r="C72">
            <v>8541039</v>
          </cell>
          <cell r="D72">
            <v>9977657</v>
          </cell>
          <cell r="E72">
            <v>8995180</v>
          </cell>
          <cell r="F72">
            <v>9040850</v>
          </cell>
          <cell r="G72">
            <v>8622254</v>
          </cell>
          <cell r="H72">
            <v>8801656</v>
          </cell>
          <cell r="I72">
            <v>10168262</v>
          </cell>
          <cell r="J72">
            <v>9764448</v>
          </cell>
          <cell r="K72">
            <v>9732742</v>
          </cell>
          <cell r="L72">
            <v>9526994</v>
          </cell>
          <cell r="M72">
            <v>8855105</v>
          </cell>
          <cell r="N72">
            <v>10651370</v>
          </cell>
          <cell r="AO72">
            <v>112677560</v>
          </cell>
        </row>
        <row r="73">
          <cell r="C73">
            <v>1747027</v>
          </cell>
          <cell r="D73">
            <v>1784405</v>
          </cell>
          <cell r="E73">
            <v>1794580</v>
          </cell>
          <cell r="F73">
            <v>1935467</v>
          </cell>
          <cell r="G73">
            <v>1962447</v>
          </cell>
          <cell r="H73">
            <v>1899597</v>
          </cell>
          <cell r="I73">
            <v>2138821</v>
          </cell>
          <cell r="J73">
            <v>2368630</v>
          </cell>
          <cell r="K73">
            <v>2154440</v>
          </cell>
          <cell r="L73">
            <v>2108061</v>
          </cell>
          <cell r="M73">
            <v>2141539</v>
          </cell>
          <cell r="N73">
            <v>2085414</v>
          </cell>
          <cell r="AO73">
            <v>24120430</v>
          </cell>
        </row>
        <row r="74">
          <cell r="C74">
            <v>2098044</v>
          </cell>
          <cell r="D74">
            <v>2447129</v>
          </cell>
          <cell r="E74">
            <v>2091393</v>
          </cell>
          <cell r="F74">
            <v>2253947</v>
          </cell>
          <cell r="G74">
            <v>2182299</v>
          </cell>
          <cell r="H74">
            <v>2130794</v>
          </cell>
          <cell r="I74">
            <v>2410536</v>
          </cell>
          <cell r="J74">
            <v>2483815</v>
          </cell>
          <cell r="K74">
            <v>2446945</v>
          </cell>
          <cell r="L74">
            <v>2348391</v>
          </cell>
          <cell r="M74">
            <v>2335067</v>
          </cell>
          <cell r="N74">
            <v>2317619</v>
          </cell>
          <cell r="AO74">
            <v>27545980</v>
          </cell>
        </row>
        <row r="75">
          <cell r="C75">
            <v>2824844</v>
          </cell>
          <cell r="D75">
            <v>2871281</v>
          </cell>
          <cell r="E75">
            <v>2766415</v>
          </cell>
          <cell r="F75">
            <v>2992590</v>
          </cell>
          <cell r="G75">
            <v>2855992</v>
          </cell>
          <cell r="H75">
            <v>2788017</v>
          </cell>
          <cell r="I75">
            <v>3177414</v>
          </cell>
          <cell r="J75">
            <v>3457965</v>
          </cell>
          <cell r="K75">
            <v>3218621</v>
          </cell>
          <cell r="L75">
            <v>2807948</v>
          </cell>
          <cell r="M75">
            <v>2797435</v>
          </cell>
          <cell r="N75">
            <v>2832949</v>
          </cell>
          <cell r="AO75">
            <v>35391470</v>
          </cell>
        </row>
        <row r="76">
          <cell r="C76">
            <v>1634428</v>
          </cell>
          <cell r="D76">
            <v>1749991</v>
          </cell>
          <cell r="E76">
            <v>1643092</v>
          </cell>
          <cell r="F76">
            <v>1655145</v>
          </cell>
          <cell r="G76">
            <v>1661317</v>
          </cell>
          <cell r="H76">
            <v>1662806</v>
          </cell>
          <cell r="I76">
            <v>1944834</v>
          </cell>
          <cell r="J76">
            <v>2144861</v>
          </cell>
          <cell r="K76">
            <v>1997815</v>
          </cell>
          <cell r="L76">
            <v>1774667</v>
          </cell>
          <cell r="M76">
            <v>1702801</v>
          </cell>
          <cell r="N76">
            <v>1688923</v>
          </cell>
          <cell r="AO76">
            <v>21260680</v>
          </cell>
        </row>
        <row r="77">
          <cell r="C77">
            <v>5501410</v>
          </cell>
          <cell r="D77">
            <v>5650725</v>
          </cell>
          <cell r="E77">
            <v>5574922</v>
          </cell>
          <cell r="F77">
            <v>5470787</v>
          </cell>
          <cell r="G77">
            <v>5589504</v>
          </cell>
          <cell r="H77">
            <v>5434910</v>
          </cell>
          <cell r="I77">
            <v>6020269</v>
          </cell>
          <cell r="J77">
            <v>6777965</v>
          </cell>
          <cell r="K77">
            <v>6493069</v>
          </cell>
          <cell r="L77">
            <v>6066562</v>
          </cell>
          <cell r="M77">
            <v>5977404</v>
          </cell>
          <cell r="N77">
            <v>6119427</v>
          </cell>
          <cell r="AO77">
            <v>70676950</v>
          </cell>
        </row>
        <row r="78">
          <cell r="C78">
            <v>288983</v>
          </cell>
          <cell r="D78">
            <v>315447</v>
          </cell>
          <cell r="E78">
            <v>311722</v>
          </cell>
          <cell r="F78">
            <v>319231</v>
          </cell>
          <cell r="G78">
            <v>305873</v>
          </cell>
          <cell r="H78">
            <v>319153</v>
          </cell>
          <cell r="I78">
            <v>405402</v>
          </cell>
          <cell r="J78">
            <v>395442</v>
          </cell>
          <cell r="K78">
            <v>399246</v>
          </cell>
          <cell r="L78">
            <v>359364</v>
          </cell>
          <cell r="M78">
            <v>340161</v>
          </cell>
          <cell r="N78">
            <v>342646</v>
          </cell>
          <cell r="AO78">
            <v>4102670</v>
          </cell>
        </row>
        <row r="79">
          <cell r="C79">
            <v>14048339</v>
          </cell>
          <cell r="D79">
            <v>14269312</v>
          </cell>
          <cell r="E79">
            <v>14129919</v>
          </cell>
          <cell r="F79">
            <v>14563201</v>
          </cell>
          <cell r="G79">
            <v>13909411</v>
          </cell>
          <cell r="H79">
            <v>13874438</v>
          </cell>
          <cell r="I79">
            <v>15825581</v>
          </cell>
          <cell r="J79">
            <v>16649749</v>
          </cell>
          <cell r="K79">
            <v>16238548</v>
          </cell>
          <cell r="L79">
            <v>15147479</v>
          </cell>
          <cell r="M79">
            <v>14178691</v>
          </cell>
          <cell r="N79">
            <v>15093411</v>
          </cell>
          <cell r="AO79">
            <v>177928080</v>
          </cell>
        </row>
        <row r="80">
          <cell r="C80">
            <v>1407690</v>
          </cell>
          <cell r="D80">
            <v>1459759</v>
          </cell>
          <cell r="E80">
            <v>1465028</v>
          </cell>
          <cell r="F80">
            <v>1535005</v>
          </cell>
          <cell r="G80">
            <v>1472451</v>
          </cell>
          <cell r="H80">
            <v>1438300</v>
          </cell>
          <cell r="I80">
            <v>1734029</v>
          </cell>
          <cell r="J80">
            <v>1955554</v>
          </cell>
          <cell r="K80">
            <v>1573992</v>
          </cell>
          <cell r="L80">
            <v>1770019</v>
          </cell>
          <cell r="M80">
            <v>1565737</v>
          </cell>
          <cell r="N80">
            <v>1531356</v>
          </cell>
          <cell r="AO80">
            <v>18908920</v>
          </cell>
        </row>
        <row r="81">
          <cell r="C81">
            <v>1969151</v>
          </cell>
          <cell r="D81">
            <v>2072225</v>
          </cell>
          <cell r="E81">
            <v>2062211</v>
          </cell>
          <cell r="F81">
            <v>2142524</v>
          </cell>
          <cell r="G81">
            <v>2105612</v>
          </cell>
          <cell r="H81">
            <v>2146102</v>
          </cell>
          <cell r="I81">
            <v>2516746</v>
          </cell>
          <cell r="J81">
            <v>2725132</v>
          </cell>
          <cell r="K81">
            <v>2451969</v>
          </cell>
          <cell r="L81">
            <v>2156250</v>
          </cell>
          <cell r="M81">
            <v>2147011</v>
          </cell>
          <cell r="N81">
            <v>2129920</v>
          </cell>
          <cell r="AO81">
            <v>26624860</v>
          </cell>
        </row>
        <row r="82">
          <cell r="C82">
            <v>4254893</v>
          </cell>
          <cell r="D82">
            <v>4287804</v>
          </cell>
          <cell r="E82">
            <v>4341395</v>
          </cell>
          <cell r="F82">
            <v>4357036</v>
          </cell>
          <cell r="G82">
            <v>4305575</v>
          </cell>
          <cell r="H82">
            <v>4168327</v>
          </cell>
          <cell r="I82">
            <v>4849121</v>
          </cell>
          <cell r="J82">
            <v>5060253</v>
          </cell>
          <cell r="K82">
            <v>4778500</v>
          </cell>
          <cell r="L82">
            <v>4559227</v>
          </cell>
          <cell r="M82">
            <v>4343647</v>
          </cell>
          <cell r="N82">
            <v>4363370</v>
          </cell>
          <cell r="AO82">
            <v>53669150</v>
          </cell>
        </row>
        <row r="83">
          <cell r="C83">
            <v>1699409</v>
          </cell>
          <cell r="D83">
            <v>1708725</v>
          </cell>
          <cell r="E83">
            <v>1753165</v>
          </cell>
          <cell r="F83">
            <v>1776592</v>
          </cell>
          <cell r="G83">
            <v>1722034</v>
          </cell>
          <cell r="H83">
            <v>1690872</v>
          </cell>
          <cell r="I83">
            <v>1992066</v>
          </cell>
          <cell r="J83">
            <v>2189679</v>
          </cell>
          <cell r="K83">
            <v>2053666</v>
          </cell>
          <cell r="L83">
            <v>1904506</v>
          </cell>
          <cell r="M83">
            <v>1733630</v>
          </cell>
          <cell r="N83">
            <v>1689066</v>
          </cell>
          <cell r="AO83">
            <v>21913410</v>
          </cell>
        </row>
        <row r="84">
          <cell r="C84">
            <v>1101672</v>
          </cell>
          <cell r="D84">
            <v>1085813</v>
          </cell>
          <cell r="E84">
            <v>1114049</v>
          </cell>
          <cell r="F84">
            <v>1097458</v>
          </cell>
          <cell r="G84">
            <v>1010128</v>
          </cell>
          <cell r="H84">
            <v>1097095</v>
          </cell>
          <cell r="I84">
            <v>1250344</v>
          </cell>
          <cell r="J84">
            <v>1299964</v>
          </cell>
          <cell r="K84">
            <v>1189120</v>
          </cell>
          <cell r="L84">
            <v>1079559</v>
          </cell>
          <cell r="M84">
            <v>1035473</v>
          </cell>
          <cell r="N84">
            <v>1171641</v>
          </cell>
          <cell r="AO84">
            <v>13532320</v>
          </cell>
        </row>
        <row r="85">
          <cell r="C85">
            <v>5639365</v>
          </cell>
          <cell r="D85">
            <v>5935078</v>
          </cell>
          <cell r="E85">
            <v>5835143</v>
          </cell>
          <cell r="F85">
            <v>6229320</v>
          </cell>
          <cell r="G85">
            <v>5424056</v>
          </cell>
          <cell r="H85">
            <v>5769587</v>
          </cell>
          <cell r="I85">
            <v>6325824</v>
          </cell>
          <cell r="J85">
            <v>6335159</v>
          </cell>
          <cell r="K85">
            <v>6291830</v>
          </cell>
          <cell r="L85">
            <v>6168988</v>
          </cell>
          <cell r="M85">
            <v>5678276</v>
          </cell>
          <cell r="N85">
            <v>6226424</v>
          </cell>
          <cell r="AO85">
            <v>71859050</v>
          </cell>
        </row>
        <row r="86">
          <cell r="C86">
            <v>1544548</v>
          </cell>
          <cell r="D86">
            <v>1569113</v>
          </cell>
          <cell r="E86">
            <v>1539313</v>
          </cell>
          <cell r="F86">
            <v>1713939</v>
          </cell>
          <cell r="G86">
            <v>1502442</v>
          </cell>
          <cell r="H86">
            <v>1516296</v>
          </cell>
          <cell r="I86">
            <v>1687320</v>
          </cell>
          <cell r="J86">
            <v>1688881</v>
          </cell>
          <cell r="K86">
            <v>1713069</v>
          </cell>
          <cell r="L86">
            <v>1693292</v>
          </cell>
          <cell r="M86">
            <v>1562613</v>
          </cell>
          <cell r="N86">
            <v>1641433</v>
          </cell>
          <cell r="AO86">
            <v>19372260</v>
          </cell>
        </row>
        <row r="87">
          <cell r="C87">
            <v>7239349</v>
          </cell>
          <cell r="D87">
            <v>8094528</v>
          </cell>
          <cell r="E87">
            <v>7243479</v>
          </cell>
          <cell r="F87">
            <v>7645616</v>
          </cell>
          <cell r="G87">
            <v>7182389</v>
          </cell>
          <cell r="H87">
            <v>7052920</v>
          </cell>
          <cell r="I87">
            <v>8380670</v>
          </cell>
          <cell r="J87">
            <v>8441829</v>
          </cell>
          <cell r="K87">
            <v>8420413</v>
          </cell>
          <cell r="L87">
            <v>8118966</v>
          </cell>
          <cell r="M87">
            <v>7585381</v>
          </cell>
          <cell r="N87">
            <v>7899802</v>
          </cell>
          <cell r="AO87">
            <v>93305340</v>
          </cell>
        </row>
        <row r="88">
          <cell r="C88">
            <v>1641226</v>
          </cell>
          <cell r="D88">
            <v>1623322</v>
          </cell>
          <cell r="E88">
            <v>1599516</v>
          </cell>
          <cell r="F88">
            <v>1757877</v>
          </cell>
          <cell r="G88">
            <v>1619000</v>
          </cell>
          <cell r="H88">
            <v>1589163</v>
          </cell>
          <cell r="I88">
            <v>1855540</v>
          </cell>
          <cell r="J88">
            <v>1889490</v>
          </cell>
          <cell r="K88">
            <v>1845237</v>
          </cell>
          <cell r="L88">
            <v>1799592</v>
          </cell>
          <cell r="M88">
            <v>1697552</v>
          </cell>
          <cell r="N88">
            <v>1818783</v>
          </cell>
          <cell r="AO88">
            <v>20736300</v>
          </cell>
        </row>
        <row r="89">
          <cell r="C89">
            <v>13350443</v>
          </cell>
          <cell r="D89">
            <v>13254684</v>
          </cell>
          <cell r="E89">
            <v>13021140</v>
          </cell>
          <cell r="F89">
            <v>14106705</v>
          </cell>
          <cell r="G89">
            <v>13434366</v>
          </cell>
          <cell r="H89">
            <v>12975846</v>
          </cell>
          <cell r="I89">
            <v>14267351</v>
          </cell>
          <cell r="J89">
            <v>14186473</v>
          </cell>
          <cell r="K89">
            <v>14504638</v>
          </cell>
          <cell r="L89">
            <v>14526795</v>
          </cell>
          <cell r="M89">
            <v>13433007</v>
          </cell>
          <cell r="N89">
            <v>14170565</v>
          </cell>
          <cell r="AO89">
            <v>165232010</v>
          </cell>
        </row>
        <row r="90">
          <cell r="C90">
            <v>1900646</v>
          </cell>
          <cell r="D90">
            <v>1899001</v>
          </cell>
          <cell r="E90">
            <v>1838295</v>
          </cell>
          <cell r="F90">
            <v>1997991</v>
          </cell>
          <cell r="G90">
            <v>1858852</v>
          </cell>
          <cell r="H90">
            <v>1863543</v>
          </cell>
          <cell r="I90">
            <v>2174764</v>
          </cell>
          <cell r="J90">
            <v>2269881</v>
          </cell>
          <cell r="K90">
            <v>2214712</v>
          </cell>
          <cell r="L90">
            <v>2085387</v>
          </cell>
          <cell r="M90">
            <v>2004279</v>
          </cell>
          <cell r="N90">
            <v>2024731</v>
          </cell>
          <cell r="AO90">
            <v>24132080</v>
          </cell>
        </row>
        <row r="91">
          <cell r="C91">
            <v>831392</v>
          </cell>
          <cell r="D91">
            <v>820603</v>
          </cell>
          <cell r="E91">
            <v>843505</v>
          </cell>
          <cell r="F91">
            <v>842946</v>
          </cell>
          <cell r="G91">
            <v>814855</v>
          </cell>
          <cell r="H91">
            <v>790306</v>
          </cell>
          <cell r="I91">
            <v>925377</v>
          </cell>
          <cell r="J91">
            <v>920093</v>
          </cell>
          <cell r="K91">
            <v>912959</v>
          </cell>
          <cell r="L91">
            <v>891779</v>
          </cell>
          <cell r="M91">
            <v>840724</v>
          </cell>
          <cell r="N91">
            <v>866369</v>
          </cell>
          <cell r="AO91">
            <v>10300910</v>
          </cell>
        </row>
        <row r="92">
          <cell r="C92">
            <v>1186202</v>
          </cell>
          <cell r="D92">
            <v>1239433</v>
          </cell>
          <cell r="E92">
            <v>1157040</v>
          </cell>
          <cell r="F92">
            <v>1213067</v>
          </cell>
          <cell r="G92">
            <v>1127213</v>
          </cell>
          <cell r="H92">
            <v>1198946</v>
          </cell>
          <cell r="I92">
            <v>1378225</v>
          </cell>
          <cell r="J92">
            <v>1404566</v>
          </cell>
          <cell r="K92">
            <v>1332960</v>
          </cell>
          <cell r="L92">
            <v>1260897</v>
          </cell>
          <cell r="M92">
            <v>1258063</v>
          </cell>
          <cell r="N92">
            <v>1175625</v>
          </cell>
          <cell r="AO92">
            <v>14932240</v>
          </cell>
        </row>
        <row r="93">
          <cell r="C93">
            <v>6566222</v>
          </cell>
          <cell r="D93">
            <v>6647589</v>
          </cell>
          <cell r="E93">
            <v>6457510</v>
          </cell>
          <cell r="F93">
            <v>6844821</v>
          </cell>
          <cell r="G93">
            <v>6663526</v>
          </cell>
          <cell r="H93">
            <v>6175036</v>
          </cell>
          <cell r="I93">
            <v>7345685</v>
          </cell>
          <cell r="J93">
            <v>7376373</v>
          </cell>
          <cell r="K93">
            <v>7442492</v>
          </cell>
          <cell r="L93">
            <v>7228397</v>
          </cell>
          <cell r="M93">
            <v>6839065</v>
          </cell>
          <cell r="N93">
            <v>7874430</v>
          </cell>
          <cell r="AO93">
            <v>83461150</v>
          </cell>
        </row>
        <row r="94">
          <cell r="C94">
            <v>942767</v>
          </cell>
          <cell r="D94">
            <v>987137</v>
          </cell>
          <cell r="E94">
            <v>965437</v>
          </cell>
          <cell r="F94">
            <v>1068450</v>
          </cell>
          <cell r="G94">
            <v>1004716</v>
          </cell>
          <cell r="H94">
            <v>993546</v>
          </cell>
          <cell r="I94">
            <v>1108902</v>
          </cell>
          <cell r="J94">
            <v>1246299</v>
          </cell>
          <cell r="K94">
            <v>1120827</v>
          </cell>
          <cell r="L94">
            <v>1071586</v>
          </cell>
          <cell r="M94">
            <v>976627</v>
          </cell>
          <cell r="N94">
            <v>1075668</v>
          </cell>
          <cell r="AO94">
            <v>12561960</v>
          </cell>
        </row>
        <row r="95">
          <cell r="C95">
            <v>1192226</v>
          </cell>
          <cell r="D95">
            <v>1204366</v>
          </cell>
          <cell r="E95">
            <v>1206771</v>
          </cell>
          <cell r="F95">
            <v>1295008</v>
          </cell>
          <cell r="G95">
            <v>1205016</v>
          </cell>
          <cell r="H95">
            <v>1211014</v>
          </cell>
          <cell r="I95">
            <v>1433928</v>
          </cell>
          <cell r="J95">
            <v>1456495</v>
          </cell>
          <cell r="K95">
            <v>1438011</v>
          </cell>
          <cell r="L95">
            <v>1259796</v>
          </cell>
          <cell r="M95">
            <v>1293205</v>
          </cell>
          <cell r="N95">
            <v>1337286</v>
          </cell>
          <cell r="AO95">
            <v>15533120</v>
          </cell>
        </row>
        <row r="96">
          <cell r="C96">
            <v>156771040</v>
          </cell>
          <cell r="D96">
            <v>162120575</v>
          </cell>
          <cell r="E96">
            <v>158528242</v>
          </cell>
          <cell r="F96">
            <v>165381840</v>
          </cell>
          <cell r="G96">
            <v>159897394</v>
          </cell>
          <cell r="H96">
            <v>157285986</v>
          </cell>
          <cell r="I96">
            <v>176588413</v>
          </cell>
          <cell r="J96">
            <v>181885706</v>
          </cell>
          <cell r="K96">
            <v>178022493</v>
          </cell>
          <cell r="L96">
            <v>168471578</v>
          </cell>
          <cell r="M96">
            <v>163786030</v>
          </cell>
          <cell r="N96">
            <v>171537925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69">
          <cell r="B69">
            <v>16807950</v>
          </cell>
          <cell r="C69">
            <v>14830200</v>
          </cell>
          <cell r="D69">
            <v>13822838</v>
          </cell>
          <cell r="E69">
            <v>14711186</v>
          </cell>
          <cell r="F69">
            <v>14698128</v>
          </cell>
          <cell r="G69">
            <v>16071892</v>
          </cell>
          <cell r="H69">
            <v>15571520</v>
          </cell>
          <cell r="I69">
            <v>15661653</v>
          </cell>
          <cell r="J69">
            <v>16426074</v>
          </cell>
          <cell r="K69">
            <v>16090739</v>
          </cell>
          <cell r="L69">
            <v>16464740</v>
          </cell>
          <cell r="M69">
            <v>17571156</v>
          </cell>
          <cell r="AO69">
            <v>188728070</v>
          </cell>
        </row>
        <row r="70">
          <cell r="B70">
            <v>652054</v>
          </cell>
          <cell r="C70">
            <v>613512</v>
          </cell>
          <cell r="D70">
            <v>629908</v>
          </cell>
          <cell r="E70">
            <v>664002</v>
          </cell>
          <cell r="F70">
            <v>644024</v>
          </cell>
          <cell r="G70">
            <v>649058</v>
          </cell>
          <cell r="H70">
            <v>627213</v>
          </cell>
          <cell r="I70">
            <v>662715</v>
          </cell>
          <cell r="J70">
            <v>711529</v>
          </cell>
          <cell r="K70">
            <v>647212</v>
          </cell>
          <cell r="L70">
            <v>681158</v>
          </cell>
          <cell r="M70">
            <v>703913</v>
          </cell>
          <cell r="AO70">
            <v>7886300</v>
          </cell>
        </row>
        <row r="71">
          <cell r="B71">
            <v>1281187</v>
          </cell>
          <cell r="C71">
            <v>1320487</v>
          </cell>
          <cell r="D71">
            <v>1465289</v>
          </cell>
          <cell r="E71">
            <v>1410541</v>
          </cell>
          <cell r="F71">
            <v>1367097</v>
          </cell>
          <cell r="G71">
            <v>1555586</v>
          </cell>
          <cell r="H71">
            <v>1401124</v>
          </cell>
          <cell r="I71">
            <v>1322315</v>
          </cell>
          <cell r="J71">
            <v>1538969</v>
          </cell>
          <cell r="K71">
            <v>1375329</v>
          </cell>
          <cell r="L71">
            <v>1333793</v>
          </cell>
          <cell r="M71">
            <v>1473405</v>
          </cell>
          <cell r="AO71">
            <v>16845120</v>
          </cell>
        </row>
        <row r="72">
          <cell r="B72">
            <v>2845557</v>
          </cell>
          <cell r="C72">
            <v>2626362</v>
          </cell>
          <cell r="D72">
            <v>2683283</v>
          </cell>
          <cell r="E72">
            <v>2740902</v>
          </cell>
          <cell r="F72">
            <v>2538654</v>
          </cell>
          <cell r="G72">
            <v>2816071</v>
          </cell>
          <cell r="H72">
            <v>2409953</v>
          </cell>
          <cell r="I72">
            <v>2650910</v>
          </cell>
          <cell r="J72">
            <v>2761594</v>
          </cell>
          <cell r="K72">
            <v>2686425</v>
          </cell>
          <cell r="L72">
            <v>3013126</v>
          </cell>
          <cell r="M72">
            <v>2536934</v>
          </cell>
          <cell r="AO72">
            <v>32309770</v>
          </cell>
        </row>
        <row r="73">
          <cell r="B73">
            <v>953273</v>
          </cell>
          <cell r="C73">
            <v>1079583</v>
          </cell>
          <cell r="D73">
            <v>1075719</v>
          </cell>
          <cell r="E73">
            <v>1081465</v>
          </cell>
          <cell r="F73">
            <v>1103223</v>
          </cell>
          <cell r="G73">
            <v>1214391</v>
          </cell>
          <cell r="H73">
            <v>1103301</v>
          </cell>
          <cell r="I73">
            <v>1135097</v>
          </cell>
          <cell r="J73">
            <v>1169974</v>
          </cell>
          <cell r="K73">
            <v>1181399</v>
          </cell>
          <cell r="L73">
            <v>1118678</v>
          </cell>
          <cell r="M73">
            <v>1211774</v>
          </cell>
          <cell r="AO73">
            <v>13427880</v>
          </cell>
        </row>
        <row r="74">
          <cell r="B74">
            <v>1004464</v>
          </cell>
          <cell r="C74">
            <v>918435</v>
          </cell>
          <cell r="D74">
            <v>965920</v>
          </cell>
          <cell r="E74">
            <v>1046217</v>
          </cell>
          <cell r="F74">
            <v>997018</v>
          </cell>
          <cell r="G74">
            <v>986699</v>
          </cell>
          <cell r="H74">
            <v>949156</v>
          </cell>
          <cell r="I74">
            <v>1057087</v>
          </cell>
          <cell r="J74">
            <v>1052296</v>
          </cell>
          <cell r="K74">
            <v>998022</v>
          </cell>
          <cell r="L74">
            <v>1106313</v>
          </cell>
          <cell r="M74">
            <v>1011165</v>
          </cell>
          <cell r="AO74">
            <v>12092790</v>
          </cell>
        </row>
        <row r="75">
          <cell r="B75">
            <v>1216792</v>
          </cell>
          <cell r="C75">
            <v>1201397</v>
          </cell>
          <cell r="D75">
            <v>1150669</v>
          </cell>
          <cell r="E75">
            <v>1172899</v>
          </cell>
          <cell r="F75">
            <v>1243997</v>
          </cell>
          <cell r="G75">
            <v>1256298</v>
          </cell>
          <cell r="H75">
            <v>1207290</v>
          </cell>
          <cell r="I75">
            <v>1277605</v>
          </cell>
          <cell r="J75">
            <v>1333646</v>
          </cell>
          <cell r="K75">
            <v>1242336</v>
          </cell>
          <cell r="L75">
            <v>1362052</v>
          </cell>
          <cell r="M75">
            <v>1427128</v>
          </cell>
          <cell r="AO75">
            <v>15092110</v>
          </cell>
        </row>
        <row r="76">
          <cell r="B76">
            <v>902750</v>
          </cell>
          <cell r="C76">
            <v>909457</v>
          </cell>
          <cell r="D76">
            <v>917328</v>
          </cell>
          <cell r="E76">
            <v>894198</v>
          </cell>
          <cell r="F76">
            <v>926618</v>
          </cell>
          <cell r="G76">
            <v>954703</v>
          </cell>
          <cell r="H76">
            <v>940118</v>
          </cell>
          <cell r="I76">
            <v>1001501</v>
          </cell>
          <cell r="J76">
            <v>1191242</v>
          </cell>
          <cell r="K76">
            <v>899904</v>
          </cell>
          <cell r="L76">
            <v>1030344</v>
          </cell>
          <cell r="M76">
            <v>1012751</v>
          </cell>
          <cell r="AO76">
            <v>11580920</v>
          </cell>
        </row>
        <row r="77">
          <cell r="B77">
            <v>1986064</v>
          </cell>
          <cell r="C77">
            <v>2062153</v>
          </cell>
          <cell r="D77">
            <v>1996141</v>
          </cell>
          <cell r="E77">
            <v>1994757</v>
          </cell>
          <cell r="F77">
            <v>2019062</v>
          </cell>
          <cell r="G77">
            <v>2090910</v>
          </cell>
          <cell r="H77">
            <v>2042219</v>
          </cell>
          <cell r="I77">
            <v>2155992</v>
          </cell>
          <cell r="J77">
            <v>1929239</v>
          </cell>
          <cell r="K77">
            <v>2058135</v>
          </cell>
          <cell r="L77">
            <v>2109018</v>
          </cell>
          <cell r="M77">
            <v>2533083</v>
          </cell>
          <cell r="AO77">
            <v>24976770</v>
          </cell>
        </row>
        <row r="78">
          <cell r="B78">
            <v>335719</v>
          </cell>
          <cell r="C78">
            <v>575300</v>
          </cell>
          <cell r="D78">
            <v>394592</v>
          </cell>
          <cell r="E78">
            <v>368835</v>
          </cell>
          <cell r="F78">
            <v>399645</v>
          </cell>
          <cell r="G78">
            <v>392979</v>
          </cell>
          <cell r="H78">
            <v>343855</v>
          </cell>
          <cell r="I78">
            <v>356214</v>
          </cell>
          <cell r="J78">
            <v>394795</v>
          </cell>
          <cell r="K78">
            <v>367844</v>
          </cell>
          <cell r="L78">
            <v>406971</v>
          </cell>
          <cell r="M78">
            <v>419262</v>
          </cell>
          <cell r="AO78">
            <v>4756010</v>
          </cell>
        </row>
        <row r="79">
          <cell r="B79">
            <v>5240952</v>
          </cell>
          <cell r="C79">
            <v>4538316</v>
          </cell>
          <cell r="D79">
            <v>3882694</v>
          </cell>
          <cell r="E79">
            <v>4591242</v>
          </cell>
          <cell r="F79">
            <v>4405911</v>
          </cell>
          <cell r="G79">
            <v>4934594</v>
          </cell>
          <cell r="H79">
            <v>4791903</v>
          </cell>
          <cell r="I79">
            <v>4760606</v>
          </cell>
          <cell r="J79">
            <v>4990782</v>
          </cell>
          <cell r="K79">
            <v>4664435</v>
          </cell>
          <cell r="L79">
            <v>4741535</v>
          </cell>
          <cell r="M79">
            <v>4996156</v>
          </cell>
          <cell r="AO79">
            <v>56539130</v>
          </cell>
        </row>
        <row r="80">
          <cell r="B80">
            <v>983049</v>
          </cell>
          <cell r="C80">
            <v>1041116</v>
          </cell>
          <cell r="D80">
            <v>1087781</v>
          </cell>
          <cell r="E80">
            <v>993384</v>
          </cell>
          <cell r="F80">
            <v>1011297</v>
          </cell>
          <cell r="G80">
            <v>1027667</v>
          </cell>
          <cell r="H80">
            <v>928716</v>
          </cell>
          <cell r="I80">
            <v>997384</v>
          </cell>
          <cell r="J80">
            <v>1086374</v>
          </cell>
          <cell r="K80">
            <v>1000786</v>
          </cell>
          <cell r="L80">
            <v>1045752</v>
          </cell>
          <cell r="M80">
            <v>1170008</v>
          </cell>
          <cell r="AO80">
            <v>12373310</v>
          </cell>
        </row>
        <row r="81">
          <cell r="B81">
            <v>1084878</v>
          </cell>
          <cell r="C81">
            <v>1149176</v>
          </cell>
          <cell r="D81">
            <v>1089750</v>
          </cell>
          <cell r="E81">
            <v>1065813</v>
          </cell>
          <cell r="F81">
            <v>1153131</v>
          </cell>
          <cell r="G81">
            <v>1149054</v>
          </cell>
          <cell r="H81">
            <v>1139846</v>
          </cell>
          <cell r="I81">
            <v>1284006</v>
          </cell>
          <cell r="J81">
            <v>1177611</v>
          </cell>
          <cell r="K81">
            <v>1123846</v>
          </cell>
          <cell r="L81">
            <v>1127680</v>
          </cell>
          <cell r="M81">
            <v>1347692</v>
          </cell>
          <cell r="AO81">
            <v>13894480</v>
          </cell>
        </row>
        <row r="82">
          <cell r="B82">
            <v>1828617</v>
          </cell>
          <cell r="C82">
            <v>1762176</v>
          </cell>
          <cell r="D82">
            <v>1736262</v>
          </cell>
          <cell r="E82">
            <v>1845824</v>
          </cell>
          <cell r="F82">
            <v>1817465</v>
          </cell>
          <cell r="G82">
            <v>1948885</v>
          </cell>
          <cell r="H82">
            <v>1794703</v>
          </cell>
          <cell r="I82">
            <v>1877485</v>
          </cell>
          <cell r="J82">
            <v>2032307</v>
          </cell>
          <cell r="K82">
            <v>1874855</v>
          </cell>
          <cell r="L82">
            <v>1951796</v>
          </cell>
          <cell r="M82">
            <v>2124893</v>
          </cell>
          <cell r="AO82">
            <v>22595260</v>
          </cell>
        </row>
        <row r="83">
          <cell r="B83">
            <v>954269</v>
          </cell>
          <cell r="C83">
            <v>920376</v>
          </cell>
          <cell r="D83">
            <v>925713</v>
          </cell>
          <cell r="E83">
            <v>969774</v>
          </cell>
          <cell r="F83">
            <v>977909</v>
          </cell>
          <cell r="G83">
            <v>1004973</v>
          </cell>
          <cell r="H83">
            <v>949532</v>
          </cell>
          <cell r="I83">
            <v>950817</v>
          </cell>
          <cell r="J83">
            <v>1104456</v>
          </cell>
          <cell r="K83">
            <v>988944</v>
          </cell>
          <cell r="L83">
            <v>974648</v>
          </cell>
          <cell r="M83">
            <v>1035200</v>
          </cell>
          <cell r="AO83">
            <v>11758610</v>
          </cell>
        </row>
        <row r="84">
          <cell r="B84">
            <v>805785</v>
          </cell>
          <cell r="C84">
            <v>751433</v>
          </cell>
          <cell r="D84">
            <v>735226</v>
          </cell>
          <cell r="E84">
            <v>765703</v>
          </cell>
          <cell r="F84">
            <v>750896</v>
          </cell>
          <cell r="G84">
            <v>792816</v>
          </cell>
          <cell r="H84">
            <v>726432</v>
          </cell>
          <cell r="I84">
            <v>746861</v>
          </cell>
          <cell r="J84">
            <v>789355</v>
          </cell>
          <cell r="K84">
            <v>814641</v>
          </cell>
          <cell r="L84">
            <v>811149</v>
          </cell>
          <cell r="M84">
            <v>831504</v>
          </cell>
          <cell r="AO84">
            <v>9321800</v>
          </cell>
        </row>
        <row r="85">
          <cell r="B85">
            <v>1988535</v>
          </cell>
          <cell r="C85">
            <v>1905559</v>
          </cell>
          <cell r="D85">
            <v>1897227</v>
          </cell>
          <cell r="E85">
            <v>1999729</v>
          </cell>
          <cell r="F85">
            <v>1919774</v>
          </cell>
          <cell r="G85">
            <v>2013926</v>
          </cell>
          <cell r="H85">
            <v>1796323</v>
          </cell>
          <cell r="I85">
            <v>2008090</v>
          </cell>
          <cell r="J85">
            <v>2113105</v>
          </cell>
          <cell r="K85">
            <v>2062387</v>
          </cell>
          <cell r="L85">
            <v>2038611</v>
          </cell>
          <cell r="M85">
            <v>2175836</v>
          </cell>
          <cell r="AO85">
            <v>23921110</v>
          </cell>
        </row>
        <row r="86">
          <cell r="B86">
            <v>753074</v>
          </cell>
          <cell r="C86">
            <v>736023</v>
          </cell>
          <cell r="D86">
            <v>748099</v>
          </cell>
          <cell r="E86">
            <v>753183</v>
          </cell>
          <cell r="F86">
            <v>768671</v>
          </cell>
          <cell r="G86">
            <v>831493</v>
          </cell>
          <cell r="H86">
            <v>743381</v>
          </cell>
          <cell r="I86">
            <v>792322</v>
          </cell>
          <cell r="J86">
            <v>823807</v>
          </cell>
          <cell r="K86">
            <v>784424</v>
          </cell>
          <cell r="L86">
            <v>834189</v>
          </cell>
          <cell r="M86">
            <v>886785</v>
          </cell>
          <cell r="AO86">
            <v>9455450</v>
          </cell>
        </row>
        <row r="87">
          <cell r="B87">
            <v>3046198</v>
          </cell>
          <cell r="C87">
            <v>2805916</v>
          </cell>
          <cell r="D87">
            <v>2877025</v>
          </cell>
          <cell r="E87">
            <v>2841951</v>
          </cell>
          <cell r="F87">
            <v>2801140</v>
          </cell>
          <cell r="G87">
            <v>3268892</v>
          </cell>
          <cell r="H87">
            <v>3119312</v>
          </cell>
          <cell r="I87">
            <v>2994332</v>
          </cell>
          <cell r="J87">
            <v>3383862</v>
          </cell>
          <cell r="K87">
            <v>3126589</v>
          </cell>
          <cell r="L87">
            <v>3023033</v>
          </cell>
          <cell r="M87">
            <v>3077084</v>
          </cell>
          <cell r="AO87">
            <v>36365330</v>
          </cell>
        </row>
        <row r="88">
          <cell r="B88">
            <v>887795</v>
          </cell>
          <cell r="C88">
            <v>838223</v>
          </cell>
          <cell r="D88">
            <v>879453</v>
          </cell>
          <cell r="E88">
            <v>885346</v>
          </cell>
          <cell r="F88">
            <v>917075</v>
          </cell>
          <cell r="G88">
            <v>970137</v>
          </cell>
          <cell r="H88">
            <v>868932</v>
          </cell>
          <cell r="I88">
            <v>946070</v>
          </cell>
          <cell r="J88">
            <v>926627</v>
          </cell>
          <cell r="K88">
            <v>933332</v>
          </cell>
          <cell r="L88">
            <v>967312</v>
          </cell>
          <cell r="M88">
            <v>1073784</v>
          </cell>
          <cell r="AO88">
            <v>11094090</v>
          </cell>
        </row>
        <row r="89">
          <cell r="B89">
            <v>3006756</v>
          </cell>
          <cell r="C89">
            <v>2784735</v>
          </cell>
          <cell r="D89">
            <v>2532636</v>
          </cell>
          <cell r="E89">
            <v>2863127</v>
          </cell>
          <cell r="F89">
            <v>2777804</v>
          </cell>
          <cell r="G89">
            <v>2929768</v>
          </cell>
          <cell r="H89">
            <v>2709551</v>
          </cell>
          <cell r="I89">
            <v>2854095</v>
          </cell>
          <cell r="J89">
            <v>3039166</v>
          </cell>
          <cell r="K89">
            <v>2876634</v>
          </cell>
          <cell r="L89">
            <v>3031610</v>
          </cell>
          <cell r="M89">
            <v>3252110</v>
          </cell>
          <cell r="AO89">
            <v>34658000</v>
          </cell>
        </row>
        <row r="90">
          <cell r="B90">
            <v>983916</v>
          </cell>
          <cell r="C90">
            <v>994507</v>
          </cell>
          <cell r="D90">
            <v>963271</v>
          </cell>
          <cell r="E90">
            <v>1000504</v>
          </cell>
          <cell r="F90">
            <v>1151797</v>
          </cell>
          <cell r="G90">
            <v>1001544</v>
          </cell>
          <cell r="H90">
            <v>1002740</v>
          </cell>
          <cell r="I90">
            <v>999869</v>
          </cell>
          <cell r="J90">
            <v>1051739</v>
          </cell>
          <cell r="K90">
            <v>971927</v>
          </cell>
          <cell r="L90">
            <v>991847</v>
          </cell>
          <cell r="M90">
            <v>1124330</v>
          </cell>
          <cell r="AO90">
            <v>12237990</v>
          </cell>
        </row>
        <row r="91">
          <cell r="B91">
            <v>480159</v>
          </cell>
          <cell r="C91">
            <v>467495</v>
          </cell>
          <cell r="D91">
            <v>499761</v>
          </cell>
          <cell r="E91">
            <v>510655</v>
          </cell>
          <cell r="F91">
            <v>529418</v>
          </cell>
          <cell r="G91">
            <v>526230</v>
          </cell>
          <cell r="H91">
            <v>469440</v>
          </cell>
          <cell r="I91">
            <v>480519</v>
          </cell>
          <cell r="J91">
            <v>569041</v>
          </cell>
          <cell r="K91">
            <v>506073</v>
          </cell>
          <cell r="L91">
            <v>527205</v>
          </cell>
          <cell r="M91">
            <v>575249</v>
          </cell>
          <cell r="AO91">
            <v>6146250</v>
          </cell>
        </row>
        <row r="92">
          <cell r="B92">
            <v>661782</v>
          </cell>
          <cell r="C92">
            <v>652626</v>
          </cell>
          <cell r="D92">
            <v>678619</v>
          </cell>
          <cell r="E92">
            <v>662416</v>
          </cell>
          <cell r="F92">
            <v>710810</v>
          </cell>
          <cell r="G92">
            <v>700918</v>
          </cell>
          <cell r="H92">
            <v>653624</v>
          </cell>
          <cell r="I92">
            <v>681074</v>
          </cell>
          <cell r="J92">
            <v>683217</v>
          </cell>
          <cell r="K92">
            <v>686874</v>
          </cell>
          <cell r="L92">
            <v>674565</v>
          </cell>
          <cell r="M92">
            <v>731798</v>
          </cell>
          <cell r="AO92">
            <v>8178320</v>
          </cell>
        </row>
        <row r="93">
          <cell r="B93">
            <v>2042244</v>
          </cell>
          <cell r="C93">
            <v>2067381</v>
          </cell>
          <cell r="D93">
            <v>2010582</v>
          </cell>
          <cell r="E93">
            <v>2081697</v>
          </cell>
          <cell r="F93">
            <v>2116143</v>
          </cell>
          <cell r="G93">
            <v>2191146</v>
          </cell>
          <cell r="H93">
            <v>2111778</v>
          </cell>
          <cell r="I93">
            <v>2159415</v>
          </cell>
          <cell r="J93">
            <v>2328659</v>
          </cell>
          <cell r="K93">
            <v>2234947</v>
          </cell>
          <cell r="L93">
            <v>2273356</v>
          </cell>
          <cell r="M93">
            <v>2575497</v>
          </cell>
          <cell r="AO93">
            <v>26192840</v>
          </cell>
        </row>
        <row r="94">
          <cell r="B94">
            <v>493315</v>
          </cell>
          <cell r="C94">
            <v>482936</v>
          </cell>
          <cell r="D94">
            <v>506748</v>
          </cell>
          <cell r="E94">
            <v>521162</v>
          </cell>
          <cell r="F94">
            <v>503704</v>
          </cell>
          <cell r="G94">
            <v>535444</v>
          </cell>
          <cell r="H94">
            <v>515586</v>
          </cell>
          <cell r="I94">
            <v>508267</v>
          </cell>
          <cell r="J94">
            <v>526287</v>
          </cell>
          <cell r="K94">
            <v>585736</v>
          </cell>
          <cell r="L94">
            <v>537201</v>
          </cell>
          <cell r="M94">
            <v>551130</v>
          </cell>
          <cell r="AO94">
            <v>6267520</v>
          </cell>
        </row>
        <row r="95">
          <cell r="B95">
            <v>700265</v>
          </cell>
          <cell r="C95">
            <v>675924</v>
          </cell>
          <cell r="D95">
            <v>724170</v>
          </cell>
          <cell r="E95">
            <v>760989</v>
          </cell>
          <cell r="F95">
            <v>670401</v>
          </cell>
          <cell r="G95">
            <v>742854</v>
          </cell>
          <cell r="H95">
            <v>710749</v>
          </cell>
          <cell r="I95">
            <v>683503</v>
          </cell>
          <cell r="J95">
            <v>800301</v>
          </cell>
          <cell r="K95">
            <v>641621</v>
          </cell>
          <cell r="L95">
            <v>767082</v>
          </cell>
          <cell r="M95">
            <v>880647</v>
          </cell>
          <cell r="AO95">
            <v>8758500</v>
          </cell>
        </row>
        <row r="96">
          <cell r="B96">
            <v>59806723.666666664</v>
          </cell>
          <cell r="C96">
            <v>57213983.666666664</v>
          </cell>
          <cell r="D96">
            <v>55983475.666666664</v>
          </cell>
          <cell r="E96">
            <v>58720351.666666664</v>
          </cell>
          <cell r="F96">
            <v>58609980.666666664</v>
          </cell>
          <cell r="G96">
            <v>62200185.666666664</v>
          </cell>
          <cell r="H96">
            <v>57733091.666666664</v>
          </cell>
          <cell r="I96">
            <v>60862501.666666664</v>
          </cell>
          <cell r="J96">
            <v>62900047.666666664</v>
          </cell>
          <cell r="K96">
            <v>60133230.666666664</v>
          </cell>
          <cell r="L96">
            <v>62006472.666666672</v>
          </cell>
          <cell r="M96">
            <v>70935200.666666672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 (2)"/>
      <sheetName val="Sheet2"/>
      <sheetName val="เป้าหมาย กงป.59"/>
      <sheetName val="พ.ย.57 (4 ธ.ค.)"/>
      <sheetName val="ธ.ค.57pre"/>
      <sheetName val="Sheet1"/>
      <sheetName val="ธ.ค.57(updated)"/>
      <sheetName val="ปรับปรุง ธ.ค."/>
      <sheetName val="ปรับปรุง ก.พ.58"/>
      <sheetName val="ปรับปรุง มี.ค.58"/>
      <sheetName val="เป้าหมาย59 newform"/>
      <sheetName val="newform"/>
      <sheetName val="เป้าหมาย59(กงป)"/>
      <sheetName val="เป้าหมาย59 (ปรับปรุง ม.ค.)"/>
      <sheetName val="เป้าหมาย59(ข้อตกลง)"/>
      <sheetName val="เป้าหมายผู้ใช้น้ำขยายเขต"/>
      <sheetName val="ผู้ใช้น้ำขยายเขต"/>
      <sheetName val="ขยายเขตเข้าชอย"/>
      <sheetName val="เป้าหมาย59"/>
      <sheetName val="ต.ค.58"/>
      <sheetName val="พ.ย.58"/>
      <sheetName val="2M"/>
      <sheetName val="ธ.ค.58"/>
      <sheetName val="3M"/>
      <sheetName val="ม.ค.59"/>
      <sheetName val="4M"/>
      <sheetName val="ก.พ.59"/>
      <sheetName val="5M"/>
      <sheetName val="มี.ค.59"/>
      <sheetName val="6M"/>
      <sheetName val="เม.ย.59"/>
      <sheetName val="7M"/>
      <sheetName val="พ.ค.59"/>
      <sheetName val="8M"/>
      <sheetName val="มิ.ย.59"/>
      <sheetName val="9M"/>
      <sheetName val="ก.ค.59"/>
      <sheetName val="10M"/>
      <sheetName val="ส.ค.59"/>
      <sheetName val="11M"/>
      <sheetName val="ก.ย.59"/>
      <sheetName val="12M"/>
      <sheetName val="Sheet13"/>
      <sheetName val="KPI.ผู้ใช้น้ำสิ้นปี"/>
      <sheetName val="KPI.ผู้ใช้น้ำสิ้นปี (3)"/>
      <sheetName val="KPI.น้ำจำหน่ายสิ้นปี"/>
      <sheetName val="KPI.น้ำจำหน่ายสิ้นปี (3)"/>
      <sheetName val="KPI.อัตราการใช้น้ำ"/>
      <sheetName val="KPI.อัตราการใช้น้ำ (3)"/>
      <sheetName val="KPI น้ำสูญเสีย"/>
      <sheetName val="KPI EBITDA "/>
      <sheetName val="KPI EBITDA  (2)"/>
      <sheetName val="BU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16">
          <cell r="E416">
            <v>58505708.139999993</v>
          </cell>
          <cell r="G416">
            <v>13660655.689999998</v>
          </cell>
          <cell r="H416">
            <v>699876.51000000013</v>
          </cell>
          <cell r="I416">
            <v>1277868.31</v>
          </cell>
          <cell r="J416">
            <v>2766098.48</v>
          </cell>
          <cell r="K416">
            <v>883883.47</v>
          </cell>
          <cell r="L416">
            <v>981397.48</v>
          </cell>
          <cell r="M416">
            <v>1219281.6500000001</v>
          </cell>
          <cell r="N416">
            <v>878690.6100000001</v>
          </cell>
          <cell r="O416">
            <v>1862875.9300000004</v>
          </cell>
          <cell r="P416">
            <v>363973.35</v>
          </cell>
          <cell r="Q416">
            <v>6140070.9899999993</v>
          </cell>
          <cell r="R416">
            <v>1287094.1999999997</v>
          </cell>
          <cell r="S416">
            <v>1096744.1200000001</v>
          </cell>
          <cell r="T416">
            <v>1843440.74</v>
          </cell>
          <cell r="U416">
            <v>875099.77</v>
          </cell>
          <cell r="V416">
            <v>793166.49999999988</v>
          </cell>
          <cell r="W416">
            <v>1877846.3699999999</v>
          </cell>
          <cell r="X416">
            <v>702569.87</v>
          </cell>
          <cell r="Y416">
            <v>3522989.3000000003</v>
          </cell>
          <cell r="Z416">
            <v>939183.83</v>
          </cell>
          <cell r="AA416">
            <v>4082769.9699999997</v>
          </cell>
          <cell r="AB416">
            <v>959499.24</v>
          </cell>
          <cell r="AC416">
            <v>421670.64000000007</v>
          </cell>
          <cell r="AD416">
            <v>650670.82000000007</v>
          </cell>
          <cell r="AE416">
            <v>2013490.0300000003</v>
          </cell>
          <cell r="AF416">
            <v>518297.23999999993</v>
          </cell>
          <cell r="AG416">
            <v>660382.79999999993</v>
          </cell>
        </row>
      </sheetData>
      <sheetData sheetId="20">
        <row r="416">
          <cell r="E416">
            <v>58624295.100000001</v>
          </cell>
          <cell r="G416">
            <v>14204273.490000002</v>
          </cell>
          <cell r="H416">
            <v>606919.75999999989</v>
          </cell>
          <cell r="I416">
            <v>1259510.69</v>
          </cell>
          <cell r="J416">
            <v>2403937.2700000005</v>
          </cell>
          <cell r="K416">
            <v>1064595.7899999998</v>
          </cell>
          <cell r="L416">
            <v>872343.32000000007</v>
          </cell>
          <cell r="M416">
            <v>1183606.8400000001</v>
          </cell>
          <cell r="N416">
            <v>922520.42</v>
          </cell>
          <cell r="O416">
            <v>1983916.47</v>
          </cell>
          <cell r="P416">
            <v>487371.03</v>
          </cell>
          <cell r="Q416">
            <v>6135574.6999999983</v>
          </cell>
          <cell r="R416">
            <v>1341326.56</v>
          </cell>
          <cell r="S416">
            <v>1110203.2300000002</v>
          </cell>
          <cell r="T416">
            <v>1696447.61</v>
          </cell>
          <cell r="U416">
            <v>911989.69</v>
          </cell>
          <cell r="V416">
            <v>770641.07</v>
          </cell>
          <cell r="W416">
            <v>1790035.7099999997</v>
          </cell>
          <cell r="X416">
            <v>751603.7</v>
          </cell>
          <cell r="Y416">
            <v>2840708.08</v>
          </cell>
          <cell r="Z416">
            <v>873359.64999999991</v>
          </cell>
          <cell r="AA416">
            <v>4263639.959999999</v>
          </cell>
          <cell r="AB416">
            <v>1002790.19</v>
          </cell>
          <cell r="AC416">
            <v>426792.47</v>
          </cell>
          <cell r="AD416">
            <v>619933.33999999985</v>
          </cell>
          <cell r="AE416">
            <v>2149545.7799999998</v>
          </cell>
          <cell r="AF416">
            <v>546912.21000000008</v>
          </cell>
          <cell r="AG416">
            <v>698488.92</v>
          </cell>
        </row>
      </sheetData>
      <sheetData sheetId="21"/>
      <sheetData sheetId="22">
        <row r="416">
          <cell r="E416">
            <v>62891507.599999987</v>
          </cell>
          <cell r="G416">
            <v>17065047.34</v>
          </cell>
          <cell r="H416">
            <v>622390.31000000006</v>
          </cell>
          <cell r="I416">
            <v>1470366.3000000003</v>
          </cell>
          <cell r="J416">
            <v>2500254.3000000003</v>
          </cell>
          <cell r="K416">
            <v>1009226.6399999999</v>
          </cell>
          <cell r="L416">
            <v>888817.56000000017</v>
          </cell>
          <cell r="M416">
            <v>1167855.48</v>
          </cell>
          <cell r="N416">
            <v>933296.96000000008</v>
          </cell>
          <cell r="O416">
            <v>2031432.6</v>
          </cell>
          <cell r="P416">
            <v>417253.91</v>
          </cell>
          <cell r="Q416">
            <v>6420300.25</v>
          </cell>
          <cell r="R416">
            <v>1212329.26</v>
          </cell>
          <cell r="S416">
            <v>1093352.96</v>
          </cell>
          <cell r="T416">
            <v>1732893.4</v>
          </cell>
          <cell r="U416">
            <v>881616.66</v>
          </cell>
          <cell r="V416">
            <v>757846.07999999984</v>
          </cell>
          <cell r="W416">
            <v>1902319.8399999999</v>
          </cell>
          <cell r="X416">
            <v>711030.57999999984</v>
          </cell>
          <cell r="Y416">
            <v>2934858.56</v>
          </cell>
          <cell r="Z416">
            <v>906134.44</v>
          </cell>
          <cell r="AA416">
            <v>4691227.040000001</v>
          </cell>
          <cell r="AB416">
            <v>1012668.8699999999</v>
          </cell>
          <cell r="AC416">
            <v>464839.56</v>
          </cell>
          <cell r="AD416">
            <v>636777.32000000007</v>
          </cell>
          <cell r="AE416">
            <v>1937444.8900000001</v>
          </cell>
          <cell r="AF416">
            <v>568428.43000000005</v>
          </cell>
          <cell r="AG416">
            <v>767976.4800000001</v>
          </cell>
        </row>
      </sheetData>
      <sheetData sheetId="23"/>
      <sheetData sheetId="24">
        <row r="416">
          <cell r="E416">
            <v>58598791.789999984</v>
          </cell>
          <cell r="G416">
            <v>13687753.359999999</v>
          </cell>
          <cell r="H416">
            <v>635380.27</v>
          </cell>
          <cell r="I416">
            <v>1259557.1799999997</v>
          </cell>
          <cell r="J416">
            <v>2687061.73</v>
          </cell>
          <cell r="K416">
            <v>1036136.6599999998</v>
          </cell>
          <cell r="L416">
            <v>877841.22</v>
          </cell>
          <cell r="M416">
            <v>1204577.6499999999</v>
          </cell>
          <cell r="N416">
            <v>854548.9</v>
          </cell>
          <cell r="O416">
            <v>1875265.5200000003</v>
          </cell>
          <cell r="P416">
            <v>387199.05</v>
          </cell>
          <cell r="Q416">
            <v>5656276.6799999997</v>
          </cell>
          <cell r="R416">
            <v>903723.07000000007</v>
          </cell>
          <cell r="S416">
            <v>1047489.36</v>
          </cell>
          <cell r="T416">
            <v>1824393.0799999998</v>
          </cell>
          <cell r="U416">
            <v>916334.75</v>
          </cell>
          <cell r="V416">
            <v>787104.17999999993</v>
          </cell>
          <cell r="W416">
            <v>1885475.0000000002</v>
          </cell>
          <cell r="X416">
            <v>736221.14999999991</v>
          </cell>
          <cell r="Y416">
            <v>2734771.0700000003</v>
          </cell>
          <cell r="Z416">
            <v>899397.17999999982</v>
          </cell>
          <cell r="AA416">
            <v>5927308.3199999994</v>
          </cell>
          <cell r="AB416">
            <v>1029221.33</v>
          </cell>
          <cell r="AC416">
            <v>452879.18999999994</v>
          </cell>
          <cell r="AD416">
            <v>622819.54</v>
          </cell>
          <cell r="AE416">
            <v>1981527.06</v>
          </cell>
          <cell r="AF416">
            <v>537381.31999999995</v>
          </cell>
          <cell r="AG416">
            <v>622512.92999999993</v>
          </cell>
        </row>
      </sheetData>
      <sheetData sheetId="25"/>
      <sheetData sheetId="26">
        <row r="416">
          <cell r="E416">
            <v>56557732.799999997</v>
          </cell>
          <cell r="G416">
            <v>15332990.579999998</v>
          </cell>
          <cell r="H416">
            <v>671134.4600000002</v>
          </cell>
          <cell r="I416">
            <v>1246741.5599999998</v>
          </cell>
          <cell r="J416">
            <v>2341187.1699999995</v>
          </cell>
          <cell r="K416">
            <v>1104990.27</v>
          </cell>
          <cell r="L416">
            <v>954509.08000000019</v>
          </cell>
          <cell r="M416">
            <v>1151594.9000000001</v>
          </cell>
          <cell r="N416">
            <v>903851.01</v>
          </cell>
          <cell r="O416">
            <v>1935409.91</v>
          </cell>
          <cell r="P416">
            <v>389700.68999999994</v>
          </cell>
          <cell r="Q416">
            <v>3958955.8699999996</v>
          </cell>
          <cell r="R416">
            <v>926890.44</v>
          </cell>
          <cell r="S416">
            <v>1078929.06</v>
          </cell>
          <cell r="T416">
            <v>1898489.7500000002</v>
          </cell>
          <cell r="U416">
            <v>910711.55999999994</v>
          </cell>
          <cell r="V416">
            <v>777298.93999999983</v>
          </cell>
          <cell r="W416">
            <v>1823530.18</v>
          </cell>
          <cell r="X416">
            <v>785228.23</v>
          </cell>
          <cell r="Y416">
            <v>2873623.3799999994</v>
          </cell>
          <cell r="Z416">
            <v>940630.02999999991</v>
          </cell>
          <cell r="AA416">
            <v>2406021.54</v>
          </cell>
          <cell r="AB416">
            <v>941762.07000000018</v>
          </cell>
          <cell r="AC416">
            <v>476827.84999999992</v>
          </cell>
          <cell r="AD416">
            <v>683761.84</v>
          </cell>
          <cell r="AE416">
            <v>2113116.6899999995</v>
          </cell>
          <cell r="AF416">
            <v>539012.06999999995</v>
          </cell>
          <cell r="AG416">
            <v>676302.83000000007</v>
          </cell>
        </row>
      </sheetData>
      <sheetData sheetId="27"/>
      <sheetData sheetId="28">
        <row r="416">
          <cell r="E416">
            <v>64308429.229999997</v>
          </cell>
          <cell r="G416">
            <v>16680630.230000002</v>
          </cell>
          <cell r="H416">
            <v>624253.35</v>
          </cell>
          <cell r="I416">
            <v>1360491.0000000002</v>
          </cell>
          <cell r="J416">
            <v>2697409.18</v>
          </cell>
          <cell r="K416">
            <v>1208494.55</v>
          </cell>
          <cell r="L416">
            <v>934701.49999999988</v>
          </cell>
          <cell r="M416">
            <v>1254448.77</v>
          </cell>
          <cell r="N416">
            <v>869328.40000000014</v>
          </cell>
          <cell r="O416">
            <v>2089968.1600000001</v>
          </cell>
          <cell r="P416">
            <v>416124.8</v>
          </cell>
          <cell r="Q416">
            <v>5902014.8300000001</v>
          </cell>
          <cell r="R416">
            <v>1496481.51</v>
          </cell>
          <cell r="S416">
            <v>1102876.6799999997</v>
          </cell>
          <cell r="T416">
            <v>1791095.6199999996</v>
          </cell>
          <cell r="U416">
            <v>1008934.6200000001</v>
          </cell>
          <cell r="V416">
            <v>804287.11000000034</v>
          </cell>
          <cell r="W416">
            <v>2015092.8499999999</v>
          </cell>
          <cell r="X416">
            <v>837082.02999999991</v>
          </cell>
          <cell r="Y416">
            <v>3602765.4899999993</v>
          </cell>
          <cell r="Z416">
            <v>982488.34000000008</v>
          </cell>
          <cell r="AA416">
            <v>4281750.5100000007</v>
          </cell>
          <cell r="AB416">
            <v>944880.33000000007</v>
          </cell>
          <cell r="AC416">
            <v>496287.08</v>
          </cell>
          <cell r="AD416">
            <v>675250.85</v>
          </cell>
          <cell r="AE416">
            <v>2222598.63</v>
          </cell>
          <cell r="AF416">
            <v>585114.72000000009</v>
          </cell>
          <cell r="AG416">
            <v>761351.56</v>
          </cell>
        </row>
      </sheetData>
      <sheetData sheetId="29"/>
      <sheetData sheetId="30">
        <row r="416">
          <cell r="E416">
            <v>58665271.540000014</v>
          </cell>
          <cell r="G416">
            <v>15279455.939999999</v>
          </cell>
          <cell r="H416">
            <v>597244.16999999993</v>
          </cell>
          <cell r="I416">
            <v>1391922.5099999998</v>
          </cell>
          <cell r="J416">
            <v>2124913.9900000002</v>
          </cell>
          <cell r="K416">
            <v>1076001.3799999999</v>
          </cell>
          <cell r="L416">
            <v>962384.7899999998</v>
          </cell>
          <cell r="M416">
            <v>1128196.77</v>
          </cell>
          <cell r="N416">
            <v>913383.74</v>
          </cell>
          <cell r="O416">
            <v>2166944.9300000006</v>
          </cell>
          <cell r="P416">
            <v>360573.86</v>
          </cell>
          <cell r="Q416">
            <v>5811370.0099999998</v>
          </cell>
          <cell r="R416">
            <v>648551.81000000006</v>
          </cell>
          <cell r="S416">
            <v>1160719.3400000001</v>
          </cell>
          <cell r="T416">
            <v>1734331.8000000003</v>
          </cell>
          <cell r="U416">
            <v>926226.92000000016</v>
          </cell>
          <cell r="V416">
            <v>754545.94</v>
          </cell>
          <cell r="W416">
            <v>1798632.9199999997</v>
          </cell>
          <cell r="X416">
            <v>731543.84999999986</v>
          </cell>
          <cell r="Y416">
            <v>2929332.7700000005</v>
          </cell>
          <cell r="Z416">
            <v>897463.20999999985</v>
          </cell>
          <cell r="AA416">
            <v>4191634.79</v>
          </cell>
          <cell r="AB416">
            <v>1026742.2700000001</v>
          </cell>
          <cell r="AC416">
            <v>453740.07</v>
          </cell>
          <cell r="AD416">
            <v>623714.47</v>
          </cell>
          <cell r="AE416">
            <v>2022649.2699999996</v>
          </cell>
          <cell r="AF416">
            <v>559915.88000000012</v>
          </cell>
          <cell r="AG416">
            <v>669985.36</v>
          </cell>
        </row>
      </sheetData>
      <sheetData sheetId="31"/>
      <sheetData sheetId="32">
        <row r="416">
          <cell r="E416">
            <v>61485977.399999976</v>
          </cell>
          <cell r="G416">
            <v>15117459.050000001</v>
          </cell>
          <cell r="H416">
            <v>626579.79999999993</v>
          </cell>
          <cell r="I416">
            <v>1259153.1499999999</v>
          </cell>
          <cell r="J416">
            <v>2259256.1699999995</v>
          </cell>
          <cell r="K416">
            <v>1097051.6299999999</v>
          </cell>
          <cell r="L416">
            <v>997146.10000000009</v>
          </cell>
          <cell r="M416">
            <v>1216517.32</v>
          </cell>
          <cell r="N416">
            <v>948696.5199999999</v>
          </cell>
          <cell r="O416">
            <v>2361080.84</v>
          </cell>
          <cell r="P416">
            <v>349825.88</v>
          </cell>
          <cell r="Q416">
            <v>5929615.9199999999</v>
          </cell>
          <cell r="R416">
            <v>1137496.98</v>
          </cell>
          <cell r="S416">
            <v>1282665.22</v>
          </cell>
          <cell r="T416">
            <v>1862371.44</v>
          </cell>
          <cell r="U416">
            <v>872773.87</v>
          </cell>
          <cell r="V416">
            <v>748532.62</v>
          </cell>
          <cell r="W416">
            <v>1986124.79</v>
          </cell>
          <cell r="X416">
            <v>839123.35</v>
          </cell>
          <cell r="Y416">
            <v>2896903.19</v>
          </cell>
          <cell r="Z416">
            <v>992456.04</v>
          </cell>
          <cell r="AA416">
            <v>4570700.3199999994</v>
          </cell>
          <cell r="AB416">
            <v>988397.74</v>
          </cell>
          <cell r="AC416">
            <v>465009.48</v>
          </cell>
          <cell r="AD416">
            <v>680082.82000000007</v>
          </cell>
          <cell r="AE416">
            <v>2184610.7200000002</v>
          </cell>
          <cell r="AF416">
            <v>543395.90999999992</v>
          </cell>
          <cell r="AG416">
            <v>670110.01000000013</v>
          </cell>
        </row>
      </sheetData>
      <sheetData sheetId="33"/>
      <sheetData sheetId="34">
        <row r="416">
          <cell r="E416">
            <v>65496684.600000001</v>
          </cell>
          <cell r="G416">
            <v>18711151.300000004</v>
          </cell>
          <cell r="H416">
            <v>691199.26000000024</v>
          </cell>
          <cell r="I416">
            <v>1544821.0000000005</v>
          </cell>
          <cell r="J416">
            <v>2522201.0199999996</v>
          </cell>
          <cell r="K416">
            <v>1074714.5300000003</v>
          </cell>
          <cell r="L416">
            <v>994443.60999999987</v>
          </cell>
          <cell r="M416">
            <v>1289323.07</v>
          </cell>
          <cell r="N416">
            <v>936380.54999999981</v>
          </cell>
          <cell r="O416">
            <v>1738485.9</v>
          </cell>
          <cell r="P416">
            <v>422946.43000000005</v>
          </cell>
          <cell r="Q416">
            <v>6182653.8600000003</v>
          </cell>
          <cell r="R416">
            <v>1009514.6500000001</v>
          </cell>
          <cell r="S416">
            <v>1116575.3499999999</v>
          </cell>
          <cell r="T416">
            <v>2064504.8399999996</v>
          </cell>
          <cell r="U416">
            <v>1196056.7100000002</v>
          </cell>
          <cell r="V416">
            <v>750592.27</v>
          </cell>
          <cell r="W416">
            <v>1818191.7799999998</v>
          </cell>
          <cell r="X416">
            <v>843021.30999999982</v>
          </cell>
          <cell r="Y416">
            <v>3106378.5199999996</v>
          </cell>
          <cell r="Z416">
            <v>911231.97</v>
          </cell>
          <cell r="AA416">
            <v>4446893.04</v>
          </cell>
          <cell r="AB416">
            <v>1023656.77</v>
          </cell>
          <cell r="AC416">
            <v>540076.54</v>
          </cell>
          <cell r="AD416">
            <v>671700.36</v>
          </cell>
          <cell r="AE416">
            <v>2260508.9599999995</v>
          </cell>
          <cell r="AF416">
            <v>507049.9800000001</v>
          </cell>
          <cell r="AG416">
            <v>726669.1100000001</v>
          </cell>
        </row>
      </sheetData>
      <sheetData sheetId="35"/>
      <sheetData sheetId="36">
        <row r="416">
          <cell r="E416">
            <v>59105376.399999991</v>
          </cell>
          <cell r="G416">
            <v>14928711.220000003</v>
          </cell>
          <cell r="H416">
            <v>590138.88</v>
          </cell>
          <cell r="I416">
            <v>1358296.5399999998</v>
          </cell>
          <cell r="J416">
            <v>2348291.2799999998</v>
          </cell>
          <cell r="K416">
            <v>995967.02</v>
          </cell>
          <cell r="L416">
            <v>910521.74</v>
          </cell>
          <cell r="M416">
            <v>1146489.5699999998</v>
          </cell>
          <cell r="N416">
            <v>814203.79</v>
          </cell>
          <cell r="O416">
            <v>1898343.1300000001</v>
          </cell>
          <cell r="P416">
            <v>386205.21</v>
          </cell>
          <cell r="Q416">
            <v>5785434.1499999994</v>
          </cell>
          <cell r="R416">
            <v>1009581.1300000001</v>
          </cell>
          <cell r="S416">
            <v>1038351.9299999999</v>
          </cell>
          <cell r="T416">
            <v>1988215.3</v>
          </cell>
          <cell r="U416">
            <v>952473.54</v>
          </cell>
          <cell r="V416">
            <v>901340.4099999998</v>
          </cell>
          <cell r="W416">
            <v>1965046.31</v>
          </cell>
          <cell r="X416">
            <v>790308.99</v>
          </cell>
          <cell r="Y416">
            <v>2432304.7200000002</v>
          </cell>
          <cell r="Z416">
            <v>945296.28</v>
          </cell>
          <cell r="AA416">
            <v>4082046.870000001</v>
          </cell>
          <cell r="AB416">
            <v>991739.62</v>
          </cell>
          <cell r="AC416">
            <v>457440.43</v>
          </cell>
          <cell r="AD416">
            <v>675504.31</v>
          </cell>
          <cell r="AE416">
            <v>2302204.8300000005</v>
          </cell>
          <cell r="AF416">
            <v>879486.37</v>
          </cell>
          <cell r="AG416">
            <v>664678.82000000007</v>
          </cell>
        </row>
      </sheetData>
      <sheetData sheetId="37"/>
      <sheetData sheetId="38">
        <row r="416">
          <cell r="E416">
            <v>63663244.879999988</v>
          </cell>
          <cell r="G416">
            <v>17163995.829999998</v>
          </cell>
          <cell r="H416">
            <v>704073.84</v>
          </cell>
          <cell r="I416">
            <v>1309652.8399999999</v>
          </cell>
          <cell r="J416">
            <v>3124338.44</v>
          </cell>
          <cell r="K416">
            <v>980550.31</v>
          </cell>
          <cell r="L416">
            <v>975722.53999999992</v>
          </cell>
          <cell r="M416">
            <v>1344296.1300000001</v>
          </cell>
          <cell r="N416">
            <v>959024.66</v>
          </cell>
          <cell r="O416">
            <v>2061802.8699999999</v>
          </cell>
          <cell r="P416">
            <v>388039.84</v>
          </cell>
          <cell r="Q416">
            <v>6204042.7199999997</v>
          </cell>
          <cell r="R416">
            <v>1036699.8200000001</v>
          </cell>
          <cell r="S416">
            <v>1054981.4100000001</v>
          </cell>
          <cell r="T416">
            <v>2147948.9899999998</v>
          </cell>
          <cell r="U416">
            <v>922287.06999999983</v>
          </cell>
          <cell r="V416">
            <v>792609.39999999979</v>
          </cell>
          <cell r="W416">
            <v>1866920.7800000003</v>
          </cell>
          <cell r="X416">
            <v>888007.47</v>
          </cell>
          <cell r="Y416">
            <v>2593781.0100000002</v>
          </cell>
          <cell r="Z416">
            <v>903191.72000000009</v>
          </cell>
          <cell r="AA416">
            <v>4190445.0499999993</v>
          </cell>
          <cell r="AB416">
            <v>968413.09000000008</v>
          </cell>
          <cell r="AC416">
            <v>488273.29000000004</v>
          </cell>
          <cell r="AD416">
            <v>645889.98</v>
          </cell>
          <cell r="AE416">
            <v>2181840.85</v>
          </cell>
          <cell r="AF416">
            <v>501801.46</v>
          </cell>
          <cell r="AG416">
            <v>696277.99000000011</v>
          </cell>
        </row>
      </sheetData>
      <sheetData sheetId="39"/>
      <sheetData sheetId="40">
        <row r="416">
          <cell r="E416">
            <v>63637480.920000002</v>
          </cell>
          <cell r="G416">
            <v>17340539.060000002</v>
          </cell>
          <cell r="H416">
            <v>616780.58000000007</v>
          </cell>
          <cell r="I416">
            <v>1377087.4500000002</v>
          </cell>
          <cell r="J416">
            <v>1792463.1299999992</v>
          </cell>
          <cell r="K416">
            <v>1251673.21</v>
          </cell>
          <cell r="L416">
            <v>875439.79999999993</v>
          </cell>
          <cell r="M416">
            <v>1494674.5500000005</v>
          </cell>
          <cell r="N416">
            <v>903447.20999999973</v>
          </cell>
          <cell r="O416">
            <v>1802245.6900000004</v>
          </cell>
          <cell r="P416">
            <v>414295.08</v>
          </cell>
          <cell r="Q416">
            <v>6141302.0399999991</v>
          </cell>
          <cell r="R416">
            <v>1152937.93</v>
          </cell>
          <cell r="S416">
            <v>1411987.3100000003</v>
          </cell>
          <cell r="T416">
            <v>2424895.0700000003</v>
          </cell>
          <cell r="U416">
            <v>1023857.1499999999</v>
          </cell>
          <cell r="V416">
            <v>767848.14</v>
          </cell>
          <cell r="W416">
            <v>1740300.5900000003</v>
          </cell>
          <cell r="X416">
            <v>772467.36</v>
          </cell>
          <cell r="Y416">
            <v>-138859.06000000052</v>
          </cell>
          <cell r="Z416">
            <v>1098427.2000000002</v>
          </cell>
          <cell r="AA416">
            <v>4947164.05</v>
          </cell>
          <cell r="AB416">
            <v>1212139.51</v>
          </cell>
          <cell r="AC416">
            <v>470885.07000000007</v>
          </cell>
          <cell r="AD416">
            <v>694888.99</v>
          </cell>
          <cell r="AE416">
            <v>2190907.77</v>
          </cell>
          <cell r="AF416">
            <v>513102.65</v>
          </cell>
          <cell r="AG416">
            <v>832804.26000000013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135"/>
  <sheetViews>
    <sheetView zoomScale="89" zoomScaleNormal="89" workbookViewId="0">
      <selection activeCell="F31" sqref="F31"/>
    </sheetView>
  </sheetViews>
  <sheetFormatPr defaultColWidth="9" defaultRowHeight="12.75" x14ac:dyDescent="0.2"/>
  <cols>
    <col min="1" max="1" width="10.75" style="1" bestFit="1" customWidth="1"/>
    <col min="2" max="2" width="7" style="1" customWidth="1"/>
    <col min="3" max="3" width="8.125" style="48" customWidth="1"/>
    <col min="4" max="4" width="9.25" style="48" bestFit="1" customWidth="1"/>
    <col min="5" max="5" width="9.25" style="1" bestFit="1" customWidth="1"/>
    <col min="6" max="6" width="12" style="1" bestFit="1" customWidth="1"/>
    <col min="7" max="7" width="12.125" style="1" bestFit="1" customWidth="1"/>
    <col min="8" max="8" width="14.875" style="1" bestFit="1" customWidth="1"/>
    <col min="9" max="9" width="11.375" style="1" bestFit="1" customWidth="1"/>
    <col min="10" max="10" width="10.75" style="1" customWidth="1"/>
    <col min="11" max="13" width="12.125" style="1" bestFit="1" customWidth="1"/>
    <col min="14" max="14" width="16.25" style="1" bestFit="1" customWidth="1"/>
    <col min="15" max="17" width="10.75" style="1" customWidth="1"/>
    <col min="18" max="18" width="12" style="1" bestFit="1" customWidth="1"/>
    <col min="19" max="19" width="12.125" style="1" bestFit="1" customWidth="1"/>
    <col min="20" max="20" width="12.625" style="1" bestFit="1" customWidth="1"/>
    <col min="21" max="25" width="10.75" style="1" customWidth="1"/>
    <col min="26" max="26" width="15.25" style="1" bestFit="1" customWidth="1"/>
    <col min="27" max="31" width="10.75" style="1" customWidth="1"/>
    <col min="32" max="32" width="12.625" style="1" bestFit="1" customWidth="1"/>
    <col min="33" max="37" width="10.75" style="1" customWidth="1"/>
    <col min="38" max="38" width="12.625" style="1" bestFit="1" customWidth="1"/>
    <col min="39" max="51" width="10.75" style="1" customWidth="1"/>
    <col min="52" max="256" width="9" style="1"/>
    <col min="257" max="257" width="10.75" style="1" bestFit="1" customWidth="1"/>
    <col min="258" max="258" width="7" style="1" customWidth="1"/>
    <col min="259" max="259" width="8.125" style="1" customWidth="1"/>
    <col min="260" max="261" width="9.25" style="1" bestFit="1" customWidth="1"/>
    <col min="262" max="262" width="12" style="1" bestFit="1" customWidth="1"/>
    <col min="263" max="263" width="12.125" style="1" bestFit="1" customWidth="1"/>
    <col min="264" max="264" width="14.875" style="1" bestFit="1" customWidth="1"/>
    <col min="265" max="265" width="11.375" style="1" bestFit="1" customWidth="1"/>
    <col min="266" max="266" width="10.75" style="1" customWidth="1"/>
    <col min="267" max="269" width="12.125" style="1" bestFit="1" customWidth="1"/>
    <col min="270" max="270" width="16.25" style="1" bestFit="1" customWidth="1"/>
    <col min="271" max="273" width="10.75" style="1" customWidth="1"/>
    <col min="274" max="274" width="12" style="1" bestFit="1" customWidth="1"/>
    <col min="275" max="275" width="12.125" style="1" bestFit="1" customWidth="1"/>
    <col min="276" max="276" width="12.625" style="1" bestFit="1" customWidth="1"/>
    <col min="277" max="281" width="10.75" style="1" customWidth="1"/>
    <col min="282" max="282" width="15.25" style="1" bestFit="1" customWidth="1"/>
    <col min="283" max="287" width="10.75" style="1" customWidth="1"/>
    <col min="288" max="288" width="12.625" style="1" bestFit="1" customWidth="1"/>
    <col min="289" max="293" width="10.75" style="1" customWidth="1"/>
    <col min="294" max="294" width="12.625" style="1" bestFit="1" customWidth="1"/>
    <col min="295" max="307" width="10.75" style="1" customWidth="1"/>
    <col min="308" max="512" width="9" style="1"/>
    <col min="513" max="513" width="10.75" style="1" bestFit="1" customWidth="1"/>
    <col min="514" max="514" width="7" style="1" customWidth="1"/>
    <col min="515" max="515" width="8.125" style="1" customWidth="1"/>
    <col min="516" max="517" width="9.25" style="1" bestFit="1" customWidth="1"/>
    <col min="518" max="518" width="12" style="1" bestFit="1" customWidth="1"/>
    <col min="519" max="519" width="12.125" style="1" bestFit="1" customWidth="1"/>
    <col min="520" max="520" width="14.875" style="1" bestFit="1" customWidth="1"/>
    <col min="521" max="521" width="11.375" style="1" bestFit="1" customWidth="1"/>
    <col min="522" max="522" width="10.75" style="1" customWidth="1"/>
    <col min="523" max="525" width="12.125" style="1" bestFit="1" customWidth="1"/>
    <col min="526" max="526" width="16.25" style="1" bestFit="1" customWidth="1"/>
    <col min="527" max="529" width="10.75" style="1" customWidth="1"/>
    <col min="530" max="530" width="12" style="1" bestFit="1" customWidth="1"/>
    <col min="531" max="531" width="12.125" style="1" bestFit="1" customWidth="1"/>
    <col min="532" max="532" width="12.625" style="1" bestFit="1" customWidth="1"/>
    <col min="533" max="537" width="10.75" style="1" customWidth="1"/>
    <col min="538" max="538" width="15.25" style="1" bestFit="1" customWidth="1"/>
    <col min="539" max="543" width="10.75" style="1" customWidth="1"/>
    <col min="544" max="544" width="12.625" style="1" bestFit="1" customWidth="1"/>
    <col min="545" max="549" width="10.75" style="1" customWidth="1"/>
    <col min="550" max="550" width="12.625" style="1" bestFit="1" customWidth="1"/>
    <col min="551" max="563" width="10.75" style="1" customWidth="1"/>
    <col min="564" max="768" width="9" style="1"/>
    <col min="769" max="769" width="10.75" style="1" bestFit="1" customWidth="1"/>
    <col min="770" max="770" width="7" style="1" customWidth="1"/>
    <col min="771" max="771" width="8.125" style="1" customWidth="1"/>
    <col min="772" max="773" width="9.25" style="1" bestFit="1" customWidth="1"/>
    <col min="774" max="774" width="12" style="1" bestFit="1" customWidth="1"/>
    <col min="775" max="775" width="12.125" style="1" bestFit="1" customWidth="1"/>
    <col min="776" max="776" width="14.875" style="1" bestFit="1" customWidth="1"/>
    <col min="777" max="777" width="11.375" style="1" bestFit="1" customWidth="1"/>
    <col min="778" max="778" width="10.75" style="1" customWidth="1"/>
    <col min="779" max="781" width="12.125" style="1" bestFit="1" customWidth="1"/>
    <col min="782" max="782" width="16.25" style="1" bestFit="1" customWidth="1"/>
    <col min="783" max="785" width="10.75" style="1" customWidth="1"/>
    <col min="786" max="786" width="12" style="1" bestFit="1" customWidth="1"/>
    <col min="787" max="787" width="12.125" style="1" bestFit="1" customWidth="1"/>
    <col min="788" max="788" width="12.625" style="1" bestFit="1" customWidth="1"/>
    <col min="789" max="793" width="10.75" style="1" customWidth="1"/>
    <col min="794" max="794" width="15.25" style="1" bestFit="1" customWidth="1"/>
    <col min="795" max="799" width="10.75" style="1" customWidth="1"/>
    <col min="800" max="800" width="12.625" style="1" bestFit="1" customWidth="1"/>
    <col min="801" max="805" width="10.75" style="1" customWidth="1"/>
    <col min="806" max="806" width="12.625" style="1" bestFit="1" customWidth="1"/>
    <col min="807" max="819" width="10.75" style="1" customWidth="1"/>
    <col min="820" max="1024" width="9" style="1"/>
    <col min="1025" max="1025" width="10.75" style="1" bestFit="1" customWidth="1"/>
    <col min="1026" max="1026" width="7" style="1" customWidth="1"/>
    <col min="1027" max="1027" width="8.125" style="1" customWidth="1"/>
    <col min="1028" max="1029" width="9.25" style="1" bestFit="1" customWidth="1"/>
    <col min="1030" max="1030" width="12" style="1" bestFit="1" customWidth="1"/>
    <col min="1031" max="1031" width="12.125" style="1" bestFit="1" customWidth="1"/>
    <col min="1032" max="1032" width="14.875" style="1" bestFit="1" customWidth="1"/>
    <col min="1033" max="1033" width="11.375" style="1" bestFit="1" customWidth="1"/>
    <col min="1034" max="1034" width="10.75" style="1" customWidth="1"/>
    <col min="1035" max="1037" width="12.125" style="1" bestFit="1" customWidth="1"/>
    <col min="1038" max="1038" width="16.25" style="1" bestFit="1" customWidth="1"/>
    <col min="1039" max="1041" width="10.75" style="1" customWidth="1"/>
    <col min="1042" max="1042" width="12" style="1" bestFit="1" customWidth="1"/>
    <col min="1043" max="1043" width="12.125" style="1" bestFit="1" customWidth="1"/>
    <col min="1044" max="1044" width="12.625" style="1" bestFit="1" customWidth="1"/>
    <col min="1045" max="1049" width="10.75" style="1" customWidth="1"/>
    <col min="1050" max="1050" width="15.25" style="1" bestFit="1" customWidth="1"/>
    <col min="1051" max="1055" width="10.75" style="1" customWidth="1"/>
    <col min="1056" max="1056" width="12.625" style="1" bestFit="1" customWidth="1"/>
    <col min="1057" max="1061" width="10.75" style="1" customWidth="1"/>
    <col min="1062" max="1062" width="12.625" style="1" bestFit="1" customWidth="1"/>
    <col min="1063" max="1075" width="10.75" style="1" customWidth="1"/>
    <col min="1076" max="1280" width="9" style="1"/>
    <col min="1281" max="1281" width="10.75" style="1" bestFit="1" customWidth="1"/>
    <col min="1282" max="1282" width="7" style="1" customWidth="1"/>
    <col min="1283" max="1283" width="8.125" style="1" customWidth="1"/>
    <col min="1284" max="1285" width="9.25" style="1" bestFit="1" customWidth="1"/>
    <col min="1286" max="1286" width="12" style="1" bestFit="1" customWidth="1"/>
    <col min="1287" max="1287" width="12.125" style="1" bestFit="1" customWidth="1"/>
    <col min="1288" max="1288" width="14.875" style="1" bestFit="1" customWidth="1"/>
    <col min="1289" max="1289" width="11.375" style="1" bestFit="1" customWidth="1"/>
    <col min="1290" max="1290" width="10.75" style="1" customWidth="1"/>
    <col min="1291" max="1293" width="12.125" style="1" bestFit="1" customWidth="1"/>
    <col min="1294" max="1294" width="16.25" style="1" bestFit="1" customWidth="1"/>
    <col min="1295" max="1297" width="10.75" style="1" customWidth="1"/>
    <col min="1298" max="1298" width="12" style="1" bestFit="1" customWidth="1"/>
    <col min="1299" max="1299" width="12.125" style="1" bestFit="1" customWidth="1"/>
    <col min="1300" max="1300" width="12.625" style="1" bestFit="1" customWidth="1"/>
    <col min="1301" max="1305" width="10.75" style="1" customWidth="1"/>
    <col min="1306" max="1306" width="15.25" style="1" bestFit="1" customWidth="1"/>
    <col min="1307" max="1311" width="10.75" style="1" customWidth="1"/>
    <col min="1312" max="1312" width="12.625" style="1" bestFit="1" customWidth="1"/>
    <col min="1313" max="1317" width="10.75" style="1" customWidth="1"/>
    <col min="1318" max="1318" width="12.625" style="1" bestFit="1" customWidth="1"/>
    <col min="1319" max="1331" width="10.75" style="1" customWidth="1"/>
    <col min="1332" max="1536" width="9" style="1"/>
    <col min="1537" max="1537" width="10.75" style="1" bestFit="1" customWidth="1"/>
    <col min="1538" max="1538" width="7" style="1" customWidth="1"/>
    <col min="1539" max="1539" width="8.125" style="1" customWidth="1"/>
    <col min="1540" max="1541" width="9.25" style="1" bestFit="1" customWidth="1"/>
    <col min="1542" max="1542" width="12" style="1" bestFit="1" customWidth="1"/>
    <col min="1543" max="1543" width="12.125" style="1" bestFit="1" customWidth="1"/>
    <col min="1544" max="1544" width="14.875" style="1" bestFit="1" customWidth="1"/>
    <col min="1545" max="1545" width="11.375" style="1" bestFit="1" customWidth="1"/>
    <col min="1546" max="1546" width="10.75" style="1" customWidth="1"/>
    <col min="1547" max="1549" width="12.125" style="1" bestFit="1" customWidth="1"/>
    <col min="1550" max="1550" width="16.25" style="1" bestFit="1" customWidth="1"/>
    <col min="1551" max="1553" width="10.75" style="1" customWidth="1"/>
    <col min="1554" max="1554" width="12" style="1" bestFit="1" customWidth="1"/>
    <col min="1555" max="1555" width="12.125" style="1" bestFit="1" customWidth="1"/>
    <col min="1556" max="1556" width="12.625" style="1" bestFit="1" customWidth="1"/>
    <col min="1557" max="1561" width="10.75" style="1" customWidth="1"/>
    <col min="1562" max="1562" width="15.25" style="1" bestFit="1" customWidth="1"/>
    <col min="1563" max="1567" width="10.75" style="1" customWidth="1"/>
    <col min="1568" max="1568" width="12.625" style="1" bestFit="1" customWidth="1"/>
    <col min="1569" max="1573" width="10.75" style="1" customWidth="1"/>
    <col min="1574" max="1574" width="12.625" style="1" bestFit="1" customWidth="1"/>
    <col min="1575" max="1587" width="10.75" style="1" customWidth="1"/>
    <col min="1588" max="1792" width="9" style="1"/>
    <col min="1793" max="1793" width="10.75" style="1" bestFit="1" customWidth="1"/>
    <col min="1794" max="1794" width="7" style="1" customWidth="1"/>
    <col min="1795" max="1795" width="8.125" style="1" customWidth="1"/>
    <col min="1796" max="1797" width="9.25" style="1" bestFit="1" customWidth="1"/>
    <col min="1798" max="1798" width="12" style="1" bestFit="1" customWidth="1"/>
    <col min="1799" max="1799" width="12.125" style="1" bestFit="1" customWidth="1"/>
    <col min="1800" max="1800" width="14.875" style="1" bestFit="1" customWidth="1"/>
    <col min="1801" max="1801" width="11.375" style="1" bestFit="1" customWidth="1"/>
    <col min="1802" max="1802" width="10.75" style="1" customWidth="1"/>
    <col min="1803" max="1805" width="12.125" style="1" bestFit="1" customWidth="1"/>
    <col min="1806" max="1806" width="16.25" style="1" bestFit="1" customWidth="1"/>
    <col min="1807" max="1809" width="10.75" style="1" customWidth="1"/>
    <col min="1810" max="1810" width="12" style="1" bestFit="1" customWidth="1"/>
    <col min="1811" max="1811" width="12.125" style="1" bestFit="1" customWidth="1"/>
    <col min="1812" max="1812" width="12.625" style="1" bestFit="1" customWidth="1"/>
    <col min="1813" max="1817" width="10.75" style="1" customWidth="1"/>
    <col min="1818" max="1818" width="15.25" style="1" bestFit="1" customWidth="1"/>
    <col min="1819" max="1823" width="10.75" style="1" customWidth="1"/>
    <col min="1824" max="1824" width="12.625" style="1" bestFit="1" customWidth="1"/>
    <col min="1825" max="1829" width="10.75" style="1" customWidth="1"/>
    <col min="1830" max="1830" width="12.625" style="1" bestFit="1" customWidth="1"/>
    <col min="1831" max="1843" width="10.75" style="1" customWidth="1"/>
    <col min="1844" max="2048" width="9" style="1"/>
    <col min="2049" max="2049" width="10.75" style="1" bestFit="1" customWidth="1"/>
    <col min="2050" max="2050" width="7" style="1" customWidth="1"/>
    <col min="2051" max="2051" width="8.125" style="1" customWidth="1"/>
    <col min="2052" max="2053" width="9.25" style="1" bestFit="1" customWidth="1"/>
    <col min="2054" max="2054" width="12" style="1" bestFit="1" customWidth="1"/>
    <col min="2055" max="2055" width="12.125" style="1" bestFit="1" customWidth="1"/>
    <col min="2056" max="2056" width="14.875" style="1" bestFit="1" customWidth="1"/>
    <col min="2057" max="2057" width="11.375" style="1" bestFit="1" customWidth="1"/>
    <col min="2058" max="2058" width="10.75" style="1" customWidth="1"/>
    <col min="2059" max="2061" width="12.125" style="1" bestFit="1" customWidth="1"/>
    <col min="2062" max="2062" width="16.25" style="1" bestFit="1" customWidth="1"/>
    <col min="2063" max="2065" width="10.75" style="1" customWidth="1"/>
    <col min="2066" max="2066" width="12" style="1" bestFit="1" customWidth="1"/>
    <col min="2067" max="2067" width="12.125" style="1" bestFit="1" customWidth="1"/>
    <col min="2068" max="2068" width="12.625" style="1" bestFit="1" customWidth="1"/>
    <col min="2069" max="2073" width="10.75" style="1" customWidth="1"/>
    <col min="2074" max="2074" width="15.25" style="1" bestFit="1" customWidth="1"/>
    <col min="2075" max="2079" width="10.75" style="1" customWidth="1"/>
    <col min="2080" max="2080" width="12.625" style="1" bestFit="1" customWidth="1"/>
    <col min="2081" max="2085" width="10.75" style="1" customWidth="1"/>
    <col min="2086" max="2086" width="12.625" style="1" bestFit="1" customWidth="1"/>
    <col min="2087" max="2099" width="10.75" style="1" customWidth="1"/>
    <col min="2100" max="2304" width="9" style="1"/>
    <col min="2305" max="2305" width="10.75" style="1" bestFit="1" customWidth="1"/>
    <col min="2306" max="2306" width="7" style="1" customWidth="1"/>
    <col min="2307" max="2307" width="8.125" style="1" customWidth="1"/>
    <col min="2308" max="2309" width="9.25" style="1" bestFit="1" customWidth="1"/>
    <col min="2310" max="2310" width="12" style="1" bestFit="1" customWidth="1"/>
    <col min="2311" max="2311" width="12.125" style="1" bestFit="1" customWidth="1"/>
    <col min="2312" max="2312" width="14.875" style="1" bestFit="1" customWidth="1"/>
    <col min="2313" max="2313" width="11.375" style="1" bestFit="1" customWidth="1"/>
    <col min="2314" max="2314" width="10.75" style="1" customWidth="1"/>
    <col min="2315" max="2317" width="12.125" style="1" bestFit="1" customWidth="1"/>
    <col min="2318" max="2318" width="16.25" style="1" bestFit="1" customWidth="1"/>
    <col min="2319" max="2321" width="10.75" style="1" customWidth="1"/>
    <col min="2322" max="2322" width="12" style="1" bestFit="1" customWidth="1"/>
    <col min="2323" max="2323" width="12.125" style="1" bestFit="1" customWidth="1"/>
    <col min="2324" max="2324" width="12.625" style="1" bestFit="1" customWidth="1"/>
    <col min="2325" max="2329" width="10.75" style="1" customWidth="1"/>
    <col min="2330" max="2330" width="15.25" style="1" bestFit="1" customWidth="1"/>
    <col min="2331" max="2335" width="10.75" style="1" customWidth="1"/>
    <col min="2336" max="2336" width="12.625" style="1" bestFit="1" customWidth="1"/>
    <col min="2337" max="2341" width="10.75" style="1" customWidth="1"/>
    <col min="2342" max="2342" width="12.625" style="1" bestFit="1" customWidth="1"/>
    <col min="2343" max="2355" width="10.75" style="1" customWidth="1"/>
    <col min="2356" max="2560" width="9" style="1"/>
    <col min="2561" max="2561" width="10.75" style="1" bestFit="1" customWidth="1"/>
    <col min="2562" max="2562" width="7" style="1" customWidth="1"/>
    <col min="2563" max="2563" width="8.125" style="1" customWidth="1"/>
    <col min="2564" max="2565" width="9.25" style="1" bestFit="1" customWidth="1"/>
    <col min="2566" max="2566" width="12" style="1" bestFit="1" customWidth="1"/>
    <col min="2567" max="2567" width="12.125" style="1" bestFit="1" customWidth="1"/>
    <col min="2568" max="2568" width="14.875" style="1" bestFit="1" customWidth="1"/>
    <col min="2569" max="2569" width="11.375" style="1" bestFit="1" customWidth="1"/>
    <col min="2570" max="2570" width="10.75" style="1" customWidth="1"/>
    <col min="2571" max="2573" width="12.125" style="1" bestFit="1" customWidth="1"/>
    <col min="2574" max="2574" width="16.25" style="1" bestFit="1" customWidth="1"/>
    <col min="2575" max="2577" width="10.75" style="1" customWidth="1"/>
    <col min="2578" max="2578" width="12" style="1" bestFit="1" customWidth="1"/>
    <col min="2579" max="2579" width="12.125" style="1" bestFit="1" customWidth="1"/>
    <col min="2580" max="2580" width="12.625" style="1" bestFit="1" customWidth="1"/>
    <col min="2581" max="2585" width="10.75" style="1" customWidth="1"/>
    <col min="2586" max="2586" width="15.25" style="1" bestFit="1" customWidth="1"/>
    <col min="2587" max="2591" width="10.75" style="1" customWidth="1"/>
    <col min="2592" max="2592" width="12.625" style="1" bestFit="1" customWidth="1"/>
    <col min="2593" max="2597" width="10.75" style="1" customWidth="1"/>
    <col min="2598" max="2598" width="12.625" style="1" bestFit="1" customWidth="1"/>
    <col min="2599" max="2611" width="10.75" style="1" customWidth="1"/>
    <col min="2612" max="2816" width="9" style="1"/>
    <col min="2817" max="2817" width="10.75" style="1" bestFit="1" customWidth="1"/>
    <col min="2818" max="2818" width="7" style="1" customWidth="1"/>
    <col min="2819" max="2819" width="8.125" style="1" customWidth="1"/>
    <col min="2820" max="2821" width="9.25" style="1" bestFit="1" customWidth="1"/>
    <col min="2822" max="2822" width="12" style="1" bestFit="1" customWidth="1"/>
    <col min="2823" max="2823" width="12.125" style="1" bestFit="1" customWidth="1"/>
    <col min="2824" max="2824" width="14.875" style="1" bestFit="1" customWidth="1"/>
    <col min="2825" max="2825" width="11.375" style="1" bestFit="1" customWidth="1"/>
    <col min="2826" max="2826" width="10.75" style="1" customWidth="1"/>
    <col min="2827" max="2829" width="12.125" style="1" bestFit="1" customWidth="1"/>
    <col min="2830" max="2830" width="16.25" style="1" bestFit="1" customWidth="1"/>
    <col min="2831" max="2833" width="10.75" style="1" customWidth="1"/>
    <col min="2834" max="2834" width="12" style="1" bestFit="1" customWidth="1"/>
    <col min="2835" max="2835" width="12.125" style="1" bestFit="1" customWidth="1"/>
    <col min="2836" max="2836" width="12.625" style="1" bestFit="1" customWidth="1"/>
    <col min="2837" max="2841" width="10.75" style="1" customWidth="1"/>
    <col min="2842" max="2842" width="15.25" style="1" bestFit="1" customWidth="1"/>
    <col min="2843" max="2847" width="10.75" style="1" customWidth="1"/>
    <col min="2848" max="2848" width="12.625" style="1" bestFit="1" customWidth="1"/>
    <col min="2849" max="2853" width="10.75" style="1" customWidth="1"/>
    <col min="2854" max="2854" width="12.625" style="1" bestFit="1" customWidth="1"/>
    <col min="2855" max="2867" width="10.75" style="1" customWidth="1"/>
    <col min="2868" max="3072" width="9" style="1"/>
    <col min="3073" max="3073" width="10.75" style="1" bestFit="1" customWidth="1"/>
    <col min="3074" max="3074" width="7" style="1" customWidth="1"/>
    <col min="3075" max="3075" width="8.125" style="1" customWidth="1"/>
    <col min="3076" max="3077" width="9.25" style="1" bestFit="1" customWidth="1"/>
    <col min="3078" max="3078" width="12" style="1" bestFit="1" customWidth="1"/>
    <col min="3079" max="3079" width="12.125" style="1" bestFit="1" customWidth="1"/>
    <col min="3080" max="3080" width="14.875" style="1" bestFit="1" customWidth="1"/>
    <col min="3081" max="3081" width="11.375" style="1" bestFit="1" customWidth="1"/>
    <col min="3082" max="3082" width="10.75" style="1" customWidth="1"/>
    <col min="3083" max="3085" width="12.125" style="1" bestFit="1" customWidth="1"/>
    <col min="3086" max="3086" width="16.25" style="1" bestFit="1" customWidth="1"/>
    <col min="3087" max="3089" width="10.75" style="1" customWidth="1"/>
    <col min="3090" max="3090" width="12" style="1" bestFit="1" customWidth="1"/>
    <col min="3091" max="3091" width="12.125" style="1" bestFit="1" customWidth="1"/>
    <col min="3092" max="3092" width="12.625" style="1" bestFit="1" customWidth="1"/>
    <col min="3093" max="3097" width="10.75" style="1" customWidth="1"/>
    <col min="3098" max="3098" width="15.25" style="1" bestFit="1" customWidth="1"/>
    <col min="3099" max="3103" width="10.75" style="1" customWidth="1"/>
    <col min="3104" max="3104" width="12.625" style="1" bestFit="1" customWidth="1"/>
    <col min="3105" max="3109" width="10.75" style="1" customWidth="1"/>
    <col min="3110" max="3110" width="12.625" style="1" bestFit="1" customWidth="1"/>
    <col min="3111" max="3123" width="10.75" style="1" customWidth="1"/>
    <col min="3124" max="3328" width="9" style="1"/>
    <col min="3329" max="3329" width="10.75" style="1" bestFit="1" customWidth="1"/>
    <col min="3330" max="3330" width="7" style="1" customWidth="1"/>
    <col min="3331" max="3331" width="8.125" style="1" customWidth="1"/>
    <col min="3332" max="3333" width="9.25" style="1" bestFit="1" customWidth="1"/>
    <col min="3334" max="3334" width="12" style="1" bestFit="1" customWidth="1"/>
    <col min="3335" max="3335" width="12.125" style="1" bestFit="1" customWidth="1"/>
    <col min="3336" max="3336" width="14.875" style="1" bestFit="1" customWidth="1"/>
    <col min="3337" max="3337" width="11.375" style="1" bestFit="1" customWidth="1"/>
    <col min="3338" max="3338" width="10.75" style="1" customWidth="1"/>
    <col min="3339" max="3341" width="12.125" style="1" bestFit="1" customWidth="1"/>
    <col min="3342" max="3342" width="16.25" style="1" bestFit="1" customWidth="1"/>
    <col min="3343" max="3345" width="10.75" style="1" customWidth="1"/>
    <col min="3346" max="3346" width="12" style="1" bestFit="1" customWidth="1"/>
    <col min="3347" max="3347" width="12.125" style="1" bestFit="1" customWidth="1"/>
    <col min="3348" max="3348" width="12.625" style="1" bestFit="1" customWidth="1"/>
    <col min="3349" max="3353" width="10.75" style="1" customWidth="1"/>
    <col min="3354" max="3354" width="15.25" style="1" bestFit="1" customWidth="1"/>
    <col min="3355" max="3359" width="10.75" style="1" customWidth="1"/>
    <col min="3360" max="3360" width="12.625" style="1" bestFit="1" customWidth="1"/>
    <col min="3361" max="3365" width="10.75" style="1" customWidth="1"/>
    <col min="3366" max="3366" width="12.625" style="1" bestFit="1" customWidth="1"/>
    <col min="3367" max="3379" width="10.75" style="1" customWidth="1"/>
    <col min="3380" max="3584" width="9" style="1"/>
    <col min="3585" max="3585" width="10.75" style="1" bestFit="1" customWidth="1"/>
    <col min="3586" max="3586" width="7" style="1" customWidth="1"/>
    <col min="3587" max="3587" width="8.125" style="1" customWidth="1"/>
    <col min="3588" max="3589" width="9.25" style="1" bestFit="1" customWidth="1"/>
    <col min="3590" max="3590" width="12" style="1" bestFit="1" customWidth="1"/>
    <col min="3591" max="3591" width="12.125" style="1" bestFit="1" customWidth="1"/>
    <col min="3592" max="3592" width="14.875" style="1" bestFit="1" customWidth="1"/>
    <col min="3593" max="3593" width="11.375" style="1" bestFit="1" customWidth="1"/>
    <col min="3594" max="3594" width="10.75" style="1" customWidth="1"/>
    <col min="3595" max="3597" width="12.125" style="1" bestFit="1" customWidth="1"/>
    <col min="3598" max="3598" width="16.25" style="1" bestFit="1" customWidth="1"/>
    <col min="3599" max="3601" width="10.75" style="1" customWidth="1"/>
    <col min="3602" max="3602" width="12" style="1" bestFit="1" customWidth="1"/>
    <col min="3603" max="3603" width="12.125" style="1" bestFit="1" customWidth="1"/>
    <col min="3604" max="3604" width="12.625" style="1" bestFit="1" customWidth="1"/>
    <col min="3605" max="3609" width="10.75" style="1" customWidth="1"/>
    <col min="3610" max="3610" width="15.25" style="1" bestFit="1" customWidth="1"/>
    <col min="3611" max="3615" width="10.75" style="1" customWidth="1"/>
    <col min="3616" max="3616" width="12.625" style="1" bestFit="1" customWidth="1"/>
    <col min="3617" max="3621" width="10.75" style="1" customWidth="1"/>
    <col min="3622" max="3622" width="12.625" style="1" bestFit="1" customWidth="1"/>
    <col min="3623" max="3635" width="10.75" style="1" customWidth="1"/>
    <col min="3636" max="3840" width="9" style="1"/>
    <col min="3841" max="3841" width="10.75" style="1" bestFit="1" customWidth="1"/>
    <col min="3842" max="3842" width="7" style="1" customWidth="1"/>
    <col min="3843" max="3843" width="8.125" style="1" customWidth="1"/>
    <col min="3844" max="3845" width="9.25" style="1" bestFit="1" customWidth="1"/>
    <col min="3846" max="3846" width="12" style="1" bestFit="1" customWidth="1"/>
    <col min="3847" max="3847" width="12.125" style="1" bestFit="1" customWidth="1"/>
    <col min="3848" max="3848" width="14.875" style="1" bestFit="1" customWidth="1"/>
    <col min="3849" max="3849" width="11.375" style="1" bestFit="1" customWidth="1"/>
    <col min="3850" max="3850" width="10.75" style="1" customWidth="1"/>
    <col min="3851" max="3853" width="12.125" style="1" bestFit="1" customWidth="1"/>
    <col min="3854" max="3854" width="16.25" style="1" bestFit="1" customWidth="1"/>
    <col min="3855" max="3857" width="10.75" style="1" customWidth="1"/>
    <col min="3858" max="3858" width="12" style="1" bestFit="1" customWidth="1"/>
    <col min="3859" max="3859" width="12.125" style="1" bestFit="1" customWidth="1"/>
    <col min="3860" max="3860" width="12.625" style="1" bestFit="1" customWidth="1"/>
    <col min="3861" max="3865" width="10.75" style="1" customWidth="1"/>
    <col min="3866" max="3866" width="15.25" style="1" bestFit="1" customWidth="1"/>
    <col min="3867" max="3871" width="10.75" style="1" customWidth="1"/>
    <col min="3872" max="3872" width="12.625" style="1" bestFit="1" customWidth="1"/>
    <col min="3873" max="3877" width="10.75" style="1" customWidth="1"/>
    <col min="3878" max="3878" width="12.625" style="1" bestFit="1" customWidth="1"/>
    <col min="3879" max="3891" width="10.75" style="1" customWidth="1"/>
    <col min="3892" max="4096" width="9" style="1"/>
    <col min="4097" max="4097" width="10.75" style="1" bestFit="1" customWidth="1"/>
    <col min="4098" max="4098" width="7" style="1" customWidth="1"/>
    <col min="4099" max="4099" width="8.125" style="1" customWidth="1"/>
    <col min="4100" max="4101" width="9.25" style="1" bestFit="1" customWidth="1"/>
    <col min="4102" max="4102" width="12" style="1" bestFit="1" customWidth="1"/>
    <col min="4103" max="4103" width="12.125" style="1" bestFit="1" customWidth="1"/>
    <col min="4104" max="4104" width="14.875" style="1" bestFit="1" customWidth="1"/>
    <col min="4105" max="4105" width="11.375" style="1" bestFit="1" customWidth="1"/>
    <col min="4106" max="4106" width="10.75" style="1" customWidth="1"/>
    <col min="4107" max="4109" width="12.125" style="1" bestFit="1" customWidth="1"/>
    <col min="4110" max="4110" width="16.25" style="1" bestFit="1" customWidth="1"/>
    <col min="4111" max="4113" width="10.75" style="1" customWidth="1"/>
    <col min="4114" max="4114" width="12" style="1" bestFit="1" customWidth="1"/>
    <col min="4115" max="4115" width="12.125" style="1" bestFit="1" customWidth="1"/>
    <col min="4116" max="4116" width="12.625" style="1" bestFit="1" customWidth="1"/>
    <col min="4117" max="4121" width="10.75" style="1" customWidth="1"/>
    <col min="4122" max="4122" width="15.25" style="1" bestFit="1" customWidth="1"/>
    <col min="4123" max="4127" width="10.75" style="1" customWidth="1"/>
    <col min="4128" max="4128" width="12.625" style="1" bestFit="1" customWidth="1"/>
    <col min="4129" max="4133" width="10.75" style="1" customWidth="1"/>
    <col min="4134" max="4134" width="12.625" style="1" bestFit="1" customWidth="1"/>
    <col min="4135" max="4147" width="10.75" style="1" customWidth="1"/>
    <col min="4148" max="4352" width="9" style="1"/>
    <col min="4353" max="4353" width="10.75" style="1" bestFit="1" customWidth="1"/>
    <col min="4354" max="4354" width="7" style="1" customWidth="1"/>
    <col min="4355" max="4355" width="8.125" style="1" customWidth="1"/>
    <col min="4356" max="4357" width="9.25" style="1" bestFit="1" customWidth="1"/>
    <col min="4358" max="4358" width="12" style="1" bestFit="1" customWidth="1"/>
    <col min="4359" max="4359" width="12.125" style="1" bestFit="1" customWidth="1"/>
    <col min="4360" max="4360" width="14.875" style="1" bestFit="1" customWidth="1"/>
    <col min="4361" max="4361" width="11.375" style="1" bestFit="1" customWidth="1"/>
    <col min="4362" max="4362" width="10.75" style="1" customWidth="1"/>
    <col min="4363" max="4365" width="12.125" style="1" bestFit="1" customWidth="1"/>
    <col min="4366" max="4366" width="16.25" style="1" bestFit="1" customWidth="1"/>
    <col min="4367" max="4369" width="10.75" style="1" customWidth="1"/>
    <col min="4370" max="4370" width="12" style="1" bestFit="1" customWidth="1"/>
    <col min="4371" max="4371" width="12.125" style="1" bestFit="1" customWidth="1"/>
    <col min="4372" max="4372" width="12.625" style="1" bestFit="1" customWidth="1"/>
    <col min="4373" max="4377" width="10.75" style="1" customWidth="1"/>
    <col min="4378" max="4378" width="15.25" style="1" bestFit="1" customWidth="1"/>
    <col min="4379" max="4383" width="10.75" style="1" customWidth="1"/>
    <col min="4384" max="4384" width="12.625" style="1" bestFit="1" customWidth="1"/>
    <col min="4385" max="4389" width="10.75" style="1" customWidth="1"/>
    <col min="4390" max="4390" width="12.625" style="1" bestFit="1" customWidth="1"/>
    <col min="4391" max="4403" width="10.75" style="1" customWidth="1"/>
    <col min="4404" max="4608" width="9" style="1"/>
    <col min="4609" max="4609" width="10.75" style="1" bestFit="1" customWidth="1"/>
    <col min="4610" max="4610" width="7" style="1" customWidth="1"/>
    <col min="4611" max="4611" width="8.125" style="1" customWidth="1"/>
    <col min="4612" max="4613" width="9.25" style="1" bestFit="1" customWidth="1"/>
    <col min="4614" max="4614" width="12" style="1" bestFit="1" customWidth="1"/>
    <col min="4615" max="4615" width="12.125" style="1" bestFit="1" customWidth="1"/>
    <col min="4616" max="4616" width="14.875" style="1" bestFit="1" customWidth="1"/>
    <col min="4617" max="4617" width="11.375" style="1" bestFit="1" customWidth="1"/>
    <col min="4618" max="4618" width="10.75" style="1" customWidth="1"/>
    <col min="4619" max="4621" width="12.125" style="1" bestFit="1" customWidth="1"/>
    <col min="4622" max="4622" width="16.25" style="1" bestFit="1" customWidth="1"/>
    <col min="4623" max="4625" width="10.75" style="1" customWidth="1"/>
    <col min="4626" max="4626" width="12" style="1" bestFit="1" customWidth="1"/>
    <col min="4627" max="4627" width="12.125" style="1" bestFit="1" customWidth="1"/>
    <col min="4628" max="4628" width="12.625" style="1" bestFit="1" customWidth="1"/>
    <col min="4629" max="4633" width="10.75" style="1" customWidth="1"/>
    <col min="4634" max="4634" width="15.25" style="1" bestFit="1" customWidth="1"/>
    <col min="4635" max="4639" width="10.75" style="1" customWidth="1"/>
    <col min="4640" max="4640" width="12.625" style="1" bestFit="1" customWidth="1"/>
    <col min="4641" max="4645" width="10.75" style="1" customWidth="1"/>
    <col min="4646" max="4646" width="12.625" style="1" bestFit="1" customWidth="1"/>
    <col min="4647" max="4659" width="10.75" style="1" customWidth="1"/>
    <col min="4660" max="4864" width="9" style="1"/>
    <col min="4865" max="4865" width="10.75" style="1" bestFit="1" customWidth="1"/>
    <col min="4866" max="4866" width="7" style="1" customWidth="1"/>
    <col min="4867" max="4867" width="8.125" style="1" customWidth="1"/>
    <col min="4868" max="4869" width="9.25" style="1" bestFit="1" customWidth="1"/>
    <col min="4870" max="4870" width="12" style="1" bestFit="1" customWidth="1"/>
    <col min="4871" max="4871" width="12.125" style="1" bestFit="1" customWidth="1"/>
    <col min="4872" max="4872" width="14.875" style="1" bestFit="1" customWidth="1"/>
    <col min="4873" max="4873" width="11.375" style="1" bestFit="1" customWidth="1"/>
    <col min="4874" max="4874" width="10.75" style="1" customWidth="1"/>
    <col min="4875" max="4877" width="12.125" style="1" bestFit="1" customWidth="1"/>
    <col min="4878" max="4878" width="16.25" style="1" bestFit="1" customWidth="1"/>
    <col min="4879" max="4881" width="10.75" style="1" customWidth="1"/>
    <col min="4882" max="4882" width="12" style="1" bestFit="1" customWidth="1"/>
    <col min="4883" max="4883" width="12.125" style="1" bestFit="1" customWidth="1"/>
    <col min="4884" max="4884" width="12.625" style="1" bestFit="1" customWidth="1"/>
    <col min="4885" max="4889" width="10.75" style="1" customWidth="1"/>
    <col min="4890" max="4890" width="15.25" style="1" bestFit="1" customWidth="1"/>
    <col min="4891" max="4895" width="10.75" style="1" customWidth="1"/>
    <col min="4896" max="4896" width="12.625" style="1" bestFit="1" customWidth="1"/>
    <col min="4897" max="4901" width="10.75" style="1" customWidth="1"/>
    <col min="4902" max="4902" width="12.625" style="1" bestFit="1" customWidth="1"/>
    <col min="4903" max="4915" width="10.75" style="1" customWidth="1"/>
    <col min="4916" max="5120" width="9" style="1"/>
    <col min="5121" max="5121" width="10.75" style="1" bestFit="1" customWidth="1"/>
    <col min="5122" max="5122" width="7" style="1" customWidth="1"/>
    <col min="5123" max="5123" width="8.125" style="1" customWidth="1"/>
    <col min="5124" max="5125" width="9.25" style="1" bestFit="1" customWidth="1"/>
    <col min="5126" max="5126" width="12" style="1" bestFit="1" customWidth="1"/>
    <col min="5127" max="5127" width="12.125" style="1" bestFit="1" customWidth="1"/>
    <col min="5128" max="5128" width="14.875" style="1" bestFit="1" customWidth="1"/>
    <col min="5129" max="5129" width="11.375" style="1" bestFit="1" customWidth="1"/>
    <col min="5130" max="5130" width="10.75" style="1" customWidth="1"/>
    <col min="5131" max="5133" width="12.125" style="1" bestFit="1" customWidth="1"/>
    <col min="5134" max="5134" width="16.25" style="1" bestFit="1" customWidth="1"/>
    <col min="5135" max="5137" width="10.75" style="1" customWidth="1"/>
    <col min="5138" max="5138" width="12" style="1" bestFit="1" customWidth="1"/>
    <col min="5139" max="5139" width="12.125" style="1" bestFit="1" customWidth="1"/>
    <col min="5140" max="5140" width="12.625" style="1" bestFit="1" customWidth="1"/>
    <col min="5141" max="5145" width="10.75" style="1" customWidth="1"/>
    <col min="5146" max="5146" width="15.25" style="1" bestFit="1" customWidth="1"/>
    <col min="5147" max="5151" width="10.75" style="1" customWidth="1"/>
    <col min="5152" max="5152" width="12.625" style="1" bestFit="1" customWidth="1"/>
    <col min="5153" max="5157" width="10.75" style="1" customWidth="1"/>
    <col min="5158" max="5158" width="12.625" style="1" bestFit="1" customWidth="1"/>
    <col min="5159" max="5171" width="10.75" style="1" customWidth="1"/>
    <col min="5172" max="5376" width="9" style="1"/>
    <col min="5377" max="5377" width="10.75" style="1" bestFit="1" customWidth="1"/>
    <col min="5378" max="5378" width="7" style="1" customWidth="1"/>
    <col min="5379" max="5379" width="8.125" style="1" customWidth="1"/>
    <col min="5380" max="5381" width="9.25" style="1" bestFit="1" customWidth="1"/>
    <col min="5382" max="5382" width="12" style="1" bestFit="1" customWidth="1"/>
    <col min="5383" max="5383" width="12.125" style="1" bestFit="1" customWidth="1"/>
    <col min="5384" max="5384" width="14.875" style="1" bestFit="1" customWidth="1"/>
    <col min="5385" max="5385" width="11.375" style="1" bestFit="1" customWidth="1"/>
    <col min="5386" max="5386" width="10.75" style="1" customWidth="1"/>
    <col min="5387" max="5389" width="12.125" style="1" bestFit="1" customWidth="1"/>
    <col min="5390" max="5390" width="16.25" style="1" bestFit="1" customWidth="1"/>
    <col min="5391" max="5393" width="10.75" style="1" customWidth="1"/>
    <col min="5394" max="5394" width="12" style="1" bestFit="1" customWidth="1"/>
    <col min="5395" max="5395" width="12.125" style="1" bestFit="1" customWidth="1"/>
    <col min="5396" max="5396" width="12.625" style="1" bestFit="1" customWidth="1"/>
    <col min="5397" max="5401" width="10.75" style="1" customWidth="1"/>
    <col min="5402" max="5402" width="15.25" style="1" bestFit="1" customWidth="1"/>
    <col min="5403" max="5407" width="10.75" style="1" customWidth="1"/>
    <col min="5408" max="5408" width="12.625" style="1" bestFit="1" customWidth="1"/>
    <col min="5409" max="5413" width="10.75" style="1" customWidth="1"/>
    <col min="5414" max="5414" width="12.625" style="1" bestFit="1" customWidth="1"/>
    <col min="5415" max="5427" width="10.75" style="1" customWidth="1"/>
    <col min="5428" max="5632" width="9" style="1"/>
    <col min="5633" max="5633" width="10.75" style="1" bestFit="1" customWidth="1"/>
    <col min="5634" max="5634" width="7" style="1" customWidth="1"/>
    <col min="5635" max="5635" width="8.125" style="1" customWidth="1"/>
    <col min="5636" max="5637" width="9.25" style="1" bestFit="1" customWidth="1"/>
    <col min="5638" max="5638" width="12" style="1" bestFit="1" customWidth="1"/>
    <col min="5639" max="5639" width="12.125" style="1" bestFit="1" customWidth="1"/>
    <col min="5640" max="5640" width="14.875" style="1" bestFit="1" customWidth="1"/>
    <col min="5641" max="5641" width="11.375" style="1" bestFit="1" customWidth="1"/>
    <col min="5642" max="5642" width="10.75" style="1" customWidth="1"/>
    <col min="5643" max="5645" width="12.125" style="1" bestFit="1" customWidth="1"/>
    <col min="5646" max="5646" width="16.25" style="1" bestFit="1" customWidth="1"/>
    <col min="5647" max="5649" width="10.75" style="1" customWidth="1"/>
    <col min="5650" max="5650" width="12" style="1" bestFit="1" customWidth="1"/>
    <col min="5651" max="5651" width="12.125" style="1" bestFit="1" customWidth="1"/>
    <col min="5652" max="5652" width="12.625" style="1" bestFit="1" customWidth="1"/>
    <col min="5653" max="5657" width="10.75" style="1" customWidth="1"/>
    <col min="5658" max="5658" width="15.25" style="1" bestFit="1" customWidth="1"/>
    <col min="5659" max="5663" width="10.75" style="1" customWidth="1"/>
    <col min="5664" max="5664" width="12.625" style="1" bestFit="1" customWidth="1"/>
    <col min="5665" max="5669" width="10.75" style="1" customWidth="1"/>
    <col min="5670" max="5670" width="12.625" style="1" bestFit="1" customWidth="1"/>
    <col min="5671" max="5683" width="10.75" style="1" customWidth="1"/>
    <col min="5684" max="5888" width="9" style="1"/>
    <col min="5889" max="5889" width="10.75" style="1" bestFit="1" customWidth="1"/>
    <col min="5890" max="5890" width="7" style="1" customWidth="1"/>
    <col min="5891" max="5891" width="8.125" style="1" customWidth="1"/>
    <col min="5892" max="5893" width="9.25" style="1" bestFit="1" customWidth="1"/>
    <col min="5894" max="5894" width="12" style="1" bestFit="1" customWidth="1"/>
    <col min="5895" max="5895" width="12.125" style="1" bestFit="1" customWidth="1"/>
    <col min="5896" max="5896" width="14.875" style="1" bestFit="1" customWidth="1"/>
    <col min="5897" max="5897" width="11.375" style="1" bestFit="1" customWidth="1"/>
    <col min="5898" max="5898" width="10.75" style="1" customWidth="1"/>
    <col min="5899" max="5901" width="12.125" style="1" bestFit="1" customWidth="1"/>
    <col min="5902" max="5902" width="16.25" style="1" bestFit="1" customWidth="1"/>
    <col min="5903" max="5905" width="10.75" style="1" customWidth="1"/>
    <col min="5906" max="5906" width="12" style="1" bestFit="1" customWidth="1"/>
    <col min="5907" max="5907" width="12.125" style="1" bestFit="1" customWidth="1"/>
    <col min="5908" max="5908" width="12.625" style="1" bestFit="1" customWidth="1"/>
    <col min="5909" max="5913" width="10.75" style="1" customWidth="1"/>
    <col min="5914" max="5914" width="15.25" style="1" bestFit="1" customWidth="1"/>
    <col min="5915" max="5919" width="10.75" style="1" customWidth="1"/>
    <col min="5920" max="5920" width="12.625" style="1" bestFit="1" customWidth="1"/>
    <col min="5921" max="5925" width="10.75" style="1" customWidth="1"/>
    <col min="5926" max="5926" width="12.625" style="1" bestFit="1" customWidth="1"/>
    <col min="5927" max="5939" width="10.75" style="1" customWidth="1"/>
    <col min="5940" max="6144" width="9" style="1"/>
    <col min="6145" max="6145" width="10.75" style="1" bestFit="1" customWidth="1"/>
    <col min="6146" max="6146" width="7" style="1" customWidth="1"/>
    <col min="6147" max="6147" width="8.125" style="1" customWidth="1"/>
    <col min="6148" max="6149" width="9.25" style="1" bestFit="1" customWidth="1"/>
    <col min="6150" max="6150" width="12" style="1" bestFit="1" customWidth="1"/>
    <col min="6151" max="6151" width="12.125" style="1" bestFit="1" customWidth="1"/>
    <col min="6152" max="6152" width="14.875" style="1" bestFit="1" customWidth="1"/>
    <col min="6153" max="6153" width="11.375" style="1" bestFit="1" customWidth="1"/>
    <col min="6154" max="6154" width="10.75" style="1" customWidth="1"/>
    <col min="6155" max="6157" width="12.125" style="1" bestFit="1" customWidth="1"/>
    <col min="6158" max="6158" width="16.25" style="1" bestFit="1" customWidth="1"/>
    <col min="6159" max="6161" width="10.75" style="1" customWidth="1"/>
    <col min="6162" max="6162" width="12" style="1" bestFit="1" customWidth="1"/>
    <col min="6163" max="6163" width="12.125" style="1" bestFit="1" customWidth="1"/>
    <col min="6164" max="6164" width="12.625" style="1" bestFit="1" customWidth="1"/>
    <col min="6165" max="6169" width="10.75" style="1" customWidth="1"/>
    <col min="6170" max="6170" width="15.25" style="1" bestFit="1" customWidth="1"/>
    <col min="6171" max="6175" width="10.75" style="1" customWidth="1"/>
    <col min="6176" max="6176" width="12.625" style="1" bestFit="1" customWidth="1"/>
    <col min="6177" max="6181" width="10.75" style="1" customWidth="1"/>
    <col min="6182" max="6182" width="12.625" style="1" bestFit="1" customWidth="1"/>
    <col min="6183" max="6195" width="10.75" style="1" customWidth="1"/>
    <col min="6196" max="6400" width="9" style="1"/>
    <col min="6401" max="6401" width="10.75" style="1" bestFit="1" customWidth="1"/>
    <col min="6402" max="6402" width="7" style="1" customWidth="1"/>
    <col min="6403" max="6403" width="8.125" style="1" customWidth="1"/>
    <col min="6404" max="6405" width="9.25" style="1" bestFit="1" customWidth="1"/>
    <col min="6406" max="6406" width="12" style="1" bestFit="1" customWidth="1"/>
    <col min="6407" max="6407" width="12.125" style="1" bestFit="1" customWidth="1"/>
    <col min="6408" max="6408" width="14.875" style="1" bestFit="1" customWidth="1"/>
    <col min="6409" max="6409" width="11.375" style="1" bestFit="1" customWidth="1"/>
    <col min="6410" max="6410" width="10.75" style="1" customWidth="1"/>
    <col min="6411" max="6413" width="12.125" style="1" bestFit="1" customWidth="1"/>
    <col min="6414" max="6414" width="16.25" style="1" bestFit="1" customWidth="1"/>
    <col min="6415" max="6417" width="10.75" style="1" customWidth="1"/>
    <col min="6418" max="6418" width="12" style="1" bestFit="1" customWidth="1"/>
    <col min="6419" max="6419" width="12.125" style="1" bestFit="1" customWidth="1"/>
    <col min="6420" max="6420" width="12.625" style="1" bestFit="1" customWidth="1"/>
    <col min="6421" max="6425" width="10.75" style="1" customWidth="1"/>
    <col min="6426" max="6426" width="15.25" style="1" bestFit="1" customWidth="1"/>
    <col min="6427" max="6431" width="10.75" style="1" customWidth="1"/>
    <col min="6432" max="6432" width="12.625" style="1" bestFit="1" customWidth="1"/>
    <col min="6433" max="6437" width="10.75" style="1" customWidth="1"/>
    <col min="6438" max="6438" width="12.625" style="1" bestFit="1" customWidth="1"/>
    <col min="6439" max="6451" width="10.75" style="1" customWidth="1"/>
    <col min="6452" max="6656" width="9" style="1"/>
    <col min="6657" max="6657" width="10.75" style="1" bestFit="1" customWidth="1"/>
    <col min="6658" max="6658" width="7" style="1" customWidth="1"/>
    <col min="6659" max="6659" width="8.125" style="1" customWidth="1"/>
    <col min="6660" max="6661" width="9.25" style="1" bestFit="1" customWidth="1"/>
    <col min="6662" max="6662" width="12" style="1" bestFit="1" customWidth="1"/>
    <col min="6663" max="6663" width="12.125" style="1" bestFit="1" customWidth="1"/>
    <col min="6664" max="6664" width="14.875" style="1" bestFit="1" customWidth="1"/>
    <col min="6665" max="6665" width="11.375" style="1" bestFit="1" customWidth="1"/>
    <col min="6666" max="6666" width="10.75" style="1" customWidth="1"/>
    <col min="6667" max="6669" width="12.125" style="1" bestFit="1" customWidth="1"/>
    <col min="6670" max="6670" width="16.25" style="1" bestFit="1" customWidth="1"/>
    <col min="6671" max="6673" width="10.75" style="1" customWidth="1"/>
    <col min="6674" max="6674" width="12" style="1" bestFit="1" customWidth="1"/>
    <col min="6675" max="6675" width="12.125" style="1" bestFit="1" customWidth="1"/>
    <col min="6676" max="6676" width="12.625" style="1" bestFit="1" customWidth="1"/>
    <col min="6677" max="6681" width="10.75" style="1" customWidth="1"/>
    <col min="6682" max="6682" width="15.25" style="1" bestFit="1" customWidth="1"/>
    <col min="6683" max="6687" width="10.75" style="1" customWidth="1"/>
    <col min="6688" max="6688" width="12.625" style="1" bestFit="1" customWidth="1"/>
    <col min="6689" max="6693" width="10.75" style="1" customWidth="1"/>
    <col min="6694" max="6694" width="12.625" style="1" bestFit="1" customWidth="1"/>
    <col min="6695" max="6707" width="10.75" style="1" customWidth="1"/>
    <col min="6708" max="6912" width="9" style="1"/>
    <col min="6913" max="6913" width="10.75" style="1" bestFit="1" customWidth="1"/>
    <col min="6914" max="6914" width="7" style="1" customWidth="1"/>
    <col min="6915" max="6915" width="8.125" style="1" customWidth="1"/>
    <col min="6916" max="6917" width="9.25" style="1" bestFit="1" customWidth="1"/>
    <col min="6918" max="6918" width="12" style="1" bestFit="1" customWidth="1"/>
    <col min="6919" max="6919" width="12.125" style="1" bestFit="1" customWidth="1"/>
    <col min="6920" max="6920" width="14.875" style="1" bestFit="1" customWidth="1"/>
    <col min="6921" max="6921" width="11.375" style="1" bestFit="1" customWidth="1"/>
    <col min="6922" max="6922" width="10.75" style="1" customWidth="1"/>
    <col min="6923" max="6925" width="12.125" style="1" bestFit="1" customWidth="1"/>
    <col min="6926" max="6926" width="16.25" style="1" bestFit="1" customWidth="1"/>
    <col min="6927" max="6929" width="10.75" style="1" customWidth="1"/>
    <col min="6930" max="6930" width="12" style="1" bestFit="1" customWidth="1"/>
    <col min="6931" max="6931" width="12.125" style="1" bestFit="1" customWidth="1"/>
    <col min="6932" max="6932" width="12.625" style="1" bestFit="1" customWidth="1"/>
    <col min="6933" max="6937" width="10.75" style="1" customWidth="1"/>
    <col min="6938" max="6938" width="15.25" style="1" bestFit="1" customWidth="1"/>
    <col min="6939" max="6943" width="10.75" style="1" customWidth="1"/>
    <col min="6944" max="6944" width="12.625" style="1" bestFit="1" customWidth="1"/>
    <col min="6945" max="6949" width="10.75" style="1" customWidth="1"/>
    <col min="6950" max="6950" width="12.625" style="1" bestFit="1" customWidth="1"/>
    <col min="6951" max="6963" width="10.75" style="1" customWidth="1"/>
    <col min="6964" max="7168" width="9" style="1"/>
    <col min="7169" max="7169" width="10.75" style="1" bestFit="1" customWidth="1"/>
    <col min="7170" max="7170" width="7" style="1" customWidth="1"/>
    <col min="7171" max="7171" width="8.125" style="1" customWidth="1"/>
    <col min="7172" max="7173" width="9.25" style="1" bestFit="1" customWidth="1"/>
    <col min="7174" max="7174" width="12" style="1" bestFit="1" customWidth="1"/>
    <col min="7175" max="7175" width="12.125" style="1" bestFit="1" customWidth="1"/>
    <col min="7176" max="7176" width="14.875" style="1" bestFit="1" customWidth="1"/>
    <col min="7177" max="7177" width="11.375" style="1" bestFit="1" customWidth="1"/>
    <col min="7178" max="7178" width="10.75" style="1" customWidth="1"/>
    <col min="7179" max="7181" width="12.125" style="1" bestFit="1" customWidth="1"/>
    <col min="7182" max="7182" width="16.25" style="1" bestFit="1" customWidth="1"/>
    <col min="7183" max="7185" width="10.75" style="1" customWidth="1"/>
    <col min="7186" max="7186" width="12" style="1" bestFit="1" customWidth="1"/>
    <col min="7187" max="7187" width="12.125" style="1" bestFit="1" customWidth="1"/>
    <col min="7188" max="7188" width="12.625" style="1" bestFit="1" customWidth="1"/>
    <col min="7189" max="7193" width="10.75" style="1" customWidth="1"/>
    <col min="7194" max="7194" width="15.25" style="1" bestFit="1" customWidth="1"/>
    <col min="7195" max="7199" width="10.75" style="1" customWidth="1"/>
    <col min="7200" max="7200" width="12.625" style="1" bestFit="1" customWidth="1"/>
    <col min="7201" max="7205" width="10.75" style="1" customWidth="1"/>
    <col min="7206" max="7206" width="12.625" style="1" bestFit="1" customWidth="1"/>
    <col min="7207" max="7219" width="10.75" style="1" customWidth="1"/>
    <col min="7220" max="7424" width="9" style="1"/>
    <col min="7425" max="7425" width="10.75" style="1" bestFit="1" customWidth="1"/>
    <col min="7426" max="7426" width="7" style="1" customWidth="1"/>
    <col min="7427" max="7427" width="8.125" style="1" customWidth="1"/>
    <col min="7428" max="7429" width="9.25" style="1" bestFit="1" customWidth="1"/>
    <col min="7430" max="7430" width="12" style="1" bestFit="1" customWidth="1"/>
    <col min="7431" max="7431" width="12.125" style="1" bestFit="1" customWidth="1"/>
    <col min="7432" max="7432" width="14.875" style="1" bestFit="1" customWidth="1"/>
    <col min="7433" max="7433" width="11.375" style="1" bestFit="1" customWidth="1"/>
    <col min="7434" max="7434" width="10.75" style="1" customWidth="1"/>
    <col min="7435" max="7437" width="12.125" style="1" bestFit="1" customWidth="1"/>
    <col min="7438" max="7438" width="16.25" style="1" bestFit="1" customWidth="1"/>
    <col min="7439" max="7441" width="10.75" style="1" customWidth="1"/>
    <col min="7442" max="7442" width="12" style="1" bestFit="1" customWidth="1"/>
    <col min="7443" max="7443" width="12.125" style="1" bestFit="1" customWidth="1"/>
    <col min="7444" max="7444" width="12.625" style="1" bestFit="1" customWidth="1"/>
    <col min="7445" max="7449" width="10.75" style="1" customWidth="1"/>
    <col min="7450" max="7450" width="15.25" style="1" bestFit="1" customWidth="1"/>
    <col min="7451" max="7455" width="10.75" style="1" customWidth="1"/>
    <col min="7456" max="7456" width="12.625" style="1" bestFit="1" customWidth="1"/>
    <col min="7457" max="7461" width="10.75" style="1" customWidth="1"/>
    <col min="7462" max="7462" width="12.625" style="1" bestFit="1" customWidth="1"/>
    <col min="7463" max="7475" width="10.75" style="1" customWidth="1"/>
    <col min="7476" max="7680" width="9" style="1"/>
    <col min="7681" max="7681" width="10.75" style="1" bestFit="1" customWidth="1"/>
    <col min="7682" max="7682" width="7" style="1" customWidth="1"/>
    <col min="7683" max="7683" width="8.125" style="1" customWidth="1"/>
    <col min="7684" max="7685" width="9.25" style="1" bestFit="1" customWidth="1"/>
    <col min="7686" max="7686" width="12" style="1" bestFit="1" customWidth="1"/>
    <col min="7687" max="7687" width="12.125" style="1" bestFit="1" customWidth="1"/>
    <col min="7688" max="7688" width="14.875" style="1" bestFit="1" customWidth="1"/>
    <col min="7689" max="7689" width="11.375" style="1" bestFit="1" customWidth="1"/>
    <col min="7690" max="7690" width="10.75" style="1" customWidth="1"/>
    <col min="7691" max="7693" width="12.125" style="1" bestFit="1" customWidth="1"/>
    <col min="7694" max="7694" width="16.25" style="1" bestFit="1" customWidth="1"/>
    <col min="7695" max="7697" width="10.75" style="1" customWidth="1"/>
    <col min="7698" max="7698" width="12" style="1" bestFit="1" customWidth="1"/>
    <col min="7699" max="7699" width="12.125" style="1" bestFit="1" customWidth="1"/>
    <col min="7700" max="7700" width="12.625" style="1" bestFit="1" customWidth="1"/>
    <col min="7701" max="7705" width="10.75" style="1" customWidth="1"/>
    <col min="7706" max="7706" width="15.25" style="1" bestFit="1" customWidth="1"/>
    <col min="7707" max="7711" width="10.75" style="1" customWidth="1"/>
    <col min="7712" max="7712" width="12.625" style="1" bestFit="1" customWidth="1"/>
    <col min="7713" max="7717" width="10.75" style="1" customWidth="1"/>
    <col min="7718" max="7718" width="12.625" style="1" bestFit="1" customWidth="1"/>
    <col min="7719" max="7731" width="10.75" style="1" customWidth="1"/>
    <col min="7732" max="7936" width="9" style="1"/>
    <col min="7937" max="7937" width="10.75" style="1" bestFit="1" customWidth="1"/>
    <col min="7938" max="7938" width="7" style="1" customWidth="1"/>
    <col min="7939" max="7939" width="8.125" style="1" customWidth="1"/>
    <col min="7940" max="7941" width="9.25" style="1" bestFit="1" customWidth="1"/>
    <col min="7942" max="7942" width="12" style="1" bestFit="1" customWidth="1"/>
    <col min="7943" max="7943" width="12.125" style="1" bestFit="1" customWidth="1"/>
    <col min="7944" max="7944" width="14.875" style="1" bestFit="1" customWidth="1"/>
    <col min="7945" max="7945" width="11.375" style="1" bestFit="1" customWidth="1"/>
    <col min="7946" max="7946" width="10.75" style="1" customWidth="1"/>
    <col min="7947" max="7949" width="12.125" style="1" bestFit="1" customWidth="1"/>
    <col min="7950" max="7950" width="16.25" style="1" bestFit="1" customWidth="1"/>
    <col min="7951" max="7953" width="10.75" style="1" customWidth="1"/>
    <col min="7954" max="7954" width="12" style="1" bestFit="1" customWidth="1"/>
    <col min="7955" max="7955" width="12.125" style="1" bestFit="1" customWidth="1"/>
    <col min="7956" max="7956" width="12.625" style="1" bestFit="1" customWidth="1"/>
    <col min="7957" max="7961" width="10.75" style="1" customWidth="1"/>
    <col min="7962" max="7962" width="15.25" style="1" bestFit="1" customWidth="1"/>
    <col min="7963" max="7967" width="10.75" style="1" customWidth="1"/>
    <col min="7968" max="7968" width="12.625" style="1" bestFit="1" customWidth="1"/>
    <col min="7969" max="7973" width="10.75" style="1" customWidth="1"/>
    <col min="7974" max="7974" width="12.625" style="1" bestFit="1" customWidth="1"/>
    <col min="7975" max="7987" width="10.75" style="1" customWidth="1"/>
    <col min="7988" max="8192" width="9" style="1"/>
    <col min="8193" max="8193" width="10.75" style="1" bestFit="1" customWidth="1"/>
    <col min="8194" max="8194" width="7" style="1" customWidth="1"/>
    <col min="8195" max="8195" width="8.125" style="1" customWidth="1"/>
    <col min="8196" max="8197" width="9.25" style="1" bestFit="1" customWidth="1"/>
    <col min="8198" max="8198" width="12" style="1" bestFit="1" customWidth="1"/>
    <col min="8199" max="8199" width="12.125" style="1" bestFit="1" customWidth="1"/>
    <col min="8200" max="8200" width="14.875" style="1" bestFit="1" customWidth="1"/>
    <col min="8201" max="8201" width="11.375" style="1" bestFit="1" customWidth="1"/>
    <col min="8202" max="8202" width="10.75" style="1" customWidth="1"/>
    <col min="8203" max="8205" width="12.125" style="1" bestFit="1" customWidth="1"/>
    <col min="8206" max="8206" width="16.25" style="1" bestFit="1" customWidth="1"/>
    <col min="8207" max="8209" width="10.75" style="1" customWidth="1"/>
    <col min="8210" max="8210" width="12" style="1" bestFit="1" customWidth="1"/>
    <col min="8211" max="8211" width="12.125" style="1" bestFit="1" customWidth="1"/>
    <col min="8212" max="8212" width="12.625" style="1" bestFit="1" customWidth="1"/>
    <col min="8213" max="8217" width="10.75" style="1" customWidth="1"/>
    <col min="8218" max="8218" width="15.25" style="1" bestFit="1" customWidth="1"/>
    <col min="8219" max="8223" width="10.75" style="1" customWidth="1"/>
    <col min="8224" max="8224" width="12.625" style="1" bestFit="1" customWidth="1"/>
    <col min="8225" max="8229" width="10.75" style="1" customWidth="1"/>
    <col min="8230" max="8230" width="12.625" style="1" bestFit="1" customWidth="1"/>
    <col min="8231" max="8243" width="10.75" style="1" customWidth="1"/>
    <col min="8244" max="8448" width="9" style="1"/>
    <col min="8449" max="8449" width="10.75" style="1" bestFit="1" customWidth="1"/>
    <col min="8450" max="8450" width="7" style="1" customWidth="1"/>
    <col min="8451" max="8451" width="8.125" style="1" customWidth="1"/>
    <col min="8452" max="8453" width="9.25" style="1" bestFit="1" customWidth="1"/>
    <col min="8454" max="8454" width="12" style="1" bestFit="1" customWidth="1"/>
    <col min="8455" max="8455" width="12.125" style="1" bestFit="1" customWidth="1"/>
    <col min="8456" max="8456" width="14.875" style="1" bestFit="1" customWidth="1"/>
    <col min="8457" max="8457" width="11.375" style="1" bestFit="1" customWidth="1"/>
    <col min="8458" max="8458" width="10.75" style="1" customWidth="1"/>
    <col min="8459" max="8461" width="12.125" style="1" bestFit="1" customWidth="1"/>
    <col min="8462" max="8462" width="16.25" style="1" bestFit="1" customWidth="1"/>
    <col min="8463" max="8465" width="10.75" style="1" customWidth="1"/>
    <col min="8466" max="8466" width="12" style="1" bestFit="1" customWidth="1"/>
    <col min="8467" max="8467" width="12.125" style="1" bestFit="1" customWidth="1"/>
    <col min="8468" max="8468" width="12.625" style="1" bestFit="1" customWidth="1"/>
    <col min="8469" max="8473" width="10.75" style="1" customWidth="1"/>
    <col min="8474" max="8474" width="15.25" style="1" bestFit="1" customWidth="1"/>
    <col min="8475" max="8479" width="10.75" style="1" customWidth="1"/>
    <col min="8480" max="8480" width="12.625" style="1" bestFit="1" customWidth="1"/>
    <col min="8481" max="8485" width="10.75" style="1" customWidth="1"/>
    <col min="8486" max="8486" width="12.625" style="1" bestFit="1" customWidth="1"/>
    <col min="8487" max="8499" width="10.75" style="1" customWidth="1"/>
    <col min="8500" max="8704" width="9" style="1"/>
    <col min="8705" max="8705" width="10.75" style="1" bestFit="1" customWidth="1"/>
    <col min="8706" max="8706" width="7" style="1" customWidth="1"/>
    <col min="8707" max="8707" width="8.125" style="1" customWidth="1"/>
    <col min="8708" max="8709" width="9.25" style="1" bestFit="1" customWidth="1"/>
    <col min="8710" max="8710" width="12" style="1" bestFit="1" customWidth="1"/>
    <col min="8711" max="8711" width="12.125" style="1" bestFit="1" customWidth="1"/>
    <col min="8712" max="8712" width="14.875" style="1" bestFit="1" customWidth="1"/>
    <col min="8713" max="8713" width="11.375" style="1" bestFit="1" customWidth="1"/>
    <col min="8714" max="8714" width="10.75" style="1" customWidth="1"/>
    <col min="8715" max="8717" width="12.125" style="1" bestFit="1" customWidth="1"/>
    <col min="8718" max="8718" width="16.25" style="1" bestFit="1" customWidth="1"/>
    <col min="8719" max="8721" width="10.75" style="1" customWidth="1"/>
    <col min="8722" max="8722" width="12" style="1" bestFit="1" customWidth="1"/>
    <col min="8723" max="8723" width="12.125" style="1" bestFit="1" customWidth="1"/>
    <col min="8724" max="8724" width="12.625" style="1" bestFit="1" customWidth="1"/>
    <col min="8725" max="8729" width="10.75" style="1" customWidth="1"/>
    <col min="8730" max="8730" width="15.25" style="1" bestFit="1" customWidth="1"/>
    <col min="8731" max="8735" width="10.75" style="1" customWidth="1"/>
    <col min="8736" max="8736" width="12.625" style="1" bestFit="1" customWidth="1"/>
    <col min="8737" max="8741" width="10.75" style="1" customWidth="1"/>
    <col min="8742" max="8742" width="12.625" style="1" bestFit="1" customWidth="1"/>
    <col min="8743" max="8755" width="10.75" style="1" customWidth="1"/>
    <col min="8756" max="8960" width="9" style="1"/>
    <col min="8961" max="8961" width="10.75" style="1" bestFit="1" customWidth="1"/>
    <col min="8962" max="8962" width="7" style="1" customWidth="1"/>
    <col min="8963" max="8963" width="8.125" style="1" customWidth="1"/>
    <col min="8964" max="8965" width="9.25" style="1" bestFit="1" customWidth="1"/>
    <col min="8966" max="8966" width="12" style="1" bestFit="1" customWidth="1"/>
    <col min="8967" max="8967" width="12.125" style="1" bestFit="1" customWidth="1"/>
    <col min="8968" max="8968" width="14.875" style="1" bestFit="1" customWidth="1"/>
    <col min="8969" max="8969" width="11.375" style="1" bestFit="1" customWidth="1"/>
    <col min="8970" max="8970" width="10.75" style="1" customWidth="1"/>
    <col min="8971" max="8973" width="12.125" style="1" bestFit="1" customWidth="1"/>
    <col min="8974" max="8974" width="16.25" style="1" bestFit="1" customWidth="1"/>
    <col min="8975" max="8977" width="10.75" style="1" customWidth="1"/>
    <col min="8978" max="8978" width="12" style="1" bestFit="1" customWidth="1"/>
    <col min="8979" max="8979" width="12.125" style="1" bestFit="1" customWidth="1"/>
    <col min="8980" max="8980" width="12.625" style="1" bestFit="1" customWidth="1"/>
    <col min="8981" max="8985" width="10.75" style="1" customWidth="1"/>
    <col min="8986" max="8986" width="15.25" style="1" bestFit="1" customWidth="1"/>
    <col min="8987" max="8991" width="10.75" style="1" customWidth="1"/>
    <col min="8992" max="8992" width="12.625" style="1" bestFit="1" customWidth="1"/>
    <col min="8993" max="8997" width="10.75" style="1" customWidth="1"/>
    <col min="8998" max="8998" width="12.625" style="1" bestFit="1" customWidth="1"/>
    <col min="8999" max="9011" width="10.75" style="1" customWidth="1"/>
    <col min="9012" max="9216" width="9" style="1"/>
    <col min="9217" max="9217" width="10.75" style="1" bestFit="1" customWidth="1"/>
    <col min="9218" max="9218" width="7" style="1" customWidth="1"/>
    <col min="9219" max="9219" width="8.125" style="1" customWidth="1"/>
    <col min="9220" max="9221" width="9.25" style="1" bestFit="1" customWidth="1"/>
    <col min="9222" max="9222" width="12" style="1" bestFit="1" customWidth="1"/>
    <col min="9223" max="9223" width="12.125" style="1" bestFit="1" customWidth="1"/>
    <col min="9224" max="9224" width="14.875" style="1" bestFit="1" customWidth="1"/>
    <col min="9225" max="9225" width="11.375" style="1" bestFit="1" customWidth="1"/>
    <col min="9226" max="9226" width="10.75" style="1" customWidth="1"/>
    <col min="9227" max="9229" width="12.125" style="1" bestFit="1" customWidth="1"/>
    <col min="9230" max="9230" width="16.25" style="1" bestFit="1" customWidth="1"/>
    <col min="9231" max="9233" width="10.75" style="1" customWidth="1"/>
    <col min="9234" max="9234" width="12" style="1" bestFit="1" customWidth="1"/>
    <col min="9235" max="9235" width="12.125" style="1" bestFit="1" customWidth="1"/>
    <col min="9236" max="9236" width="12.625" style="1" bestFit="1" customWidth="1"/>
    <col min="9237" max="9241" width="10.75" style="1" customWidth="1"/>
    <col min="9242" max="9242" width="15.25" style="1" bestFit="1" customWidth="1"/>
    <col min="9243" max="9247" width="10.75" style="1" customWidth="1"/>
    <col min="9248" max="9248" width="12.625" style="1" bestFit="1" customWidth="1"/>
    <col min="9249" max="9253" width="10.75" style="1" customWidth="1"/>
    <col min="9254" max="9254" width="12.625" style="1" bestFit="1" customWidth="1"/>
    <col min="9255" max="9267" width="10.75" style="1" customWidth="1"/>
    <col min="9268" max="9472" width="9" style="1"/>
    <col min="9473" max="9473" width="10.75" style="1" bestFit="1" customWidth="1"/>
    <col min="9474" max="9474" width="7" style="1" customWidth="1"/>
    <col min="9475" max="9475" width="8.125" style="1" customWidth="1"/>
    <col min="9476" max="9477" width="9.25" style="1" bestFit="1" customWidth="1"/>
    <col min="9478" max="9478" width="12" style="1" bestFit="1" customWidth="1"/>
    <col min="9479" max="9479" width="12.125" style="1" bestFit="1" customWidth="1"/>
    <col min="9480" max="9480" width="14.875" style="1" bestFit="1" customWidth="1"/>
    <col min="9481" max="9481" width="11.375" style="1" bestFit="1" customWidth="1"/>
    <col min="9482" max="9482" width="10.75" style="1" customWidth="1"/>
    <col min="9483" max="9485" width="12.125" style="1" bestFit="1" customWidth="1"/>
    <col min="9486" max="9486" width="16.25" style="1" bestFit="1" customWidth="1"/>
    <col min="9487" max="9489" width="10.75" style="1" customWidth="1"/>
    <col min="9490" max="9490" width="12" style="1" bestFit="1" customWidth="1"/>
    <col min="9491" max="9491" width="12.125" style="1" bestFit="1" customWidth="1"/>
    <col min="9492" max="9492" width="12.625" style="1" bestFit="1" customWidth="1"/>
    <col min="9493" max="9497" width="10.75" style="1" customWidth="1"/>
    <col min="9498" max="9498" width="15.25" style="1" bestFit="1" customWidth="1"/>
    <col min="9499" max="9503" width="10.75" style="1" customWidth="1"/>
    <col min="9504" max="9504" width="12.625" style="1" bestFit="1" customWidth="1"/>
    <col min="9505" max="9509" width="10.75" style="1" customWidth="1"/>
    <col min="9510" max="9510" width="12.625" style="1" bestFit="1" customWidth="1"/>
    <col min="9511" max="9523" width="10.75" style="1" customWidth="1"/>
    <col min="9524" max="9728" width="9" style="1"/>
    <col min="9729" max="9729" width="10.75" style="1" bestFit="1" customWidth="1"/>
    <col min="9730" max="9730" width="7" style="1" customWidth="1"/>
    <col min="9731" max="9731" width="8.125" style="1" customWidth="1"/>
    <col min="9732" max="9733" width="9.25" style="1" bestFit="1" customWidth="1"/>
    <col min="9734" max="9734" width="12" style="1" bestFit="1" customWidth="1"/>
    <col min="9735" max="9735" width="12.125" style="1" bestFit="1" customWidth="1"/>
    <col min="9736" max="9736" width="14.875" style="1" bestFit="1" customWidth="1"/>
    <col min="9737" max="9737" width="11.375" style="1" bestFit="1" customWidth="1"/>
    <col min="9738" max="9738" width="10.75" style="1" customWidth="1"/>
    <col min="9739" max="9741" width="12.125" style="1" bestFit="1" customWidth="1"/>
    <col min="9742" max="9742" width="16.25" style="1" bestFit="1" customWidth="1"/>
    <col min="9743" max="9745" width="10.75" style="1" customWidth="1"/>
    <col min="9746" max="9746" width="12" style="1" bestFit="1" customWidth="1"/>
    <col min="9747" max="9747" width="12.125" style="1" bestFit="1" customWidth="1"/>
    <col min="9748" max="9748" width="12.625" style="1" bestFit="1" customWidth="1"/>
    <col min="9749" max="9753" width="10.75" style="1" customWidth="1"/>
    <col min="9754" max="9754" width="15.25" style="1" bestFit="1" customWidth="1"/>
    <col min="9755" max="9759" width="10.75" style="1" customWidth="1"/>
    <col min="9760" max="9760" width="12.625" style="1" bestFit="1" customWidth="1"/>
    <col min="9761" max="9765" width="10.75" style="1" customWidth="1"/>
    <col min="9766" max="9766" width="12.625" style="1" bestFit="1" customWidth="1"/>
    <col min="9767" max="9779" width="10.75" style="1" customWidth="1"/>
    <col min="9780" max="9984" width="9" style="1"/>
    <col min="9985" max="9985" width="10.75" style="1" bestFit="1" customWidth="1"/>
    <col min="9986" max="9986" width="7" style="1" customWidth="1"/>
    <col min="9987" max="9987" width="8.125" style="1" customWidth="1"/>
    <col min="9988" max="9989" width="9.25" style="1" bestFit="1" customWidth="1"/>
    <col min="9990" max="9990" width="12" style="1" bestFit="1" customWidth="1"/>
    <col min="9991" max="9991" width="12.125" style="1" bestFit="1" customWidth="1"/>
    <col min="9992" max="9992" width="14.875" style="1" bestFit="1" customWidth="1"/>
    <col min="9993" max="9993" width="11.375" style="1" bestFit="1" customWidth="1"/>
    <col min="9994" max="9994" width="10.75" style="1" customWidth="1"/>
    <col min="9995" max="9997" width="12.125" style="1" bestFit="1" customWidth="1"/>
    <col min="9998" max="9998" width="16.25" style="1" bestFit="1" customWidth="1"/>
    <col min="9999" max="10001" width="10.75" style="1" customWidth="1"/>
    <col min="10002" max="10002" width="12" style="1" bestFit="1" customWidth="1"/>
    <col min="10003" max="10003" width="12.125" style="1" bestFit="1" customWidth="1"/>
    <col min="10004" max="10004" width="12.625" style="1" bestFit="1" customWidth="1"/>
    <col min="10005" max="10009" width="10.75" style="1" customWidth="1"/>
    <col min="10010" max="10010" width="15.25" style="1" bestFit="1" customWidth="1"/>
    <col min="10011" max="10015" width="10.75" style="1" customWidth="1"/>
    <col min="10016" max="10016" width="12.625" style="1" bestFit="1" customWidth="1"/>
    <col min="10017" max="10021" width="10.75" style="1" customWidth="1"/>
    <col min="10022" max="10022" width="12.625" style="1" bestFit="1" customWidth="1"/>
    <col min="10023" max="10035" width="10.75" style="1" customWidth="1"/>
    <col min="10036" max="10240" width="9" style="1"/>
    <col min="10241" max="10241" width="10.75" style="1" bestFit="1" customWidth="1"/>
    <col min="10242" max="10242" width="7" style="1" customWidth="1"/>
    <col min="10243" max="10243" width="8.125" style="1" customWidth="1"/>
    <col min="10244" max="10245" width="9.25" style="1" bestFit="1" customWidth="1"/>
    <col min="10246" max="10246" width="12" style="1" bestFit="1" customWidth="1"/>
    <col min="10247" max="10247" width="12.125" style="1" bestFit="1" customWidth="1"/>
    <col min="10248" max="10248" width="14.875" style="1" bestFit="1" customWidth="1"/>
    <col min="10249" max="10249" width="11.375" style="1" bestFit="1" customWidth="1"/>
    <col min="10250" max="10250" width="10.75" style="1" customWidth="1"/>
    <col min="10251" max="10253" width="12.125" style="1" bestFit="1" customWidth="1"/>
    <col min="10254" max="10254" width="16.25" style="1" bestFit="1" customWidth="1"/>
    <col min="10255" max="10257" width="10.75" style="1" customWidth="1"/>
    <col min="10258" max="10258" width="12" style="1" bestFit="1" customWidth="1"/>
    <col min="10259" max="10259" width="12.125" style="1" bestFit="1" customWidth="1"/>
    <col min="10260" max="10260" width="12.625" style="1" bestFit="1" customWidth="1"/>
    <col min="10261" max="10265" width="10.75" style="1" customWidth="1"/>
    <col min="10266" max="10266" width="15.25" style="1" bestFit="1" customWidth="1"/>
    <col min="10267" max="10271" width="10.75" style="1" customWidth="1"/>
    <col min="10272" max="10272" width="12.625" style="1" bestFit="1" customWidth="1"/>
    <col min="10273" max="10277" width="10.75" style="1" customWidth="1"/>
    <col min="10278" max="10278" width="12.625" style="1" bestFit="1" customWidth="1"/>
    <col min="10279" max="10291" width="10.75" style="1" customWidth="1"/>
    <col min="10292" max="10496" width="9" style="1"/>
    <col min="10497" max="10497" width="10.75" style="1" bestFit="1" customWidth="1"/>
    <col min="10498" max="10498" width="7" style="1" customWidth="1"/>
    <col min="10499" max="10499" width="8.125" style="1" customWidth="1"/>
    <col min="10500" max="10501" width="9.25" style="1" bestFit="1" customWidth="1"/>
    <col min="10502" max="10502" width="12" style="1" bestFit="1" customWidth="1"/>
    <col min="10503" max="10503" width="12.125" style="1" bestFit="1" customWidth="1"/>
    <col min="10504" max="10504" width="14.875" style="1" bestFit="1" customWidth="1"/>
    <col min="10505" max="10505" width="11.375" style="1" bestFit="1" customWidth="1"/>
    <col min="10506" max="10506" width="10.75" style="1" customWidth="1"/>
    <col min="10507" max="10509" width="12.125" style="1" bestFit="1" customWidth="1"/>
    <col min="10510" max="10510" width="16.25" style="1" bestFit="1" customWidth="1"/>
    <col min="10511" max="10513" width="10.75" style="1" customWidth="1"/>
    <col min="10514" max="10514" width="12" style="1" bestFit="1" customWidth="1"/>
    <col min="10515" max="10515" width="12.125" style="1" bestFit="1" customWidth="1"/>
    <col min="10516" max="10516" width="12.625" style="1" bestFit="1" customWidth="1"/>
    <col min="10517" max="10521" width="10.75" style="1" customWidth="1"/>
    <col min="10522" max="10522" width="15.25" style="1" bestFit="1" customWidth="1"/>
    <col min="10523" max="10527" width="10.75" style="1" customWidth="1"/>
    <col min="10528" max="10528" width="12.625" style="1" bestFit="1" customWidth="1"/>
    <col min="10529" max="10533" width="10.75" style="1" customWidth="1"/>
    <col min="10534" max="10534" width="12.625" style="1" bestFit="1" customWidth="1"/>
    <col min="10535" max="10547" width="10.75" style="1" customWidth="1"/>
    <col min="10548" max="10752" width="9" style="1"/>
    <col min="10753" max="10753" width="10.75" style="1" bestFit="1" customWidth="1"/>
    <col min="10754" max="10754" width="7" style="1" customWidth="1"/>
    <col min="10755" max="10755" width="8.125" style="1" customWidth="1"/>
    <col min="10756" max="10757" width="9.25" style="1" bestFit="1" customWidth="1"/>
    <col min="10758" max="10758" width="12" style="1" bestFit="1" customWidth="1"/>
    <col min="10759" max="10759" width="12.125" style="1" bestFit="1" customWidth="1"/>
    <col min="10760" max="10760" width="14.875" style="1" bestFit="1" customWidth="1"/>
    <col min="10761" max="10761" width="11.375" style="1" bestFit="1" customWidth="1"/>
    <col min="10762" max="10762" width="10.75" style="1" customWidth="1"/>
    <col min="10763" max="10765" width="12.125" style="1" bestFit="1" customWidth="1"/>
    <col min="10766" max="10766" width="16.25" style="1" bestFit="1" customWidth="1"/>
    <col min="10767" max="10769" width="10.75" style="1" customWidth="1"/>
    <col min="10770" max="10770" width="12" style="1" bestFit="1" customWidth="1"/>
    <col min="10771" max="10771" width="12.125" style="1" bestFit="1" customWidth="1"/>
    <col min="10772" max="10772" width="12.625" style="1" bestFit="1" customWidth="1"/>
    <col min="10773" max="10777" width="10.75" style="1" customWidth="1"/>
    <col min="10778" max="10778" width="15.25" style="1" bestFit="1" customWidth="1"/>
    <col min="10779" max="10783" width="10.75" style="1" customWidth="1"/>
    <col min="10784" max="10784" width="12.625" style="1" bestFit="1" customWidth="1"/>
    <col min="10785" max="10789" width="10.75" style="1" customWidth="1"/>
    <col min="10790" max="10790" width="12.625" style="1" bestFit="1" customWidth="1"/>
    <col min="10791" max="10803" width="10.75" style="1" customWidth="1"/>
    <col min="10804" max="11008" width="9" style="1"/>
    <col min="11009" max="11009" width="10.75" style="1" bestFit="1" customWidth="1"/>
    <col min="11010" max="11010" width="7" style="1" customWidth="1"/>
    <col min="11011" max="11011" width="8.125" style="1" customWidth="1"/>
    <col min="11012" max="11013" width="9.25" style="1" bestFit="1" customWidth="1"/>
    <col min="11014" max="11014" width="12" style="1" bestFit="1" customWidth="1"/>
    <col min="11015" max="11015" width="12.125" style="1" bestFit="1" customWidth="1"/>
    <col min="11016" max="11016" width="14.875" style="1" bestFit="1" customWidth="1"/>
    <col min="11017" max="11017" width="11.375" style="1" bestFit="1" customWidth="1"/>
    <col min="11018" max="11018" width="10.75" style="1" customWidth="1"/>
    <col min="11019" max="11021" width="12.125" style="1" bestFit="1" customWidth="1"/>
    <col min="11022" max="11022" width="16.25" style="1" bestFit="1" customWidth="1"/>
    <col min="11023" max="11025" width="10.75" style="1" customWidth="1"/>
    <col min="11026" max="11026" width="12" style="1" bestFit="1" customWidth="1"/>
    <col min="11027" max="11027" width="12.125" style="1" bestFit="1" customWidth="1"/>
    <col min="11028" max="11028" width="12.625" style="1" bestFit="1" customWidth="1"/>
    <col min="11029" max="11033" width="10.75" style="1" customWidth="1"/>
    <col min="11034" max="11034" width="15.25" style="1" bestFit="1" customWidth="1"/>
    <col min="11035" max="11039" width="10.75" style="1" customWidth="1"/>
    <col min="11040" max="11040" width="12.625" style="1" bestFit="1" customWidth="1"/>
    <col min="11041" max="11045" width="10.75" style="1" customWidth="1"/>
    <col min="11046" max="11046" width="12.625" style="1" bestFit="1" customWidth="1"/>
    <col min="11047" max="11059" width="10.75" style="1" customWidth="1"/>
    <col min="11060" max="11264" width="9" style="1"/>
    <col min="11265" max="11265" width="10.75" style="1" bestFit="1" customWidth="1"/>
    <col min="11266" max="11266" width="7" style="1" customWidth="1"/>
    <col min="11267" max="11267" width="8.125" style="1" customWidth="1"/>
    <col min="11268" max="11269" width="9.25" style="1" bestFit="1" customWidth="1"/>
    <col min="11270" max="11270" width="12" style="1" bestFit="1" customWidth="1"/>
    <col min="11271" max="11271" width="12.125" style="1" bestFit="1" customWidth="1"/>
    <col min="11272" max="11272" width="14.875" style="1" bestFit="1" customWidth="1"/>
    <col min="11273" max="11273" width="11.375" style="1" bestFit="1" customWidth="1"/>
    <col min="11274" max="11274" width="10.75" style="1" customWidth="1"/>
    <col min="11275" max="11277" width="12.125" style="1" bestFit="1" customWidth="1"/>
    <col min="11278" max="11278" width="16.25" style="1" bestFit="1" customWidth="1"/>
    <col min="11279" max="11281" width="10.75" style="1" customWidth="1"/>
    <col min="11282" max="11282" width="12" style="1" bestFit="1" customWidth="1"/>
    <col min="11283" max="11283" width="12.125" style="1" bestFit="1" customWidth="1"/>
    <col min="11284" max="11284" width="12.625" style="1" bestFit="1" customWidth="1"/>
    <col min="11285" max="11289" width="10.75" style="1" customWidth="1"/>
    <col min="11290" max="11290" width="15.25" style="1" bestFit="1" customWidth="1"/>
    <col min="11291" max="11295" width="10.75" style="1" customWidth="1"/>
    <col min="11296" max="11296" width="12.625" style="1" bestFit="1" customWidth="1"/>
    <col min="11297" max="11301" width="10.75" style="1" customWidth="1"/>
    <col min="11302" max="11302" width="12.625" style="1" bestFit="1" customWidth="1"/>
    <col min="11303" max="11315" width="10.75" style="1" customWidth="1"/>
    <col min="11316" max="11520" width="9" style="1"/>
    <col min="11521" max="11521" width="10.75" style="1" bestFit="1" customWidth="1"/>
    <col min="11522" max="11522" width="7" style="1" customWidth="1"/>
    <col min="11523" max="11523" width="8.125" style="1" customWidth="1"/>
    <col min="11524" max="11525" width="9.25" style="1" bestFit="1" customWidth="1"/>
    <col min="11526" max="11526" width="12" style="1" bestFit="1" customWidth="1"/>
    <col min="11527" max="11527" width="12.125" style="1" bestFit="1" customWidth="1"/>
    <col min="11528" max="11528" width="14.875" style="1" bestFit="1" customWidth="1"/>
    <col min="11529" max="11529" width="11.375" style="1" bestFit="1" customWidth="1"/>
    <col min="11530" max="11530" width="10.75" style="1" customWidth="1"/>
    <col min="11531" max="11533" width="12.125" style="1" bestFit="1" customWidth="1"/>
    <col min="11534" max="11534" width="16.25" style="1" bestFit="1" customWidth="1"/>
    <col min="11535" max="11537" width="10.75" style="1" customWidth="1"/>
    <col min="11538" max="11538" width="12" style="1" bestFit="1" customWidth="1"/>
    <col min="11539" max="11539" width="12.125" style="1" bestFit="1" customWidth="1"/>
    <col min="11540" max="11540" width="12.625" style="1" bestFit="1" customWidth="1"/>
    <col min="11541" max="11545" width="10.75" style="1" customWidth="1"/>
    <col min="11546" max="11546" width="15.25" style="1" bestFit="1" customWidth="1"/>
    <col min="11547" max="11551" width="10.75" style="1" customWidth="1"/>
    <col min="11552" max="11552" width="12.625" style="1" bestFit="1" customWidth="1"/>
    <col min="11553" max="11557" width="10.75" style="1" customWidth="1"/>
    <col min="11558" max="11558" width="12.625" style="1" bestFit="1" customWidth="1"/>
    <col min="11559" max="11571" width="10.75" style="1" customWidth="1"/>
    <col min="11572" max="11776" width="9" style="1"/>
    <col min="11777" max="11777" width="10.75" style="1" bestFit="1" customWidth="1"/>
    <col min="11778" max="11778" width="7" style="1" customWidth="1"/>
    <col min="11779" max="11779" width="8.125" style="1" customWidth="1"/>
    <col min="11780" max="11781" width="9.25" style="1" bestFit="1" customWidth="1"/>
    <col min="11782" max="11782" width="12" style="1" bestFit="1" customWidth="1"/>
    <col min="11783" max="11783" width="12.125" style="1" bestFit="1" customWidth="1"/>
    <col min="11784" max="11784" width="14.875" style="1" bestFit="1" customWidth="1"/>
    <col min="11785" max="11785" width="11.375" style="1" bestFit="1" customWidth="1"/>
    <col min="11786" max="11786" width="10.75" style="1" customWidth="1"/>
    <col min="11787" max="11789" width="12.125" style="1" bestFit="1" customWidth="1"/>
    <col min="11790" max="11790" width="16.25" style="1" bestFit="1" customWidth="1"/>
    <col min="11791" max="11793" width="10.75" style="1" customWidth="1"/>
    <col min="11794" max="11794" width="12" style="1" bestFit="1" customWidth="1"/>
    <col min="11795" max="11795" width="12.125" style="1" bestFit="1" customWidth="1"/>
    <col min="11796" max="11796" width="12.625" style="1" bestFit="1" customWidth="1"/>
    <col min="11797" max="11801" width="10.75" style="1" customWidth="1"/>
    <col min="11802" max="11802" width="15.25" style="1" bestFit="1" customWidth="1"/>
    <col min="11803" max="11807" width="10.75" style="1" customWidth="1"/>
    <col min="11808" max="11808" width="12.625" style="1" bestFit="1" customWidth="1"/>
    <col min="11809" max="11813" width="10.75" style="1" customWidth="1"/>
    <col min="11814" max="11814" width="12.625" style="1" bestFit="1" customWidth="1"/>
    <col min="11815" max="11827" width="10.75" style="1" customWidth="1"/>
    <col min="11828" max="12032" width="9" style="1"/>
    <col min="12033" max="12033" width="10.75" style="1" bestFit="1" customWidth="1"/>
    <col min="12034" max="12034" width="7" style="1" customWidth="1"/>
    <col min="12035" max="12035" width="8.125" style="1" customWidth="1"/>
    <col min="12036" max="12037" width="9.25" style="1" bestFit="1" customWidth="1"/>
    <col min="12038" max="12038" width="12" style="1" bestFit="1" customWidth="1"/>
    <col min="12039" max="12039" width="12.125" style="1" bestFit="1" customWidth="1"/>
    <col min="12040" max="12040" width="14.875" style="1" bestFit="1" customWidth="1"/>
    <col min="12041" max="12041" width="11.375" style="1" bestFit="1" customWidth="1"/>
    <col min="12042" max="12042" width="10.75" style="1" customWidth="1"/>
    <col min="12043" max="12045" width="12.125" style="1" bestFit="1" customWidth="1"/>
    <col min="12046" max="12046" width="16.25" style="1" bestFit="1" customWidth="1"/>
    <col min="12047" max="12049" width="10.75" style="1" customWidth="1"/>
    <col min="12050" max="12050" width="12" style="1" bestFit="1" customWidth="1"/>
    <col min="12051" max="12051" width="12.125" style="1" bestFit="1" customWidth="1"/>
    <col min="12052" max="12052" width="12.625" style="1" bestFit="1" customWidth="1"/>
    <col min="12053" max="12057" width="10.75" style="1" customWidth="1"/>
    <col min="12058" max="12058" width="15.25" style="1" bestFit="1" customWidth="1"/>
    <col min="12059" max="12063" width="10.75" style="1" customWidth="1"/>
    <col min="12064" max="12064" width="12.625" style="1" bestFit="1" customWidth="1"/>
    <col min="12065" max="12069" width="10.75" style="1" customWidth="1"/>
    <col min="12070" max="12070" width="12.625" style="1" bestFit="1" customWidth="1"/>
    <col min="12071" max="12083" width="10.75" style="1" customWidth="1"/>
    <col min="12084" max="12288" width="9" style="1"/>
    <col min="12289" max="12289" width="10.75" style="1" bestFit="1" customWidth="1"/>
    <col min="12290" max="12290" width="7" style="1" customWidth="1"/>
    <col min="12291" max="12291" width="8.125" style="1" customWidth="1"/>
    <col min="12292" max="12293" width="9.25" style="1" bestFit="1" customWidth="1"/>
    <col min="12294" max="12294" width="12" style="1" bestFit="1" customWidth="1"/>
    <col min="12295" max="12295" width="12.125" style="1" bestFit="1" customWidth="1"/>
    <col min="12296" max="12296" width="14.875" style="1" bestFit="1" customWidth="1"/>
    <col min="12297" max="12297" width="11.375" style="1" bestFit="1" customWidth="1"/>
    <col min="12298" max="12298" width="10.75" style="1" customWidth="1"/>
    <col min="12299" max="12301" width="12.125" style="1" bestFit="1" customWidth="1"/>
    <col min="12302" max="12302" width="16.25" style="1" bestFit="1" customWidth="1"/>
    <col min="12303" max="12305" width="10.75" style="1" customWidth="1"/>
    <col min="12306" max="12306" width="12" style="1" bestFit="1" customWidth="1"/>
    <col min="12307" max="12307" width="12.125" style="1" bestFit="1" customWidth="1"/>
    <col min="12308" max="12308" width="12.625" style="1" bestFit="1" customWidth="1"/>
    <col min="12309" max="12313" width="10.75" style="1" customWidth="1"/>
    <col min="12314" max="12314" width="15.25" style="1" bestFit="1" customWidth="1"/>
    <col min="12315" max="12319" width="10.75" style="1" customWidth="1"/>
    <col min="12320" max="12320" width="12.625" style="1" bestFit="1" customWidth="1"/>
    <col min="12321" max="12325" width="10.75" style="1" customWidth="1"/>
    <col min="12326" max="12326" width="12.625" style="1" bestFit="1" customWidth="1"/>
    <col min="12327" max="12339" width="10.75" style="1" customWidth="1"/>
    <col min="12340" max="12544" width="9" style="1"/>
    <col min="12545" max="12545" width="10.75" style="1" bestFit="1" customWidth="1"/>
    <col min="12546" max="12546" width="7" style="1" customWidth="1"/>
    <col min="12547" max="12547" width="8.125" style="1" customWidth="1"/>
    <col min="12548" max="12549" width="9.25" style="1" bestFit="1" customWidth="1"/>
    <col min="12550" max="12550" width="12" style="1" bestFit="1" customWidth="1"/>
    <col min="12551" max="12551" width="12.125" style="1" bestFit="1" customWidth="1"/>
    <col min="12552" max="12552" width="14.875" style="1" bestFit="1" customWidth="1"/>
    <col min="12553" max="12553" width="11.375" style="1" bestFit="1" customWidth="1"/>
    <col min="12554" max="12554" width="10.75" style="1" customWidth="1"/>
    <col min="12555" max="12557" width="12.125" style="1" bestFit="1" customWidth="1"/>
    <col min="12558" max="12558" width="16.25" style="1" bestFit="1" customWidth="1"/>
    <col min="12559" max="12561" width="10.75" style="1" customWidth="1"/>
    <col min="12562" max="12562" width="12" style="1" bestFit="1" customWidth="1"/>
    <col min="12563" max="12563" width="12.125" style="1" bestFit="1" customWidth="1"/>
    <col min="12564" max="12564" width="12.625" style="1" bestFit="1" customWidth="1"/>
    <col min="12565" max="12569" width="10.75" style="1" customWidth="1"/>
    <col min="12570" max="12570" width="15.25" style="1" bestFit="1" customWidth="1"/>
    <col min="12571" max="12575" width="10.75" style="1" customWidth="1"/>
    <col min="12576" max="12576" width="12.625" style="1" bestFit="1" customWidth="1"/>
    <col min="12577" max="12581" width="10.75" style="1" customWidth="1"/>
    <col min="12582" max="12582" width="12.625" style="1" bestFit="1" customWidth="1"/>
    <col min="12583" max="12595" width="10.75" style="1" customWidth="1"/>
    <col min="12596" max="12800" width="9" style="1"/>
    <col min="12801" max="12801" width="10.75" style="1" bestFit="1" customWidth="1"/>
    <col min="12802" max="12802" width="7" style="1" customWidth="1"/>
    <col min="12803" max="12803" width="8.125" style="1" customWidth="1"/>
    <col min="12804" max="12805" width="9.25" style="1" bestFit="1" customWidth="1"/>
    <col min="12806" max="12806" width="12" style="1" bestFit="1" customWidth="1"/>
    <col min="12807" max="12807" width="12.125" style="1" bestFit="1" customWidth="1"/>
    <col min="12808" max="12808" width="14.875" style="1" bestFit="1" customWidth="1"/>
    <col min="12809" max="12809" width="11.375" style="1" bestFit="1" customWidth="1"/>
    <col min="12810" max="12810" width="10.75" style="1" customWidth="1"/>
    <col min="12811" max="12813" width="12.125" style="1" bestFit="1" customWidth="1"/>
    <col min="12814" max="12814" width="16.25" style="1" bestFit="1" customWidth="1"/>
    <col min="12815" max="12817" width="10.75" style="1" customWidth="1"/>
    <col min="12818" max="12818" width="12" style="1" bestFit="1" customWidth="1"/>
    <col min="12819" max="12819" width="12.125" style="1" bestFit="1" customWidth="1"/>
    <col min="12820" max="12820" width="12.625" style="1" bestFit="1" customWidth="1"/>
    <col min="12821" max="12825" width="10.75" style="1" customWidth="1"/>
    <col min="12826" max="12826" width="15.25" style="1" bestFit="1" customWidth="1"/>
    <col min="12827" max="12831" width="10.75" style="1" customWidth="1"/>
    <col min="12832" max="12832" width="12.625" style="1" bestFit="1" customWidth="1"/>
    <col min="12833" max="12837" width="10.75" style="1" customWidth="1"/>
    <col min="12838" max="12838" width="12.625" style="1" bestFit="1" customWidth="1"/>
    <col min="12839" max="12851" width="10.75" style="1" customWidth="1"/>
    <col min="12852" max="13056" width="9" style="1"/>
    <col min="13057" max="13057" width="10.75" style="1" bestFit="1" customWidth="1"/>
    <col min="13058" max="13058" width="7" style="1" customWidth="1"/>
    <col min="13059" max="13059" width="8.125" style="1" customWidth="1"/>
    <col min="13060" max="13061" width="9.25" style="1" bestFit="1" customWidth="1"/>
    <col min="13062" max="13062" width="12" style="1" bestFit="1" customWidth="1"/>
    <col min="13063" max="13063" width="12.125" style="1" bestFit="1" customWidth="1"/>
    <col min="13064" max="13064" width="14.875" style="1" bestFit="1" customWidth="1"/>
    <col min="13065" max="13065" width="11.375" style="1" bestFit="1" customWidth="1"/>
    <col min="13066" max="13066" width="10.75" style="1" customWidth="1"/>
    <col min="13067" max="13069" width="12.125" style="1" bestFit="1" customWidth="1"/>
    <col min="13070" max="13070" width="16.25" style="1" bestFit="1" customWidth="1"/>
    <col min="13071" max="13073" width="10.75" style="1" customWidth="1"/>
    <col min="13074" max="13074" width="12" style="1" bestFit="1" customWidth="1"/>
    <col min="13075" max="13075" width="12.125" style="1" bestFit="1" customWidth="1"/>
    <col min="13076" max="13076" width="12.625" style="1" bestFit="1" customWidth="1"/>
    <col min="13077" max="13081" width="10.75" style="1" customWidth="1"/>
    <col min="13082" max="13082" width="15.25" style="1" bestFit="1" customWidth="1"/>
    <col min="13083" max="13087" width="10.75" style="1" customWidth="1"/>
    <col min="13088" max="13088" width="12.625" style="1" bestFit="1" customWidth="1"/>
    <col min="13089" max="13093" width="10.75" style="1" customWidth="1"/>
    <col min="13094" max="13094" width="12.625" style="1" bestFit="1" customWidth="1"/>
    <col min="13095" max="13107" width="10.75" style="1" customWidth="1"/>
    <col min="13108" max="13312" width="9" style="1"/>
    <col min="13313" max="13313" width="10.75" style="1" bestFit="1" customWidth="1"/>
    <col min="13314" max="13314" width="7" style="1" customWidth="1"/>
    <col min="13315" max="13315" width="8.125" style="1" customWidth="1"/>
    <col min="13316" max="13317" width="9.25" style="1" bestFit="1" customWidth="1"/>
    <col min="13318" max="13318" width="12" style="1" bestFit="1" customWidth="1"/>
    <col min="13319" max="13319" width="12.125" style="1" bestFit="1" customWidth="1"/>
    <col min="13320" max="13320" width="14.875" style="1" bestFit="1" customWidth="1"/>
    <col min="13321" max="13321" width="11.375" style="1" bestFit="1" customWidth="1"/>
    <col min="13322" max="13322" width="10.75" style="1" customWidth="1"/>
    <col min="13323" max="13325" width="12.125" style="1" bestFit="1" customWidth="1"/>
    <col min="13326" max="13326" width="16.25" style="1" bestFit="1" customWidth="1"/>
    <col min="13327" max="13329" width="10.75" style="1" customWidth="1"/>
    <col min="13330" max="13330" width="12" style="1" bestFit="1" customWidth="1"/>
    <col min="13331" max="13331" width="12.125" style="1" bestFit="1" customWidth="1"/>
    <col min="13332" max="13332" width="12.625" style="1" bestFit="1" customWidth="1"/>
    <col min="13333" max="13337" width="10.75" style="1" customWidth="1"/>
    <col min="13338" max="13338" width="15.25" style="1" bestFit="1" customWidth="1"/>
    <col min="13339" max="13343" width="10.75" style="1" customWidth="1"/>
    <col min="13344" max="13344" width="12.625" style="1" bestFit="1" customWidth="1"/>
    <col min="13345" max="13349" width="10.75" style="1" customWidth="1"/>
    <col min="13350" max="13350" width="12.625" style="1" bestFit="1" customWidth="1"/>
    <col min="13351" max="13363" width="10.75" style="1" customWidth="1"/>
    <col min="13364" max="13568" width="9" style="1"/>
    <col min="13569" max="13569" width="10.75" style="1" bestFit="1" customWidth="1"/>
    <col min="13570" max="13570" width="7" style="1" customWidth="1"/>
    <col min="13571" max="13571" width="8.125" style="1" customWidth="1"/>
    <col min="13572" max="13573" width="9.25" style="1" bestFit="1" customWidth="1"/>
    <col min="13574" max="13574" width="12" style="1" bestFit="1" customWidth="1"/>
    <col min="13575" max="13575" width="12.125" style="1" bestFit="1" customWidth="1"/>
    <col min="13576" max="13576" width="14.875" style="1" bestFit="1" customWidth="1"/>
    <col min="13577" max="13577" width="11.375" style="1" bestFit="1" customWidth="1"/>
    <col min="13578" max="13578" width="10.75" style="1" customWidth="1"/>
    <col min="13579" max="13581" width="12.125" style="1" bestFit="1" customWidth="1"/>
    <col min="13582" max="13582" width="16.25" style="1" bestFit="1" customWidth="1"/>
    <col min="13583" max="13585" width="10.75" style="1" customWidth="1"/>
    <col min="13586" max="13586" width="12" style="1" bestFit="1" customWidth="1"/>
    <col min="13587" max="13587" width="12.125" style="1" bestFit="1" customWidth="1"/>
    <col min="13588" max="13588" width="12.625" style="1" bestFit="1" customWidth="1"/>
    <col min="13589" max="13593" width="10.75" style="1" customWidth="1"/>
    <col min="13594" max="13594" width="15.25" style="1" bestFit="1" customWidth="1"/>
    <col min="13595" max="13599" width="10.75" style="1" customWidth="1"/>
    <col min="13600" max="13600" width="12.625" style="1" bestFit="1" customWidth="1"/>
    <col min="13601" max="13605" width="10.75" style="1" customWidth="1"/>
    <col min="13606" max="13606" width="12.625" style="1" bestFit="1" customWidth="1"/>
    <col min="13607" max="13619" width="10.75" style="1" customWidth="1"/>
    <col min="13620" max="13824" width="9" style="1"/>
    <col min="13825" max="13825" width="10.75" style="1" bestFit="1" customWidth="1"/>
    <col min="13826" max="13826" width="7" style="1" customWidth="1"/>
    <col min="13827" max="13827" width="8.125" style="1" customWidth="1"/>
    <col min="13828" max="13829" width="9.25" style="1" bestFit="1" customWidth="1"/>
    <col min="13830" max="13830" width="12" style="1" bestFit="1" customWidth="1"/>
    <col min="13831" max="13831" width="12.125" style="1" bestFit="1" customWidth="1"/>
    <col min="13832" max="13832" width="14.875" style="1" bestFit="1" customWidth="1"/>
    <col min="13833" max="13833" width="11.375" style="1" bestFit="1" customWidth="1"/>
    <col min="13834" max="13834" width="10.75" style="1" customWidth="1"/>
    <col min="13835" max="13837" width="12.125" style="1" bestFit="1" customWidth="1"/>
    <col min="13838" max="13838" width="16.25" style="1" bestFit="1" customWidth="1"/>
    <col min="13839" max="13841" width="10.75" style="1" customWidth="1"/>
    <col min="13842" max="13842" width="12" style="1" bestFit="1" customWidth="1"/>
    <col min="13843" max="13843" width="12.125" style="1" bestFit="1" customWidth="1"/>
    <col min="13844" max="13844" width="12.625" style="1" bestFit="1" customWidth="1"/>
    <col min="13845" max="13849" width="10.75" style="1" customWidth="1"/>
    <col min="13850" max="13850" width="15.25" style="1" bestFit="1" customWidth="1"/>
    <col min="13851" max="13855" width="10.75" style="1" customWidth="1"/>
    <col min="13856" max="13856" width="12.625" style="1" bestFit="1" customWidth="1"/>
    <col min="13857" max="13861" width="10.75" style="1" customWidth="1"/>
    <col min="13862" max="13862" width="12.625" style="1" bestFit="1" customWidth="1"/>
    <col min="13863" max="13875" width="10.75" style="1" customWidth="1"/>
    <col min="13876" max="14080" width="9" style="1"/>
    <col min="14081" max="14081" width="10.75" style="1" bestFit="1" customWidth="1"/>
    <col min="14082" max="14082" width="7" style="1" customWidth="1"/>
    <col min="14083" max="14083" width="8.125" style="1" customWidth="1"/>
    <col min="14084" max="14085" width="9.25" style="1" bestFit="1" customWidth="1"/>
    <col min="14086" max="14086" width="12" style="1" bestFit="1" customWidth="1"/>
    <col min="14087" max="14087" width="12.125" style="1" bestFit="1" customWidth="1"/>
    <col min="14088" max="14088" width="14.875" style="1" bestFit="1" customWidth="1"/>
    <col min="14089" max="14089" width="11.375" style="1" bestFit="1" customWidth="1"/>
    <col min="14090" max="14090" width="10.75" style="1" customWidth="1"/>
    <col min="14091" max="14093" width="12.125" style="1" bestFit="1" customWidth="1"/>
    <col min="14094" max="14094" width="16.25" style="1" bestFit="1" customWidth="1"/>
    <col min="14095" max="14097" width="10.75" style="1" customWidth="1"/>
    <col min="14098" max="14098" width="12" style="1" bestFit="1" customWidth="1"/>
    <col min="14099" max="14099" width="12.125" style="1" bestFit="1" customWidth="1"/>
    <col min="14100" max="14100" width="12.625" style="1" bestFit="1" customWidth="1"/>
    <col min="14101" max="14105" width="10.75" style="1" customWidth="1"/>
    <col min="14106" max="14106" width="15.25" style="1" bestFit="1" customWidth="1"/>
    <col min="14107" max="14111" width="10.75" style="1" customWidth="1"/>
    <col min="14112" max="14112" width="12.625" style="1" bestFit="1" customWidth="1"/>
    <col min="14113" max="14117" width="10.75" style="1" customWidth="1"/>
    <col min="14118" max="14118" width="12.625" style="1" bestFit="1" customWidth="1"/>
    <col min="14119" max="14131" width="10.75" style="1" customWidth="1"/>
    <col min="14132" max="14336" width="9" style="1"/>
    <col min="14337" max="14337" width="10.75" style="1" bestFit="1" customWidth="1"/>
    <col min="14338" max="14338" width="7" style="1" customWidth="1"/>
    <col min="14339" max="14339" width="8.125" style="1" customWidth="1"/>
    <col min="14340" max="14341" width="9.25" style="1" bestFit="1" customWidth="1"/>
    <col min="14342" max="14342" width="12" style="1" bestFit="1" customWidth="1"/>
    <col min="14343" max="14343" width="12.125" style="1" bestFit="1" customWidth="1"/>
    <col min="14344" max="14344" width="14.875" style="1" bestFit="1" customWidth="1"/>
    <col min="14345" max="14345" width="11.375" style="1" bestFit="1" customWidth="1"/>
    <col min="14346" max="14346" width="10.75" style="1" customWidth="1"/>
    <col min="14347" max="14349" width="12.125" style="1" bestFit="1" customWidth="1"/>
    <col min="14350" max="14350" width="16.25" style="1" bestFit="1" customWidth="1"/>
    <col min="14351" max="14353" width="10.75" style="1" customWidth="1"/>
    <col min="14354" max="14354" width="12" style="1" bestFit="1" customWidth="1"/>
    <col min="14355" max="14355" width="12.125" style="1" bestFit="1" customWidth="1"/>
    <col min="14356" max="14356" width="12.625" style="1" bestFit="1" customWidth="1"/>
    <col min="14357" max="14361" width="10.75" style="1" customWidth="1"/>
    <col min="14362" max="14362" width="15.25" style="1" bestFit="1" customWidth="1"/>
    <col min="14363" max="14367" width="10.75" style="1" customWidth="1"/>
    <col min="14368" max="14368" width="12.625" style="1" bestFit="1" customWidth="1"/>
    <col min="14369" max="14373" width="10.75" style="1" customWidth="1"/>
    <col min="14374" max="14374" width="12.625" style="1" bestFit="1" customWidth="1"/>
    <col min="14375" max="14387" width="10.75" style="1" customWidth="1"/>
    <col min="14388" max="14592" width="9" style="1"/>
    <col min="14593" max="14593" width="10.75" style="1" bestFit="1" customWidth="1"/>
    <col min="14594" max="14594" width="7" style="1" customWidth="1"/>
    <col min="14595" max="14595" width="8.125" style="1" customWidth="1"/>
    <col min="14596" max="14597" width="9.25" style="1" bestFit="1" customWidth="1"/>
    <col min="14598" max="14598" width="12" style="1" bestFit="1" customWidth="1"/>
    <col min="14599" max="14599" width="12.125" style="1" bestFit="1" customWidth="1"/>
    <col min="14600" max="14600" width="14.875" style="1" bestFit="1" customWidth="1"/>
    <col min="14601" max="14601" width="11.375" style="1" bestFit="1" customWidth="1"/>
    <col min="14602" max="14602" width="10.75" style="1" customWidth="1"/>
    <col min="14603" max="14605" width="12.125" style="1" bestFit="1" customWidth="1"/>
    <col min="14606" max="14606" width="16.25" style="1" bestFit="1" customWidth="1"/>
    <col min="14607" max="14609" width="10.75" style="1" customWidth="1"/>
    <col min="14610" max="14610" width="12" style="1" bestFit="1" customWidth="1"/>
    <col min="14611" max="14611" width="12.125" style="1" bestFit="1" customWidth="1"/>
    <col min="14612" max="14612" width="12.625" style="1" bestFit="1" customWidth="1"/>
    <col min="14613" max="14617" width="10.75" style="1" customWidth="1"/>
    <col min="14618" max="14618" width="15.25" style="1" bestFit="1" customWidth="1"/>
    <col min="14619" max="14623" width="10.75" style="1" customWidth="1"/>
    <col min="14624" max="14624" width="12.625" style="1" bestFit="1" customWidth="1"/>
    <col min="14625" max="14629" width="10.75" style="1" customWidth="1"/>
    <col min="14630" max="14630" width="12.625" style="1" bestFit="1" customWidth="1"/>
    <col min="14631" max="14643" width="10.75" style="1" customWidth="1"/>
    <col min="14644" max="14848" width="9" style="1"/>
    <col min="14849" max="14849" width="10.75" style="1" bestFit="1" customWidth="1"/>
    <col min="14850" max="14850" width="7" style="1" customWidth="1"/>
    <col min="14851" max="14851" width="8.125" style="1" customWidth="1"/>
    <col min="14852" max="14853" width="9.25" style="1" bestFit="1" customWidth="1"/>
    <col min="14854" max="14854" width="12" style="1" bestFit="1" customWidth="1"/>
    <col min="14855" max="14855" width="12.125" style="1" bestFit="1" customWidth="1"/>
    <col min="14856" max="14856" width="14.875" style="1" bestFit="1" customWidth="1"/>
    <col min="14857" max="14857" width="11.375" style="1" bestFit="1" customWidth="1"/>
    <col min="14858" max="14858" width="10.75" style="1" customWidth="1"/>
    <col min="14859" max="14861" width="12.125" style="1" bestFit="1" customWidth="1"/>
    <col min="14862" max="14862" width="16.25" style="1" bestFit="1" customWidth="1"/>
    <col min="14863" max="14865" width="10.75" style="1" customWidth="1"/>
    <col min="14866" max="14866" width="12" style="1" bestFit="1" customWidth="1"/>
    <col min="14867" max="14867" width="12.125" style="1" bestFit="1" customWidth="1"/>
    <col min="14868" max="14868" width="12.625" style="1" bestFit="1" customWidth="1"/>
    <col min="14869" max="14873" width="10.75" style="1" customWidth="1"/>
    <col min="14874" max="14874" width="15.25" style="1" bestFit="1" customWidth="1"/>
    <col min="14875" max="14879" width="10.75" style="1" customWidth="1"/>
    <col min="14880" max="14880" width="12.625" style="1" bestFit="1" customWidth="1"/>
    <col min="14881" max="14885" width="10.75" style="1" customWidth="1"/>
    <col min="14886" max="14886" width="12.625" style="1" bestFit="1" customWidth="1"/>
    <col min="14887" max="14899" width="10.75" style="1" customWidth="1"/>
    <col min="14900" max="15104" width="9" style="1"/>
    <col min="15105" max="15105" width="10.75" style="1" bestFit="1" customWidth="1"/>
    <col min="15106" max="15106" width="7" style="1" customWidth="1"/>
    <col min="15107" max="15107" width="8.125" style="1" customWidth="1"/>
    <col min="15108" max="15109" width="9.25" style="1" bestFit="1" customWidth="1"/>
    <col min="15110" max="15110" width="12" style="1" bestFit="1" customWidth="1"/>
    <col min="15111" max="15111" width="12.125" style="1" bestFit="1" customWidth="1"/>
    <col min="15112" max="15112" width="14.875" style="1" bestFit="1" customWidth="1"/>
    <col min="15113" max="15113" width="11.375" style="1" bestFit="1" customWidth="1"/>
    <col min="15114" max="15114" width="10.75" style="1" customWidth="1"/>
    <col min="15115" max="15117" width="12.125" style="1" bestFit="1" customWidth="1"/>
    <col min="15118" max="15118" width="16.25" style="1" bestFit="1" customWidth="1"/>
    <col min="15119" max="15121" width="10.75" style="1" customWidth="1"/>
    <col min="15122" max="15122" width="12" style="1" bestFit="1" customWidth="1"/>
    <col min="15123" max="15123" width="12.125" style="1" bestFit="1" customWidth="1"/>
    <col min="15124" max="15124" width="12.625" style="1" bestFit="1" customWidth="1"/>
    <col min="15125" max="15129" width="10.75" style="1" customWidth="1"/>
    <col min="15130" max="15130" width="15.25" style="1" bestFit="1" customWidth="1"/>
    <col min="15131" max="15135" width="10.75" style="1" customWidth="1"/>
    <col min="15136" max="15136" width="12.625" style="1" bestFit="1" customWidth="1"/>
    <col min="15137" max="15141" width="10.75" style="1" customWidth="1"/>
    <col min="15142" max="15142" width="12.625" style="1" bestFit="1" customWidth="1"/>
    <col min="15143" max="15155" width="10.75" style="1" customWidth="1"/>
    <col min="15156" max="15360" width="9" style="1"/>
    <col min="15361" max="15361" width="10.75" style="1" bestFit="1" customWidth="1"/>
    <col min="15362" max="15362" width="7" style="1" customWidth="1"/>
    <col min="15363" max="15363" width="8.125" style="1" customWidth="1"/>
    <col min="15364" max="15365" width="9.25" style="1" bestFit="1" customWidth="1"/>
    <col min="15366" max="15366" width="12" style="1" bestFit="1" customWidth="1"/>
    <col min="15367" max="15367" width="12.125" style="1" bestFit="1" customWidth="1"/>
    <col min="15368" max="15368" width="14.875" style="1" bestFit="1" customWidth="1"/>
    <col min="15369" max="15369" width="11.375" style="1" bestFit="1" customWidth="1"/>
    <col min="15370" max="15370" width="10.75" style="1" customWidth="1"/>
    <col min="15371" max="15373" width="12.125" style="1" bestFit="1" customWidth="1"/>
    <col min="15374" max="15374" width="16.25" style="1" bestFit="1" customWidth="1"/>
    <col min="15375" max="15377" width="10.75" style="1" customWidth="1"/>
    <col min="15378" max="15378" width="12" style="1" bestFit="1" customWidth="1"/>
    <col min="15379" max="15379" width="12.125" style="1" bestFit="1" customWidth="1"/>
    <col min="15380" max="15380" width="12.625" style="1" bestFit="1" customWidth="1"/>
    <col min="15381" max="15385" width="10.75" style="1" customWidth="1"/>
    <col min="15386" max="15386" width="15.25" style="1" bestFit="1" customWidth="1"/>
    <col min="15387" max="15391" width="10.75" style="1" customWidth="1"/>
    <col min="15392" max="15392" width="12.625" style="1" bestFit="1" customWidth="1"/>
    <col min="15393" max="15397" width="10.75" style="1" customWidth="1"/>
    <col min="15398" max="15398" width="12.625" style="1" bestFit="1" customWidth="1"/>
    <col min="15399" max="15411" width="10.75" style="1" customWidth="1"/>
    <col min="15412" max="15616" width="9" style="1"/>
    <col min="15617" max="15617" width="10.75" style="1" bestFit="1" customWidth="1"/>
    <col min="15618" max="15618" width="7" style="1" customWidth="1"/>
    <col min="15619" max="15619" width="8.125" style="1" customWidth="1"/>
    <col min="15620" max="15621" width="9.25" style="1" bestFit="1" customWidth="1"/>
    <col min="15622" max="15622" width="12" style="1" bestFit="1" customWidth="1"/>
    <col min="15623" max="15623" width="12.125" style="1" bestFit="1" customWidth="1"/>
    <col min="15624" max="15624" width="14.875" style="1" bestFit="1" customWidth="1"/>
    <col min="15625" max="15625" width="11.375" style="1" bestFit="1" customWidth="1"/>
    <col min="15626" max="15626" width="10.75" style="1" customWidth="1"/>
    <col min="15627" max="15629" width="12.125" style="1" bestFit="1" customWidth="1"/>
    <col min="15630" max="15630" width="16.25" style="1" bestFit="1" customWidth="1"/>
    <col min="15631" max="15633" width="10.75" style="1" customWidth="1"/>
    <col min="15634" max="15634" width="12" style="1" bestFit="1" customWidth="1"/>
    <col min="15635" max="15635" width="12.125" style="1" bestFit="1" customWidth="1"/>
    <col min="15636" max="15636" width="12.625" style="1" bestFit="1" customWidth="1"/>
    <col min="15637" max="15641" width="10.75" style="1" customWidth="1"/>
    <col min="15642" max="15642" width="15.25" style="1" bestFit="1" customWidth="1"/>
    <col min="15643" max="15647" width="10.75" style="1" customWidth="1"/>
    <col min="15648" max="15648" width="12.625" style="1" bestFit="1" customWidth="1"/>
    <col min="15649" max="15653" width="10.75" style="1" customWidth="1"/>
    <col min="15654" max="15654" width="12.625" style="1" bestFit="1" customWidth="1"/>
    <col min="15655" max="15667" width="10.75" style="1" customWidth="1"/>
    <col min="15668" max="15872" width="9" style="1"/>
    <col min="15873" max="15873" width="10.75" style="1" bestFit="1" customWidth="1"/>
    <col min="15874" max="15874" width="7" style="1" customWidth="1"/>
    <col min="15875" max="15875" width="8.125" style="1" customWidth="1"/>
    <col min="15876" max="15877" width="9.25" style="1" bestFit="1" customWidth="1"/>
    <col min="15878" max="15878" width="12" style="1" bestFit="1" customWidth="1"/>
    <col min="15879" max="15879" width="12.125" style="1" bestFit="1" customWidth="1"/>
    <col min="15880" max="15880" width="14.875" style="1" bestFit="1" customWidth="1"/>
    <col min="15881" max="15881" width="11.375" style="1" bestFit="1" customWidth="1"/>
    <col min="15882" max="15882" width="10.75" style="1" customWidth="1"/>
    <col min="15883" max="15885" width="12.125" style="1" bestFit="1" customWidth="1"/>
    <col min="15886" max="15886" width="16.25" style="1" bestFit="1" customWidth="1"/>
    <col min="15887" max="15889" width="10.75" style="1" customWidth="1"/>
    <col min="15890" max="15890" width="12" style="1" bestFit="1" customWidth="1"/>
    <col min="15891" max="15891" width="12.125" style="1" bestFit="1" customWidth="1"/>
    <col min="15892" max="15892" width="12.625" style="1" bestFit="1" customWidth="1"/>
    <col min="15893" max="15897" width="10.75" style="1" customWidth="1"/>
    <col min="15898" max="15898" width="15.25" style="1" bestFit="1" customWidth="1"/>
    <col min="15899" max="15903" width="10.75" style="1" customWidth="1"/>
    <col min="15904" max="15904" width="12.625" style="1" bestFit="1" customWidth="1"/>
    <col min="15905" max="15909" width="10.75" style="1" customWidth="1"/>
    <col min="15910" max="15910" width="12.625" style="1" bestFit="1" customWidth="1"/>
    <col min="15911" max="15923" width="10.75" style="1" customWidth="1"/>
    <col min="15924" max="16128" width="9" style="1"/>
    <col min="16129" max="16129" width="10.75" style="1" bestFit="1" customWidth="1"/>
    <col min="16130" max="16130" width="7" style="1" customWidth="1"/>
    <col min="16131" max="16131" width="8.125" style="1" customWidth="1"/>
    <col min="16132" max="16133" width="9.25" style="1" bestFit="1" customWidth="1"/>
    <col min="16134" max="16134" width="12" style="1" bestFit="1" customWidth="1"/>
    <col min="16135" max="16135" width="12.125" style="1" bestFit="1" customWidth="1"/>
    <col min="16136" max="16136" width="14.875" style="1" bestFit="1" customWidth="1"/>
    <col min="16137" max="16137" width="11.375" style="1" bestFit="1" customWidth="1"/>
    <col min="16138" max="16138" width="10.75" style="1" customWidth="1"/>
    <col min="16139" max="16141" width="12.125" style="1" bestFit="1" customWidth="1"/>
    <col min="16142" max="16142" width="16.25" style="1" bestFit="1" customWidth="1"/>
    <col min="16143" max="16145" width="10.75" style="1" customWidth="1"/>
    <col min="16146" max="16146" width="12" style="1" bestFit="1" customWidth="1"/>
    <col min="16147" max="16147" width="12.125" style="1" bestFit="1" customWidth="1"/>
    <col min="16148" max="16148" width="12.625" style="1" bestFit="1" customWidth="1"/>
    <col min="16149" max="16153" width="10.75" style="1" customWidth="1"/>
    <col min="16154" max="16154" width="15.25" style="1" bestFit="1" customWidth="1"/>
    <col min="16155" max="16159" width="10.75" style="1" customWidth="1"/>
    <col min="16160" max="16160" width="12.625" style="1" bestFit="1" customWidth="1"/>
    <col min="16161" max="16165" width="10.75" style="1" customWidth="1"/>
    <col min="16166" max="16166" width="12.625" style="1" bestFit="1" customWidth="1"/>
    <col min="16167" max="16179" width="10.75" style="1" customWidth="1"/>
    <col min="16180" max="16384" width="9" style="1"/>
  </cols>
  <sheetData>
    <row r="1" spans="1:51" ht="16.5" customHeight="1" thickBot="1" x14ac:dyDescent="0.25">
      <c r="A1" s="788" t="s">
        <v>0</v>
      </c>
      <c r="B1" s="790" t="s">
        <v>1</v>
      </c>
      <c r="C1" s="792" t="s">
        <v>2</v>
      </c>
      <c r="D1" s="794" t="s">
        <v>3</v>
      </c>
      <c r="E1" s="795"/>
      <c r="F1" s="795"/>
      <c r="G1" s="795"/>
      <c r="H1" s="795"/>
      <c r="I1" s="796"/>
      <c r="J1" s="797" t="s">
        <v>4</v>
      </c>
      <c r="K1" s="798"/>
      <c r="L1" s="798"/>
      <c r="M1" s="798"/>
      <c r="N1" s="798"/>
      <c r="O1" s="799"/>
      <c r="P1" s="784" t="s">
        <v>5</v>
      </c>
      <c r="Q1" s="785"/>
      <c r="R1" s="785"/>
      <c r="S1" s="785"/>
      <c r="T1" s="785"/>
      <c r="U1" s="786"/>
      <c r="V1" s="784" t="s">
        <v>6</v>
      </c>
      <c r="W1" s="785"/>
      <c r="X1" s="785"/>
      <c r="Y1" s="785"/>
      <c r="Z1" s="785"/>
      <c r="AA1" s="786"/>
      <c r="AB1" s="766" t="s">
        <v>7</v>
      </c>
      <c r="AC1" s="767"/>
      <c r="AD1" s="767"/>
      <c r="AE1" s="767"/>
      <c r="AF1" s="767"/>
      <c r="AG1" s="787"/>
      <c r="AH1" s="766" t="s">
        <v>8</v>
      </c>
      <c r="AI1" s="767"/>
      <c r="AJ1" s="767"/>
      <c r="AK1" s="767"/>
      <c r="AL1" s="767"/>
      <c r="AM1" s="787"/>
      <c r="AN1" s="766" t="s">
        <v>9</v>
      </c>
      <c r="AO1" s="767"/>
      <c r="AP1" s="767"/>
      <c r="AQ1" s="767"/>
      <c r="AR1" s="767"/>
      <c r="AS1" s="787"/>
      <c r="AT1" s="766" t="s">
        <v>10</v>
      </c>
      <c r="AU1" s="767"/>
      <c r="AV1" s="767"/>
      <c r="AW1" s="767"/>
      <c r="AX1" s="767"/>
      <c r="AY1" s="767"/>
    </row>
    <row r="2" spans="1:51" s="8" customFormat="1" ht="15" customHeight="1" thickBot="1" x14ac:dyDescent="0.25">
      <c r="A2" s="789"/>
      <c r="B2" s="791"/>
      <c r="C2" s="793"/>
      <c r="D2" s="2" t="s">
        <v>11</v>
      </c>
      <c r="E2" s="3" t="s">
        <v>151</v>
      </c>
      <c r="F2" s="4" t="s">
        <v>12</v>
      </c>
      <c r="G2" s="4" t="s">
        <v>13</v>
      </c>
      <c r="H2" s="4" t="s">
        <v>14</v>
      </c>
      <c r="I2" s="5" t="s">
        <v>15</v>
      </c>
      <c r="J2" s="2" t="s">
        <v>11</v>
      </c>
      <c r="K2" s="3" t="s">
        <v>151</v>
      </c>
      <c r="L2" s="4" t="s">
        <v>12</v>
      </c>
      <c r="M2" s="6" t="s">
        <v>13</v>
      </c>
      <c r="N2" s="4" t="s">
        <v>14</v>
      </c>
      <c r="O2" s="5" t="s">
        <v>15</v>
      </c>
      <c r="P2" s="2" t="s">
        <v>11</v>
      </c>
      <c r="Q2" s="3" t="s">
        <v>151</v>
      </c>
      <c r="R2" s="4" t="s">
        <v>12</v>
      </c>
      <c r="S2" s="6" t="s">
        <v>13</v>
      </c>
      <c r="T2" s="4" t="s">
        <v>14</v>
      </c>
      <c r="U2" s="5" t="s">
        <v>15</v>
      </c>
      <c r="V2" s="2" t="s">
        <v>11</v>
      </c>
      <c r="W2" s="3" t="s">
        <v>151</v>
      </c>
      <c r="X2" s="4" t="s">
        <v>12</v>
      </c>
      <c r="Y2" s="6" t="s">
        <v>13</v>
      </c>
      <c r="Z2" s="4" t="s">
        <v>14</v>
      </c>
      <c r="AA2" s="5" t="s">
        <v>15</v>
      </c>
      <c r="AB2" s="7" t="s">
        <v>11</v>
      </c>
      <c r="AC2" s="3" t="s">
        <v>151</v>
      </c>
      <c r="AD2" s="4" t="s">
        <v>12</v>
      </c>
      <c r="AE2" s="6" t="s">
        <v>13</v>
      </c>
      <c r="AF2" s="4" t="s">
        <v>14</v>
      </c>
      <c r="AG2" s="5" t="s">
        <v>15</v>
      </c>
      <c r="AH2" s="2" t="s">
        <v>11</v>
      </c>
      <c r="AI2" s="3" t="s">
        <v>151</v>
      </c>
      <c r="AJ2" s="4" t="s">
        <v>12</v>
      </c>
      <c r="AK2" s="6" t="s">
        <v>13</v>
      </c>
      <c r="AL2" s="4" t="s">
        <v>14</v>
      </c>
      <c r="AM2" s="5" t="s">
        <v>15</v>
      </c>
      <c r="AN2" s="2" t="s">
        <v>11</v>
      </c>
      <c r="AO2" s="3" t="s">
        <v>151</v>
      </c>
      <c r="AP2" s="4" t="s">
        <v>12</v>
      </c>
      <c r="AQ2" s="6" t="s">
        <v>13</v>
      </c>
      <c r="AR2" s="4" t="s">
        <v>14</v>
      </c>
      <c r="AS2" s="5" t="s">
        <v>15</v>
      </c>
      <c r="AT2" s="2" t="s">
        <v>11</v>
      </c>
      <c r="AU2" s="3" t="s">
        <v>151</v>
      </c>
      <c r="AV2" s="4" t="s">
        <v>12</v>
      </c>
      <c r="AW2" s="6" t="s">
        <v>13</v>
      </c>
      <c r="AX2" s="4" t="s">
        <v>14</v>
      </c>
      <c r="AY2" s="5" t="s">
        <v>15</v>
      </c>
    </row>
    <row r="3" spans="1:51" x14ac:dyDescent="0.2">
      <c r="A3" s="9">
        <v>5511011</v>
      </c>
      <c r="B3" s="10">
        <v>2560</v>
      </c>
      <c r="C3" s="11" t="s">
        <v>106</v>
      </c>
      <c r="D3" s="12">
        <f>+'[1]092559'!D3</f>
        <v>105437</v>
      </c>
      <c r="E3" s="13">
        <f>+'[1]092560'!D3</f>
        <v>110463</v>
      </c>
      <c r="F3" s="13">
        <f>SUM('[1]102559:092560'!E3)</f>
        <v>33888355</v>
      </c>
      <c r="G3" s="14">
        <f>+(F3/((D3+E3)/2)/$A$32)</f>
        <v>0.86007233181267329</v>
      </c>
      <c r="H3" s="13">
        <f>SUM('[1]102559:092560'!F3)</f>
        <v>689312889.37</v>
      </c>
      <c r="I3" s="15">
        <f>+H3/F3</f>
        <v>20.340700791466567</v>
      </c>
      <c r="J3" s="12">
        <f>+'[1]092559'!G3</f>
        <v>79037</v>
      </c>
      <c r="K3" s="13">
        <f>+'[1]092560'!G3</f>
        <v>83393</v>
      </c>
      <c r="L3" s="13">
        <f>SUM('[1]102559:092560'!H3)</f>
        <v>15691810</v>
      </c>
      <c r="M3" s="16">
        <f>+(L3/((J3+K3)/2)/$A$32)</f>
        <v>0.52935123159481134</v>
      </c>
      <c r="N3" s="13">
        <f>SUM('[1]102559:092560'!I3)</f>
        <v>229998015.13999999</v>
      </c>
      <c r="O3" s="15">
        <f>+N3/L3</f>
        <v>14.657201122114019</v>
      </c>
      <c r="P3" s="17">
        <f>+'[1]092559'!J3</f>
        <v>634</v>
      </c>
      <c r="Q3" s="13">
        <f>+'[1]092560'!J3</f>
        <v>661</v>
      </c>
      <c r="R3" s="13">
        <f>SUM('[1]102559:092560'!K3)</f>
        <v>1858017</v>
      </c>
      <c r="S3" s="14">
        <f>+(R3/((P3+Q3)/2)/$A$32)</f>
        <v>7.861710477600889</v>
      </c>
      <c r="T3" s="13">
        <f>SUM('[1]102559:092560'!L3)</f>
        <v>41182797.989999995</v>
      </c>
      <c r="U3" s="15">
        <f>+T3/R3</f>
        <v>22.164919906545524</v>
      </c>
      <c r="V3" s="17">
        <f>+'[1]092559'!M3</f>
        <v>16625</v>
      </c>
      <c r="W3" s="13">
        <f>+'[1]092560'!M3</f>
        <v>17296</v>
      </c>
      <c r="X3" s="13">
        <f>SUM('[1]102559:092560'!N3)</f>
        <v>6849710</v>
      </c>
      <c r="Y3" s="14">
        <f>+(X3/((V3+W3)/2)/$A$32)</f>
        <v>1.1064726138453045</v>
      </c>
      <c r="Z3" s="13">
        <f>SUM('[1]102559:092560'!O3)</f>
        <v>152467912.85000002</v>
      </c>
      <c r="AA3" s="15">
        <f>+Z3/X3</f>
        <v>22.259031820325244</v>
      </c>
      <c r="AB3" s="18">
        <f>+'[1]092559'!P3</f>
        <v>117</v>
      </c>
      <c r="AC3" s="13">
        <f>+'[1]092560'!P3</f>
        <v>117</v>
      </c>
      <c r="AD3" s="13">
        <f>SUM('[1]102559:092560'!Q3)</f>
        <v>326693</v>
      </c>
      <c r="AE3" s="14">
        <f>+(AD3/((AB3+AC3)/2)/$A$32)</f>
        <v>7.6499941458845573</v>
      </c>
      <c r="AF3" s="13">
        <f>SUM('[1]102559:092560'!R3)</f>
        <v>9410086.9499999993</v>
      </c>
      <c r="AG3" s="15">
        <f>+AF3/AD3</f>
        <v>28.804066661973167</v>
      </c>
      <c r="AH3" s="17">
        <f>+'[1]092559'!S3</f>
        <v>8829</v>
      </c>
      <c r="AI3" s="13">
        <f>+'[1]092560'!S3</f>
        <v>8806</v>
      </c>
      <c r="AJ3" s="13">
        <f>SUM('[1]102559:092560'!T3)</f>
        <v>8810532</v>
      </c>
      <c r="AK3" s="14">
        <f>+(AJ3/((AH3+AI3)/2)/$A$32)</f>
        <v>2.7375609680313513</v>
      </c>
      <c r="AL3" s="13">
        <f>SUM('[1]102559:092560'!U3)</f>
        <v>247759717.39000002</v>
      </c>
      <c r="AM3" s="15">
        <f>+AL3/AJ3</f>
        <v>28.120857785886258</v>
      </c>
      <c r="AN3" s="17">
        <f>+'[1]092559'!V3</f>
        <v>194</v>
      </c>
      <c r="AO3" s="13">
        <f>+'[1]092560'!V3</f>
        <v>189</v>
      </c>
      <c r="AP3" s="13">
        <f>SUM('[1]102559:092560'!W3)</f>
        <v>171577</v>
      </c>
      <c r="AQ3" s="14">
        <f>+(AP3/((AN3+AO3)/2)/$A$32)</f>
        <v>2.4546943739046463</v>
      </c>
      <c r="AR3" s="13">
        <f>SUM('[1]102559:092560'!X3)</f>
        <v>4656800.05</v>
      </c>
      <c r="AS3" s="15">
        <f>+AR3/AP3</f>
        <v>27.141167231039123</v>
      </c>
      <c r="AT3" s="17">
        <f>+'[1]092559'!Y3</f>
        <v>1</v>
      </c>
      <c r="AU3" s="13">
        <f>+'[1]092560'!Y3</f>
        <v>1</v>
      </c>
      <c r="AV3" s="13">
        <f>SUM('[1]102559:092560'!Z3)</f>
        <v>180016</v>
      </c>
      <c r="AW3" s="14">
        <f>+(AV3/((AT3+AU3)/2)/$A$32)</f>
        <v>493.19452054794522</v>
      </c>
      <c r="AX3" s="13">
        <f>SUM('[1]102559:092560'!AA3)</f>
        <v>3837559</v>
      </c>
      <c r="AY3" s="15">
        <f>+AX3/AV3</f>
        <v>21.317877299795573</v>
      </c>
    </row>
    <row r="4" spans="1:51" x14ac:dyDescent="0.2">
      <c r="A4" s="9">
        <v>5511012</v>
      </c>
      <c r="B4" s="10">
        <v>2560</v>
      </c>
      <c r="C4" s="11" t="s">
        <v>106</v>
      </c>
      <c r="D4" s="19">
        <f>+'[1]092559'!D4</f>
        <v>2957</v>
      </c>
      <c r="E4" s="20">
        <f>+'[1]092560'!D4</f>
        <v>3087</v>
      </c>
      <c r="F4" s="20">
        <f>SUM('[1]102559:092560'!E4)</f>
        <v>611769</v>
      </c>
      <c r="G4" s="21">
        <f t="shared" ref="G4:G28" si="0">+(F4/((D4+E4)/2)/$A$32)</f>
        <v>0.5546258941279929</v>
      </c>
      <c r="H4" s="20">
        <f>SUM('[1]102559:092560'!F4)</f>
        <v>10103752.739999998</v>
      </c>
      <c r="I4" s="22">
        <f t="shared" ref="I4:I29" si="1">+H4/F4</f>
        <v>16.515633744109294</v>
      </c>
      <c r="J4" s="19">
        <f>+'[1]092559'!G4</f>
        <v>2434</v>
      </c>
      <c r="K4" s="20">
        <f>+'[1]092560'!G4</f>
        <v>2522</v>
      </c>
      <c r="L4" s="20">
        <f>SUM('[1]102559:092560'!H4)</f>
        <v>397552</v>
      </c>
      <c r="M4" s="23">
        <f t="shared" ref="M4:M29" si="2">+(L4/((J4+K4)/2)/$A$32)</f>
        <v>0.43954138887967542</v>
      </c>
      <c r="N4" s="20">
        <f>SUM('[1]102559:092560'!I4)</f>
        <v>5424457.29</v>
      </c>
      <c r="O4" s="22">
        <f t="shared" ref="O4:O29" si="3">+N4/L4</f>
        <v>13.644648473658792</v>
      </c>
      <c r="P4" s="24">
        <f>+'[1]092559'!J4</f>
        <v>54</v>
      </c>
      <c r="Q4" s="20">
        <f>+'[1]092560'!J4</f>
        <v>55</v>
      </c>
      <c r="R4" s="20">
        <f>SUM('[1]102559:092560'!K4)</f>
        <v>59363</v>
      </c>
      <c r="S4" s="21">
        <f t="shared" ref="S4:S29" si="4">+(R4/((P4+Q4)/2)/$A$32)</f>
        <v>2.984190021364836</v>
      </c>
      <c r="T4" s="20">
        <f>SUM('[1]102559:092560'!L4)</f>
        <v>1252210.7000000002</v>
      </c>
      <c r="U4" s="22">
        <f>+T4/R4</f>
        <v>21.094127655273489</v>
      </c>
      <c r="V4" s="24">
        <f>+'[1]092559'!M4</f>
        <v>344</v>
      </c>
      <c r="W4" s="20">
        <f>+'[1]092560'!M4</f>
        <v>382</v>
      </c>
      <c r="X4" s="20">
        <f>SUM('[1]102559:092560'!N4)</f>
        <v>96683</v>
      </c>
      <c r="Y4" s="21">
        <f t="shared" ref="Y4:Y29" si="5">+(X4/((V4+W4)/2)/$A$32)</f>
        <v>0.72971055511528737</v>
      </c>
      <c r="Z4" s="20">
        <f>SUM('[1]102559:092560'!O4)</f>
        <v>1960017.1999999997</v>
      </c>
      <c r="AA4" s="22">
        <f t="shared" ref="AA4:AA28" si="6">+Z4/X4</f>
        <v>20.272614627183678</v>
      </c>
      <c r="AB4" s="25">
        <f>+'[1]092559'!P4</f>
        <v>5</v>
      </c>
      <c r="AC4" s="20">
        <f>+'[1]092560'!P4</f>
        <v>4</v>
      </c>
      <c r="AD4" s="20">
        <f>SUM('[1]102559:092560'!Q4)</f>
        <v>2420</v>
      </c>
      <c r="AE4" s="21">
        <f t="shared" ref="AE4:AE29" si="7">+(AD4/((AB4+AC4)/2)/$A$32)</f>
        <v>1.4733637747336379</v>
      </c>
      <c r="AF4" s="20">
        <f>SUM('[1]102559:092560'!R4)</f>
        <v>60215.5</v>
      </c>
      <c r="AG4" s="22">
        <f t="shared" ref="AG4:AG29" si="8">+AF4/AD4</f>
        <v>24.882438016528926</v>
      </c>
      <c r="AH4" s="24">
        <f>+'[1]092559'!S4</f>
        <v>116</v>
      </c>
      <c r="AI4" s="20">
        <f>+'[1]092560'!S4</f>
        <v>120</v>
      </c>
      <c r="AJ4" s="20">
        <f>SUM('[1]102559:092560'!T4)</f>
        <v>51763</v>
      </c>
      <c r="AK4" s="21">
        <f t="shared" ref="AK4:AK29" si="9">+(AJ4/((AH4+AI4)/2)/$A$32)</f>
        <v>1.2018342233573254</v>
      </c>
      <c r="AL4" s="20">
        <f>SUM('[1]102559:092560'!U4)</f>
        <v>1297616.8</v>
      </c>
      <c r="AM4" s="22">
        <f>+AL4/AJ4</f>
        <v>25.068423391225394</v>
      </c>
      <c r="AN4" s="24">
        <f>+'[1]092559'!V4</f>
        <v>4</v>
      </c>
      <c r="AO4" s="20">
        <f>+'[1]092560'!V4</f>
        <v>4</v>
      </c>
      <c r="AP4" s="20">
        <f>SUM('[1]102559:092560'!W4)</f>
        <v>3988</v>
      </c>
      <c r="AQ4" s="21">
        <f t="shared" ref="AQ4:AQ29" si="10">+(AP4/((AN4+AO4)/2)/$A$32)</f>
        <v>2.7315068493150685</v>
      </c>
      <c r="AR4" s="13">
        <f>SUM('[1]102559:092560'!X4)</f>
        <v>109235.25</v>
      </c>
      <c r="AS4" s="22">
        <f>+AR4/AP4</f>
        <v>27.390985456369108</v>
      </c>
      <c r="AT4" s="24">
        <f>+'[1]092559'!Y4</f>
        <v>0</v>
      </c>
      <c r="AU4" s="20">
        <f>+'[1]092560'!Y4</f>
        <v>0</v>
      </c>
      <c r="AV4" s="20">
        <f>SUM('[1]102559:092560'!Z4)</f>
        <v>0</v>
      </c>
      <c r="AW4" s="21" t="e">
        <f t="shared" ref="AW4:AW29" si="11">+(AV4/((AT4+AU4)/2)/$A$32)</f>
        <v>#DIV/0!</v>
      </c>
      <c r="AX4" s="20">
        <f>SUM('[1]102559:092560'!AA4)</f>
        <v>0</v>
      </c>
      <c r="AY4" s="22" t="e">
        <f t="shared" ref="AY4:AY29" si="12">+AX4/AV4</f>
        <v>#DIV/0!</v>
      </c>
    </row>
    <row r="5" spans="1:51" x14ac:dyDescent="0.2">
      <c r="A5" s="9">
        <v>5511013</v>
      </c>
      <c r="B5" s="10">
        <v>2560</v>
      </c>
      <c r="C5" s="11" t="s">
        <v>106</v>
      </c>
      <c r="D5" s="19">
        <f>+'[1]092559'!D5</f>
        <v>15188</v>
      </c>
      <c r="E5" s="20">
        <f>+'[1]092560'!D5</f>
        <v>16182</v>
      </c>
      <c r="F5" s="20">
        <f>SUM('[1]102559:092560'!E5)</f>
        <v>2826951</v>
      </c>
      <c r="G5" s="21">
        <f t="shared" si="0"/>
        <v>0.49378841140431706</v>
      </c>
      <c r="H5" s="20">
        <f>SUM('[1]102559:092560'!F5)</f>
        <v>46003740.469999999</v>
      </c>
      <c r="I5" s="22">
        <f t="shared" si="1"/>
        <v>16.273271262926027</v>
      </c>
      <c r="J5" s="19">
        <f>+'[1]092559'!G5</f>
        <v>12902</v>
      </c>
      <c r="K5" s="20">
        <f>+'[1]092560'!G5</f>
        <v>13852</v>
      </c>
      <c r="L5" s="20">
        <f>SUM('[1]102559:092560'!H5)</f>
        <v>2075418</v>
      </c>
      <c r="M5" s="23">
        <f t="shared" si="2"/>
        <v>0.42506366990571631</v>
      </c>
      <c r="N5" s="20">
        <f>SUM('[1]102559:092560'!I5)</f>
        <v>28170469.659999996</v>
      </c>
      <c r="O5" s="22">
        <f t="shared" si="3"/>
        <v>13.573395653309356</v>
      </c>
      <c r="P5" s="24">
        <f>+'[1]092559'!J5</f>
        <v>53</v>
      </c>
      <c r="Q5" s="20">
        <f>+'[1]092560'!J5</f>
        <v>56</v>
      </c>
      <c r="R5" s="20">
        <f>SUM('[1]102559:092560'!K5)</f>
        <v>51397</v>
      </c>
      <c r="S5" s="21">
        <f t="shared" si="4"/>
        <v>2.583737589543798</v>
      </c>
      <c r="T5" s="20">
        <f>SUM('[1]102559:092560'!L5)</f>
        <v>1098350.6499999999</v>
      </c>
      <c r="U5" s="22">
        <f>+T5/R5</f>
        <v>21.369936961301242</v>
      </c>
      <c r="V5" s="24">
        <f>+'[1]092559'!M5</f>
        <v>1571</v>
      </c>
      <c r="W5" s="20">
        <f>+'[1]092560'!M5</f>
        <v>1625</v>
      </c>
      <c r="X5" s="20">
        <f>SUM('[1]102559:092560'!N5)</f>
        <v>386417</v>
      </c>
      <c r="Y5" s="21">
        <f t="shared" si="5"/>
        <v>0.66250107154491056</v>
      </c>
      <c r="Z5" s="20">
        <f>SUM('[1]102559:092560'!O5)</f>
        <v>7939865.8100000005</v>
      </c>
      <c r="AA5" s="22">
        <f t="shared" si="6"/>
        <v>20.547402961049851</v>
      </c>
      <c r="AB5" s="25">
        <f>+'[1]092559'!P5</f>
        <v>10</v>
      </c>
      <c r="AC5" s="20">
        <f>+'[1]092560'!P5</f>
        <v>10</v>
      </c>
      <c r="AD5" s="20">
        <f>SUM('[1]102559:092560'!Q5)</f>
        <v>4370</v>
      </c>
      <c r="AE5" s="21">
        <f t="shared" si="7"/>
        <v>1.1972602739726028</v>
      </c>
      <c r="AF5" s="20">
        <f>SUM('[1]102559:092560'!R5)</f>
        <v>109814</v>
      </c>
      <c r="AG5" s="22">
        <f t="shared" si="8"/>
        <v>25.129061784897026</v>
      </c>
      <c r="AH5" s="24">
        <f>+'[1]092559'!S5</f>
        <v>631</v>
      </c>
      <c r="AI5" s="20">
        <f>+'[1]092560'!S5</f>
        <v>619</v>
      </c>
      <c r="AJ5" s="20">
        <f>SUM('[1]102559:092560'!T5)</f>
        <v>266743</v>
      </c>
      <c r="AK5" s="21">
        <f t="shared" si="9"/>
        <v>1.1692843835616438</v>
      </c>
      <c r="AL5" s="20">
        <f>SUM('[1]102559:092560'!U5)</f>
        <v>7474341.6000000006</v>
      </c>
      <c r="AM5" s="22">
        <f>+AL5/AJ5</f>
        <v>28.020760057433563</v>
      </c>
      <c r="AN5" s="24">
        <f>+'[1]092559'!V5</f>
        <v>21</v>
      </c>
      <c r="AO5" s="20">
        <f>+'[1]092560'!V5</f>
        <v>20</v>
      </c>
      <c r="AP5" s="20">
        <f>SUM('[1]102559:092560'!W5)</f>
        <v>42606</v>
      </c>
      <c r="AQ5" s="21">
        <f t="shared" si="10"/>
        <v>5.6940862011359847</v>
      </c>
      <c r="AR5" s="13">
        <f>SUM('[1]102559:092560'!X5)</f>
        <v>1210898.75</v>
      </c>
      <c r="AS5" s="22">
        <f>+AR5/AP5</f>
        <v>28.420850349716002</v>
      </c>
      <c r="AT5" s="24">
        <f>+'[1]092559'!Y5</f>
        <v>0</v>
      </c>
      <c r="AU5" s="20">
        <f>+'[1]092560'!Y5</f>
        <v>0</v>
      </c>
      <c r="AV5" s="20">
        <f>SUM('[1]102559:092560'!Z5)</f>
        <v>0</v>
      </c>
      <c r="AW5" s="21" t="e">
        <f t="shared" si="11"/>
        <v>#DIV/0!</v>
      </c>
      <c r="AX5" s="20">
        <f>SUM('[1]102559:092560'!AA5)</f>
        <v>0</v>
      </c>
      <c r="AY5" s="22" t="e">
        <f t="shared" si="12"/>
        <v>#DIV/0!</v>
      </c>
    </row>
    <row r="6" spans="1:51" x14ac:dyDescent="0.2">
      <c r="A6" s="9">
        <v>5511014</v>
      </c>
      <c r="B6" s="10">
        <v>2560</v>
      </c>
      <c r="C6" s="11" t="s">
        <v>106</v>
      </c>
      <c r="D6" s="19">
        <f>+'[1]092559'!D6</f>
        <v>18755</v>
      </c>
      <c r="E6" s="20">
        <f>+'[1]092560'!D6</f>
        <v>19702</v>
      </c>
      <c r="F6" s="20">
        <f>SUM('[1]102559:092560'!E6)</f>
        <v>5165730</v>
      </c>
      <c r="G6" s="21">
        <f t="shared" si="0"/>
        <v>0.73602646756152845</v>
      </c>
      <c r="H6" s="20">
        <f>SUM('[1]102559:092560'!F6)</f>
        <v>93120514.329999983</v>
      </c>
      <c r="I6" s="22">
        <f t="shared" si="1"/>
        <v>18.026593401126267</v>
      </c>
      <c r="J6" s="19">
        <f>+'[1]092559'!G6</f>
        <v>16611</v>
      </c>
      <c r="K6" s="20">
        <f>+'[1]092560'!G6</f>
        <v>17495</v>
      </c>
      <c r="L6" s="20">
        <f>SUM('[1]102559:092560'!H6)</f>
        <v>3004205</v>
      </c>
      <c r="M6" s="23">
        <f t="shared" si="2"/>
        <v>0.48265399813153026</v>
      </c>
      <c r="N6" s="20">
        <f>SUM('[1]102559:092560'!I6)</f>
        <v>40213662.490000002</v>
      </c>
      <c r="O6" s="22">
        <f t="shared" si="3"/>
        <v>13.385791745237093</v>
      </c>
      <c r="P6" s="24">
        <f>+'[1]092559'!J6</f>
        <v>326</v>
      </c>
      <c r="Q6" s="20">
        <f>+'[1]092560'!J6</f>
        <v>355</v>
      </c>
      <c r="R6" s="20">
        <f>SUM('[1]102559:092560'!K6)</f>
        <v>977438</v>
      </c>
      <c r="S6" s="21">
        <f t="shared" si="4"/>
        <v>7.8646470742059424</v>
      </c>
      <c r="T6" s="20">
        <f>SUM('[1]102559:092560'!L6)</f>
        <v>22630662.130000003</v>
      </c>
      <c r="U6" s="22">
        <f>+T6/R6</f>
        <v>23.153041041989368</v>
      </c>
      <c r="V6" s="24">
        <f>+'[1]092559'!M6</f>
        <v>1269</v>
      </c>
      <c r="W6" s="20">
        <f>+'[1]092560'!M6</f>
        <v>1298</v>
      </c>
      <c r="X6" s="20">
        <f>SUM('[1]102559:092560'!N6)</f>
        <v>481553</v>
      </c>
      <c r="Y6" s="21">
        <f t="shared" si="5"/>
        <v>1.0279106253768857</v>
      </c>
      <c r="Z6" s="20">
        <f>SUM('[1]102559:092560'!O6)</f>
        <v>10380415.73</v>
      </c>
      <c r="AA6" s="22">
        <f t="shared" si="6"/>
        <v>21.556123064335598</v>
      </c>
      <c r="AB6" s="25">
        <f>+'[1]092559'!P6</f>
        <v>24</v>
      </c>
      <c r="AC6" s="20">
        <f>+'[1]092560'!P6</f>
        <v>24</v>
      </c>
      <c r="AD6" s="20">
        <f>SUM('[1]102559:092560'!Q6)</f>
        <v>125081</v>
      </c>
      <c r="AE6" s="21">
        <f t="shared" si="7"/>
        <v>14.278652968036528</v>
      </c>
      <c r="AF6" s="20">
        <f>SUM('[1]102559:092560'!R6)</f>
        <v>3632152</v>
      </c>
      <c r="AG6" s="22">
        <f t="shared" si="8"/>
        <v>29.038399117371942</v>
      </c>
      <c r="AH6" s="24">
        <f>+'[1]092559'!S6</f>
        <v>509</v>
      </c>
      <c r="AI6" s="20">
        <f>+'[1]092560'!S6</f>
        <v>514</v>
      </c>
      <c r="AJ6" s="20">
        <f>SUM('[1]102559:092560'!T6)</f>
        <v>560858</v>
      </c>
      <c r="AK6" s="21">
        <f t="shared" si="9"/>
        <v>3.0041002155893892</v>
      </c>
      <c r="AL6" s="20">
        <f>SUM('[1]102559:092560'!U6)</f>
        <v>15850292.73</v>
      </c>
      <c r="AM6" s="22">
        <f>+AL6/AJ6</f>
        <v>28.260794586151931</v>
      </c>
      <c r="AN6" s="24">
        <f>+'[1]092559'!V6</f>
        <v>15</v>
      </c>
      <c r="AO6" s="20">
        <f>+'[1]092560'!V6</f>
        <v>15</v>
      </c>
      <c r="AP6" s="20">
        <f>SUM('[1]102559:092560'!W6)</f>
        <v>11685</v>
      </c>
      <c r="AQ6" s="21">
        <f t="shared" si="10"/>
        <v>2.1342465753424658</v>
      </c>
      <c r="AR6" s="13">
        <f>SUM('[1]102559:092560'!X6)</f>
        <v>339679.25</v>
      </c>
      <c r="AS6" s="22">
        <f>+AR6/AP6</f>
        <v>29.069683354728284</v>
      </c>
      <c r="AT6" s="24">
        <f>+'[1]092559'!Y6</f>
        <v>1</v>
      </c>
      <c r="AU6" s="20">
        <f>+'[1]092560'!Y6</f>
        <v>1</v>
      </c>
      <c r="AV6" s="20">
        <f>SUM('[1]102559:092560'!Z6)</f>
        <v>4910</v>
      </c>
      <c r="AW6" s="21">
        <f t="shared" si="11"/>
        <v>13.452054794520548</v>
      </c>
      <c r="AX6" s="20">
        <f>SUM('[1]102559:092560'!AA6)</f>
        <v>73650</v>
      </c>
      <c r="AY6" s="22">
        <f t="shared" si="12"/>
        <v>15</v>
      </c>
    </row>
    <row r="7" spans="1:51" x14ac:dyDescent="0.2">
      <c r="A7" s="9">
        <v>5511015</v>
      </c>
      <c r="B7" s="10">
        <v>2560</v>
      </c>
      <c r="C7" s="11" t="s">
        <v>106</v>
      </c>
      <c r="D7" s="19">
        <f>+'[1]092559'!D7</f>
        <v>4939</v>
      </c>
      <c r="E7" s="20">
        <f>+'[1]092560'!D7</f>
        <v>5137</v>
      </c>
      <c r="F7" s="20">
        <f>SUM('[1]102559:092560'!E7)</f>
        <v>1363928</v>
      </c>
      <c r="G7" s="21">
        <f t="shared" si="0"/>
        <v>0.74172073066611555</v>
      </c>
      <c r="H7" s="20">
        <f>SUM('[1]102559:092560'!F7)</f>
        <v>26047720.780000001</v>
      </c>
      <c r="I7" s="22">
        <f t="shared" si="1"/>
        <v>19.097577570077014</v>
      </c>
      <c r="J7" s="19">
        <f>+'[1]092559'!G7</f>
        <v>3510</v>
      </c>
      <c r="K7" s="20">
        <f>+'[1]092560'!G7</f>
        <v>3622</v>
      </c>
      <c r="L7" s="20">
        <f>SUM('[1]102559:092560'!H7)</f>
        <v>507215</v>
      </c>
      <c r="M7" s="23">
        <f t="shared" si="2"/>
        <v>0.389688765279389</v>
      </c>
      <c r="N7" s="20">
        <f>SUM('[1]102559:092560'!I7)</f>
        <v>7024575.8600000003</v>
      </c>
      <c r="O7" s="22">
        <f t="shared" si="3"/>
        <v>13.849306231085437</v>
      </c>
      <c r="P7" s="24">
        <f>+'[1]092559'!J7</f>
        <v>76</v>
      </c>
      <c r="Q7" s="20">
        <f>+'[1]092560'!J7</f>
        <v>78</v>
      </c>
      <c r="R7" s="20">
        <f>SUM('[1]102559:092560'!K7)</f>
        <v>386724</v>
      </c>
      <c r="S7" s="21">
        <f t="shared" si="4"/>
        <v>13.759971535314001</v>
      </c>
      <c r="T7" s="20">
        <f>SUM('[1]102559:092560'!L7)</f>
        <v>8397484.5000000019</v>
      </c>
      <c r="U7" s="22">
        <f>+T7/R7</f>
        <v>21.714412604337983</v>
      </c>
      <c r="V7" s="24">
        <f>+'[1]092559'!M7</f>
        <v>1151</v>
      </c>
      <c r="W7" s="20">
        <f>+'[1]092560'!M7</f>
        <v>1231</v>
      </c>
      <c r="X7" s="20">
        <f>SUM('[1]102559:092560'!N7)</f>
        <v>371954</v>
      </c>
      <c r="Y7" s="21">
        <f t="shared" si="5"/>
        <v>0.85562725003738072</v>
      </c>
      <c r="Z7" s="20">
        <f>SUM('[1]102559:092560'!O7)</f>
        <v>7956495.4699999988</v>
      </c>
      <c r="AA7" s="22">
        <f t="shared" si="6"/>
        <v>21.391073815579343</v>
      </c>
      <c r="AB7" s="25">
        <f>+'[1]092559'!P7</f>
        <v>19</v>
      </c>
      <c r="AC7" s="20">
        <f>+'[1]092560'!P7</f>
        <v>20</v>
      </c>
      <c r="AD7" s="20">
        <f>SUM('[1]102559:092560'!Q7)</f>
        <v>10399</v>
      </c>
      <c r="AE7" s="21">
        <f t="shared" si="7"/>
        <v>1.4610467158412364</v>
      </c>
      <c r="AF7" s="20">
        <f>SUM('[1]102559:092560'!R7)</f>
        <v>267589.5</v>
      </c>
      <c r="AG7" s="22">
        <f t="shared" si="8"/>
        <v>25.732233868641217</v>
      </c>
      <c r="AH7" s="24">
        <f>+'[1]092559'!S7</f>
        <v>178</v>
      </c>
      <c r="AI7" s="20">
        <f>+'[1]092560'!S7</f>
        <v>181</v>
      </c>
      <c r="AJ7" s="20">
        <f>SUM('[1]102559:092560'!T7)</f>
        <v>86014</v>
      </c>
      <c r="AK7" s="21">
        <f t="shared" si="9"/>
        <v>1.3128400808944176</v>
      </c>
      <c r="AL7" s="20">
        <f>SUM('[1]102559:092560'!U7)</f>
        <v>2358386.9500000002</v>
      </c>
      <c r="AM7" s="22">
        <f>+AL7/AJ7</f>
        <v>27.418640570139747</v>
      </c>
      <c r="AN7" s="24">
        <f>+'[1]092559'!V7</f>
        <v>5</v>
      </c>
      <c r="AO7" s="20">
        <f>+'[1]092560'!V7</f>
        <v>5</v>
      </c>
      <c r="AP7" s="20">
        <f>SUM('[1]102559:092560'!W7)</f>
        <v>1622</v>
      </c>
      <c r="AQ7" s="21">
        <f t="shared" si="10"/>
        <v>0.88876712328767116</v>
      </c>
      <c r="AR7" s="13">
        <f>SUM('[1]102559:092560'!X7)</f>
        <v>43188.5</v>
      </c>
      <c r="AS7" s="22">
        <f>+AR7/AP7</f>
        <v>26.626695437731197</v>
      </c>
      <c r="AT7" s="24">
        <f>+'[1]092559'!Y7</f>
        <v>0</v>
      </c>
      <c r="AU7" s="20">
        <f>+'[1]092560'!Y7</f>
        <v>0</v>
      </c>
      <c r="AV7" s="20">
        <f>SUM('[1]102559:092560'!Z7)</f>
        <v>0</v>
      </c>
      <c r="AW7" s="21" t="e">
        <f t="shared" si="11"/>
        <v>#DIV/0!</v>
      </c>
      <c r="AX7" s="20">
        <f>SUM('[1]102559:092560'!AA7)</f>
        <v>0</v>
      </c>
      <c r="AY7" s="22" t="e">
        <f t="shared" si="12"/>
        <v>#DIV/0!</v>
      </c>
    </row>
    <row r="8" spans="1:51" x14ac:dyDescent="0.2">
      <c r="A8" s="9">
        <v>5511016</v>
      </c>
      <c r="B8" s="10">
        <v>2560</v>
      </c>
      <c r="C8" s="11" t="s">
        <v>106</v>
      </c>
      <c r="D8" s="19">
        <f>+'[1]092559'!D8</f>
        <v>5119</v>
      </c>
      <c r="E8" s="20">
        <f>+'[1]092560'!D8</f>
        <v>5310</v>
      </c>
      <c r="F8" s="20">
        <f>SUM('[1]102559:092560'!E8)</f>
        <v>1232951</v>
      </c>
      <c r="G8" s="21">
        <f t="shared" si="0"/>
        <v>0.64779901144989538</v>
      </c>
      <c r="H8" s="20">
        <f>SUM('[1]102559:092560'!F8)</f>
        <v>23460493.550000001</v>
      </c>
      <c r="I8" s="22">
        <f t="shared" si="1"/>
        <v>19.027920452637616</v>
      </c>
      <c r="J8" s="19">
        <f>+'[1]092559'!G8</f>
        <v>3420</v>
      </c>
      <c r="K8" s="20">
        <f>+'[1]092560'!G8</f>
        <v>3634</v>
      </c>
      <c r="L8" s="20">
        <f>SUM('[1]102559:092560'!H8)</f>
        <v>499761</v>
      </c>
      <c r="M8" s="23">
        <f t="shared" si="2"/>
        <v>0.38820760396316484</v>
      </c>
      <c r="N8" s="20">
        <f>SUM('[1]102559:092560'!I8)</f>
        <v>6723065.75</v>
      </c>
      <c r="O8" s="22">
        <f t="shared" si="3"/>
        <v>13.452561824552136</v>
      </c>
      <c r="P8" s="24">
        <f>+'[1]092559'!J8</f>
        <v>104</v>
      </c>
      <c r="Q8" s="20">
        <f>+'[1]092560'!J8</f>
        <v>100</v>
      </c>
      <c r="R8" s="20">
        <f>SUM('[1]102559:092560'!K8)</f>
        <v>237078</v>
      </c>
      <c r="S8" s="21">
        <f t="shared" si="4"/>
        <v>6.3679290894439973</v>
      </c>
      <c r="T8" s="20">
        <f>SUM('[1]102559:092560'!L8)</f>
        <v>5151150.5999999996</v>
      </c>
      <c r="U8" s="22">
        <f t="shared" ref="U8:U13" si="13">+T8/R8</f>
        <v>21.727661782198261</v>
      </c>
      <c r="V8" s="24">
        <f>+'[1]092559'!M8</f>
        <v>1300</v>
      </c>
      <c r="W8" s="20">
        <f>+'[1]092560'!M8</f>
        <v>1283</v>
      </c>
      <c r="X8" s="20">
        <f>SUM('[1]102559:092560'!N8)</f>
        <v>343833</v>
      </c>
      <c r="Y8" s="21">
        <f t="shared" si="5"/>
        <v>0.72939080075732265</v>
      </c>
      <c r="Z8" s="20">
        <f>SUM('[1]102559:092560'!O8)</f>
        <v>7511115.8499999996</v>
      </c>
      <c r="AA8" s="22">
        <f t="shared" si="6"/>
        <v>21.845244202854293</v>
      </c>
      <c r="AB8" s="25">
        <f>+'[1]092559'!P8</f>
        <v>11</v>
      </c>
      <c r="AC8" s="20">
        <f>+'[1]092560'!P8</f>
        <v>11</v>
      </c>
      <c r="AD8" s="20">
        <f>SUM('[1]102559:092560'!Q8)</f>
        <v>8963</v>
      </c>
      <c r="AE8" s="21">
        <f t="shared" si="7"/>
        <v>2.2323785803237861</v>
      </c>
      <c r="AF8" s="20">
        <f>SUM('[1]102559:092560'!R8)</f>
        <v>231319</v>
      </c>
      <c r="AG8" s="22">
        <f t="shared" si="8"/>
        <v>25.808211536315966</v>
      </c>
      <c r="AH8" s="24">
        <f>+'[1]092559'!S8</f>
        <v>261</v>
      </c>
      <c r="AI8" s="20">
        <f>+'[1]092560'!S8</f>
        <v>256</v>
      </c>
      <c r="AJ8" s="20">
        <f>SUM('[1]102559:092560'!T8)</f>
        <v>114468</v>
      </c>
      <c r="AK8" s="21">
        <f t="shared" si="9"/>
        <v>1.2131951988553562</v>
      </c>
      <c r="AL8" s="20">
        <f>SUM('[1]102559:092560'!U8)</f>
        <v>3029456.55</v>
      </c>
      <c r="AM8" s="22">
        <f t="shared" ref="AM8:AM13" si="14">+AL8/AJ8</f>
        <v>26.465532288499841</v>
      </c>
      <c r="AN8" s="24">
        <f>+'[1]092559'!V8</f>
        <v>23</v>
      </c>
      <c r="AO8" s="20">
        <f>+'[1]092560'!V8</f>
        <v>26</v>
      </c>
      <c r="AP8" s="20">
        <f>SUM('[1]102559:092560'!W8)</f>
        <v>28848</v>
      </c>
      <c r="AQ8" s="21">
        <f t="shared" si="10"/>
        <v>3.2259435280961695</v>
      </c>
      <c r="AR8" s="13">
        <f>SUM('[1]102559:092560'!X8)</f>
        <v>814385.8</v>
      </c>
      <c r="AS8" s="22">
        <f t="shared" ref="AS8:AS13" si="15">+AR8/AP8</f>
        <v>28.23023433166944</v>
      </c>
      <c r="AT8" s="24">
        <f>+'[1]092559'!Y8</f>
        <v>0</v>
      </c>
      <c r="AU8" s="20">
        <f>+'[1]092560'!Y8</f>
        <v>0</v>
      </c>
      <c r="AV8" s="20">
        <f>SUM('[1]102559:092560'!Z8)</f>
        <v>0</v>
      </c>
      <c r="AW8" s="21" t="e">
        <f t="shared" si="11"/>
        <v>#DIV/0!</v>
      </c>
      <c r="AX8" s="20">
        <f>SUM('[1]102559:092560'!AA8)</f>
        <v>0</v>
      </c>
      <c r="AY8" s="22" t="e">
        <f t="shared" si="12"/>
        <v>#DIV/0!</v>
      </c>
    </row>
    <row r="9" spans="1:51" x14ac:dyDescent="0.2">
      <c r="A9" s="9">
        <v>5511017</v>
      </c>
      <c r="B9" s="10">
        <v>2560</v>
      </c>
      <c r="C9" s="11" t="s">
        <v>106</v>
      </c>
      <c r="D9" s="19">
        <f>+'[1]092559'!D9</f>
        <v>3879</v>
      </c>
      <c r="E9" s="20">
        <f>+'[1]092560'!D9</f>
        <v>4055</v>
      </c>
      <c r="F9" s="20">
        <f>SUM('[1]102559:092560'!E9)</f>
        <v>848753</v>
      </c>
      <c r="G9" s="21">
        <f t="shared" si="0"/>
        <v>0.58617360346143355</v>
      </c>
      <c r="H9" s="20">
        <f>SUM('[1]102559:092560'!F9)</f>
        <v>14472320.319999998</v>
      </c>
      <c r="I9" s="22">
        <f t="shared" si="1"/>
        <v>17.051274422594087</v>
      </c>
      <c r="J9" s="19">
        <f>+'[1]092559'!G9</f>
        <v>2986</v>
      </c>
      <c r="K9" s="20">
        <f>+'[1]092560'!G9</f>
        <v>3099</v>
      </c>
      <c r="L9" s="20">
        <f>SUM('[1]102559:092560'!H9)</f>
        <v>539492</v>
      </c>
      <c r="M9" s="23">
        <f t="shared" si="2"/>
        <v>0.48580452718902306</v>
      </c>
      <c r="N9" s="20">
        <f>SUM('[1]102559:092560'!I9)</f>
        <v>7535803.0599999996</v>
      </c>
      <c r="O9" s="22">
        <f t="shared" si="3"/>
        <v>13.968331430308512</v>
      </c>
      <c r="P9" s="24">
        <f>+'[1]092559'!J9</f>
        <v>43</v>
      </c>
      <c r="Q9" s="20">
        <f>+'[1]092560'!J9</f>
        <v>44</v>
      </c>
      <c r="R9" s="20">
        <f>SUM('[1]102559:092560'!K9)</f>
        <v>39980</v>
      </c>
      <c r="S9" s="21">
        <f t="shared" si="4"/>
        <v>2.5180286569044248</v>
      </c>
      <c r="T9" s="20">
        <f>SUM('[1]102559:092560'!L9)</f>
        <v>847351.54999999993</v>
      </c>
      <c r="U9" s="22">
        <f t="shared" si="13"/>
        <v>21.194385942971483</v>
      </c>
      <c r="V9" s="24">
        <f>+'[1]092559'!M9</f>
        <v>664</v>
      </c>
      <c r="W9" s="20">
        <f>+'[1]092560'!M9</f>
        <v>714</v>
      </c>
      <c r="X9" s="20">
        <f>SUM('[1]102559:092560'!N9)</f>
        <v>185964</v>
      </c>
      <c r="Y9" s="21">
        <f t="shared" si="5"/>
        <v>0.73946358629739339</v>
      </c>
      <c r="Z9" s="20">
        <f>SUM('[1]102559:092560'!O9)</f>
        <v>3923022.7100000004</v>
      </c>
      <c r="AA9" s="22">
        <f t="shared" si="6"/>
        <v>21.095602966165497</v>
      </c>
      <c r="AB9" s="25">
        <f>+'[1]092559'!P9</f>
        <v>10</v>
      </c>
      <c r="AC9" s="20">
        <f>+'[1]092560'!P9</f>
        <v>10</v>
      </c>
      <c r="AD9" s="20">
        <f>SUM('[1]102559:092560'!Q9)</f>
        <v>2516</v>
      </c>
      <c r="AE9" s="21">
        <f t="shared" si="7"/>
        <v>0.68931506849315072</v>
      </c>
      <c r="AF9" s="20">
        <f>SUM('[1]102559:092560'!R9)</f>
        <v>65676.5</v>
      </c>
      <c r="AG9" s="22">
        <f t="shared" si="8"/>
        <v>26.103537360890304</v>
      </c>
      <c r="AH9" s="24">
        <f>+'[1]092559'!S9</f>
        <v>173</v>
      </c>
      <c r="AI9" s="20">
        <f>+'[1]092560'!S9</f>
        <v>185</v>
      </c>
      <c r="AJ9" s="20">
        <f>SUM('[1]102559:092560'!T9)</f>
        <v>79723</v>
      </c>
      <c r="AK9" s="21">
        <f t="shared" si="9"/>
        <v>1.220218871967552</v>
      </c>
      <c r="AL9" s="20">
        <f>SUM('[1]102559:092560'!U9)</f>
        <v>2073718.5</v>
      </c>
      <c r="AM9" s="22">
        <f t="shared" si="14"/>
        <v>26.011546228817281</v>
      </c>
      <c r="AN9" s="24">
        <f>+'[1]092559'!V9</f>
        <v>3</v>
      </c>
      <c r="AO9" s="20">
        <f>+'[1]092560'!V9</f>
        <v>3</v>
      </c>
      <c r="AP9" s="20">
        <f>SUM('[1]102559:092560'!W9)</f>
        <v>1078</v>
      </c>
      <c r="AQ9" s="21">
        <f t="shared" si="10"/>
        <v>0.98447488584474885</v>
      </c>
      <c r="AR9" s="13">
        <f>SUM('[1]102559:092560'!X9)</f>
        <v>26748</v>
      </c>
      <c r="AS9" s="22">
        <f t="shared" si="15"/>
        <v>24.812615955473099</v>
      </c>
      <c r="AT9" s="24">
        <f>+'[1]092559'!Y9</f>
        <v>0</v>
      </c>
      <c r="AU9" s="20">
        <f>+'[1]092560'!Y9</f>
        <v>0</v>
      </c>
      <c r="AV9" s="20">
        <f>SUM('[1]102559:092560'!Z9)</f>
        <v>0</v>
      </c>
      <c r="AW9" s="21" t="e">
        <f t="shared" si="11"/>
        <v>#DIV/0!</v>
      </c>
      <c r="AX9" s="20">
        <f>SUM('[1]102559:092560'!AA9)</f>
        <v>0</v>
      </c>
      <c r="AY9" s="22" t="e">
        <f t="shared" si="12"/>
        <v>#DIV/0!</v>
      </c>
    </row>
    <row r="10" spans="1:51" x14ac:dyDescent="0.2">
      <c r="A10" s="9">
        <v>5511018</v>
      </c>
      <c r="B10" s="10">
        <v>2560</v>
      </c>
      <c r="C10" s="11" t="s">
        <v>106</v>
      </c>
      <c r="D10" s="19">
        <f>+'[1]092559'!D10</f>
        <v>6295</v>
      </c>
      <c r="E10" s="20">
        <f>+'[1]092560'!D10</f>
        <v>6501</v>
      </c>
      <c r="F10" s="20">
        <f>SUM('[1]102559:092560'!E10)</f>
        <v>1639964</v>
      </c>
      <c r="G10" s="21">
        <f t="shared" si="0"/>
        <v>0.70225883944897161</v>
      </c>
      <c r="H10" s="20">
        <f>SUM('[1]102559:092560'!F10)</f>
        <v>30371000.440000005</v>
      </c>
      <c r="I10" s="22">
        <f t="shared" si="1"/>
        <v>18.519309228739171</v>
      </c>
      <c r="J10" s="19">
        <f>+'[1]092559'!G10</f>
        <v>4577</v>
      </c>
      <c r="K10" s="20">
        <f>+'[1]092560'!G10</f>
        <v>4959</v>
      </c>
      <c r="L10" s="20">
        <f>SUM('[1]102559:092560'!H10)</f>
        <v>820833</v>
      </c>
      <c r="M10" s="23">
        <f t="shared" si="2"/>
        <v>0.47165636204835892</v>
      </c>
      <c r="N10" s="20">
        <f>SUM('[1]102559:092560'!I10)</f>
        <v>11788614.089999998</v>
      </c>
      <c r="O10" s="22">
        <f t="shared" si="3"/>
        <v>14.361769190566166</v>
      </c>
      <c r="P10" s="24">
        <f>+'[1]092559'!J10</f>
        <v>180</v>
      </c>
      <c r="Q10" s="20">
        <f>+'[1]092560'!J10</f>
        <v>181</v>
      </c>
      <c r="R10" s="20">
        <f>SUM('[1]102559:092560'!K10)</f>
        <v>283118</v>
      </c>
      <c r="S10" s="21">
        <f t="shared" si="4"/>
        <v>4.2973171934884071</v>
      </c>
      <c r="T10" s="20">
        <f>SUM('[1]102559:092560'!L10)</f>
        <v>6020386.5999999996</v>
      </c>
      <c r="U10" s="22">
        <f t="shared" si="13"/>
        <v>21.264584378245111</v>
      </c>
      <c r="V10" s="24">
        <f>+'[1]092559'!M10</f>
        <v>878</v>
      </c>
      <c r="W10" s="20">
        <f>+'[1]092560'!M10</f>
        <v>890</v>
      </c>
      <c r="X10" s="20">
        <f>SUM('[1]102559:092560'!N10)</f>
        <v>271359</v>
      </c>
      <c r="Y10" s="21">
        <f t="shared" si="5"/>
        <v>0.84100601252091989</v>
      </c>
      <c r="Z10" s="20">
        <f>SUM('[1]102559:092560'!O10)</f>
        <v>5587249.5</v>
      </c>
      <c r="AA10" s="22">
        <f t="shared" si="6"/>
        <v>20.589880932639051</v>
      </c>
      <c r="AB10" s="25">
        <f>+'[1]092559'!P10</f>
        <v>9</v>
      </c>
      <c r="AC10" s="20">
        <f>+'[1]092560'!P10</f>
        <v>8</v>
      </c>
      <c r="AD10" s="20">
        <f>SUM('[1]102559:092560'!Q10)</f>
        <v>4614</v>
      </c>
      <c r="AE10" s="21">
        <f t="shared" si="7"/>
        <v>1.4871877518130541</v>
      </c>
      <c r="AF10" s="20">
        <f>SUM('[1]102559:092560'!R10)</f>
        <v>111567.25</v>
      </c>
      <c r="AG10" s="22">
        <f t="shared" si="8"/>
        <v>24.180158214130905</v>
      </c>
      <c r="AH10" s="24">
        <f>+'[1]092559'!S10</f>
        <v>635</v>
      </c>
      <c r="AI10" s="20">
        <f>+'[1]092560'!S10</f>
        <v>448</v>
      </c>
      <c r="AJ10" s="20">
        <f>SUM('[1]102559:092560'!T10)</f>
        <v>231941</v>
      </c>
      <c r="AK10" s="21">
        <f t="shared" si="9"/>
        <v>1.1735083924663858</v>
      </c>
      <c r="AL10" s="20">
        <f>SUM('[1]102559:092560'!U10)</f>
        <v>6065276.5</v>
      </c>
      <c r="AM10" s="22">
        <f t="shared" si="14"/>
        <v>26.150083426388608</v>
      </c>
      <c r="AN10" s="24">
        <f>+'[1]092559'!V10</f>
        <v>16</v>
      </c>
      <c r="AO10" s="20">
        <f>+'[1]092560'!V10</f>
        <v>15</v>
      </c>
      <c r="AP10" s="20">
        <f>SUM('[1]102559:092560'!W10)</f>
        <v>28099</v>
      </c>
      <c r="AQ10" s="21">
        <f t="shared" si="10"/>
        <v>4.9666813963764911</v>
      </c>
      <c r="AR10" s="13">
        <f>SUM('[1]102559:092560'!X10)</f>
        <v>797906.5</v>
      </c>
      <c r="AS10" s="22">
        <f t="shared" si="15"/>
        <v>28.396259653368446</v>
      </c>
      <c r="AT10" s="24">
        <f>+'[1]092559'!Y10</f>
        <v>0</v>
      </c>
      <c r="AU10" s="20">
        <f>+'[1]092560'!Y10</f>
        <v>0</v>
      </c>
      <c r="AV10" s="20">
        <f>SUM('[1]102559:092560'!Z10)</f>
        <v>0</v>
      </c>
      <c r="AW10" s="21" t="e">
        <f t="shared" si="11"/>
        <v>#DIV/0!</v>
      </c>
      <c r="AX10" s="20">
        <f>SUM('[1]102559:092560'!AA10)</f>
        <v>0</v>
      </c>
      <c r="AY10" s="22" t="e">
        <f t="shared" si="12"/>
        <v>#DIV/0!</v>
      </c>
    </row>
    <row r="11" spans="1:51" x14ac:dyDescent="0.2">
      <c r="A11" s="9">
        <v>5511019</v>
      </c>
      <c r="B11" s="10">
        <v>2560</v>
      </c>
      <c r="C11" s="11" t="s">
        <v>106</v>
      </c>
      <c r="D11" s="19">
        <f>+'[1]092559'!D11</f>
        <v>5285</v>
      </c>
      <c r="E11" s="20">
        <f>+'[1]092560'!D11</f>
        <v>5509</v>
      </c>
      <c r="F11" s="20">
        <f>SUM('[1]102559:092560'!E11)</f>
        <v>1098371</v>
      </c>
      <c r="G11" s="21">
        <f t="shared" si="0"/>
        <v>0.55757561912884124</v>
      </c>
      <c r="H11" s="20">
        <f>SUM('[1]102559:092560'!F11)</f>
        <v>18797381.800000001</v>
      </c>
      <c r="I11" s="22">
        <f t="shared" si="1"/>
        <v>17.113872999196083</v>
      </c>
      <c r="J11" s="19">
        <f>+'[1]092559'!G11</f>
        <v>4257</v>
      </c>
      <c r="K11" s="20">
        <f>+'[1]092560'!G11</f>
        <v>4456</v>
      </c>
      <c r="L11" s="20">
        <f>SUM('[1]102559:092560'!H11)</f>
        <v>672694</v>
      </c>
      <c r="M11" s="23">
        <f t="shared" si="2"/>
        <v>0.42304539430138244</v>
      </c>
      <c r="N11" s="20">
        <f>SUM('[1]102559:092560'!I11)</f>
        <v>9213210.3999999985</v>
      </c>
      <c r="O11" s="22">
        <f t="shared" si="3"/>
        <v>13.695990153026486</v>
      </c>
      <c r="P11" s="24">
        <f>+'[1]092559'!J11</f>
        <v>116</v>
      </c>
      <c r="Q11" s="20">
        <f>+'[1]092560'!J11</f>
        <v>119</v>
      </c>
      <c r="R11" s="20">
        <f>SUM('[1]102559:092560'!K11)</f>
        <v>113616</v>
      </c>
      <c r="S11" s="21">
        <f t="shared" si="4"/>
        <v>2.6491635091809966</v>
      </c>
      <c r="T11" s="20">
        <f>SUM('[1]102559:092560'!L11)</f>
        <v>2414443.3000000003</v>
      </c>
      <c r="U11" s="22">
        <f t="shared" si="13"/>
        <v>21.250909202929169</v>
      </c>
      <c r="V11" s="24">
        <f>+'[1]092559'!M11</f>
        <v>651</v>
      </c>
      <c r="W11" s="20">
        <f>+'[1]092560'!M11</f>
        <v>679</v>
      </c>
      <c r="X11" s="20">
        <f>SUM('[1]102559:092560'!N11)</f>
        <v>172651</v>
      </c>
      <c r="Y11" s="21">
        <f t="shared" si="5"/>
        <v>0.71130291482129981</v>
      </c>
      <c r="Z11" s="20">
        <f>SUM('[1]102559:092560'!O11)</f>
        <v>3455855.4499999997</v>
      </c>
      <c r="AA11" s="22">
        <f t="shared" si="6"/>
        <v>20.016423015215665</v>
      </c>
      <c r="AB11" s="25">
        <f>+'[1]092559'!P11</f>
        <v>5</v>
      </c>
      <c r="AC11" s="20">
        <f>+'[1]092560'!P11</f>
        <v>8</v>
      </c>
      <c r="AD11" s="20">
        <f>SUM('[1]102559:092560'!Q11)</f>
        <v>2014</v>
      </c>
      <c r="AE11" s="21">
        <f t="shared" si="7"/>
        <v>0.84889357218124351</v>
      </c>
      <c r="AF11" s="20">
        <f>SUM('[1]102559:092560'!R11)</f>
        <v>49451.8</v>
      </c>
      <c r="AG11" s="22">
        <f t="shared" si="8"/>
        <v>24.554021847070508</v>
      </c>
      <c r="AH11" s="24">
        <f>+'[1]092559'!S11</f>
        <v>234</v>
      </c>
      <c r="AI11" s="20">
        <f>+'[1]092560'!S11</f>
        <v>227</v>
      </c>
      <c r="AJ11" s="20">
        <f>SUM('[1]102559:092560'!T11)</f>
        <v>99720</v>
      </c>
      <c r="AK11" s="21">
        <f t="shared" si="9"/>
        <v>1.1852732297269188</v>
      </c>
      <c r="AL11" s="20">
        <f>SUM('[1]102559:092560'!U11)</f>
        <v>2607426.35</v>
      </c>
      <c r="AM11" s="22">
        <f t="shared" si="14"/>
        <v>26.147476434015243</v>
      </c>
      <c r="AN11" s="24">
        <f>+'[1]092559'!V11</f>
        <v>22</v>
      </c>
      <c r="AO11" s="20">
        <f>+'[1]092560'!V11</f>
        <v>20</v>
      </c>
      <c r="AP11" s="20">
        <f>SUM('[1]102559:092560'!W11)</f>
        <v>37676</v>
      </c>
      <c r="AQ11" s="21">
        <f t="shared" si="10"/>
        <v>4.9153294194390087</v>
      </c>
      <c r="AR11" s="13">
        <f>SUM('[1]102559:092560'!X11)</f>
        <v>1056994.5</v>
      </c>
      <c r="AS11" s="22">
        <f t="shared" si="15"/>
        <v>28.054849240896061</v>
      </c>
      <c r="AT11" s="24">
        <f>+'[1]092559'!Y11</f>
        <v>0</v>
      </c>
      <c r="AU11" s="20">
        <f>+'[1]092560'!Y11</f>
        <v>0</v>
      </c>
      <c r="AV11" s="20">
        <f>SUM('[1]102559:092560'!Z11)</f>
        <v>0</v>
      </c>
      <c r="AW11" s="21" t="e">
        <f t="shared" si="11"/>
        <v>#DIV/0!</v>
      </c>
      <c r="AX11" s="20">
        <f>SUM('[1]102559:092560'!AA11)</f>
        <v>0</v>
      </c>
      <c r="AY11" s="22" t="e">
        <f t="shared" si="12"/>
        <v>#DIV/0!</v>
      </c>
    </row>
    <row r="12" spans="1:51" x14ac:dyDescent="0.2">
      <c r="A12" s="9">
        <v>5511020</v>
      </c>
      <c r="B12" s="10">
        <v>2560</v>
      </c>
      <c r="C12" s="11" t="s">
        <v>106</v>
      </c>
      <c r="D12" s="19">
        <f>+'[1]092559'!D12</f>
        <v>15417</v>
      </c>
      <c r="E12" s="20">
        <f>+'[1]092560'!D12</f>
        <v>15883</v>
      </c>
      <c r="F12" s="20">
        <f>SUM('[1]102559:092560'!E12)</f>
        <v>3470767</v>
      </c>
      <c r="G12" s="21">
        <f t="shared" si="0"/>
        <v>0.60760068274322732</v>
      </c>
      <c r="H12" s="20">
        <f>SUM('[1]102559:092560'!F12)</f>
        <v>62121532.589999996</v>
      </c>
      <c r="I12" s="22">
        <f t="shared" si="1"/>
        <v>17.898502720003965</v>
      </c>
      <c r="J12" s="19">
        <f>+'[1]092559'!G12</f>
        <v>12392</v>
      </c>
      <c r="K12" s="20">
        <f>+'[1]092560'!G12</f>
        <v>12878</v>
      </c>
      <c r="L12" s="20">
        <f>SUM('[1]102559:092560'!H12)</f>
        <v>2053506</v>
      </c>
      <c r="M12" s="23">
        <f t="shared" si="2"/>
        <v>0.44527454179789772</v>
      </c>
      <c r="N12" s="20">
        <f>SUM('[1]102559:092560'!I12)</f>
        <v>28384496.990000002</v>
      </c>
      <c r="O12" s="22">
        <f t="shared" si="3"/>
        <v>13.822456321043134</v>
      </c>
      <c r="P12" s="24">
        <f>+'[1]092559'!J12</f>
        <v>198</v>
      </c>
      <c r="Q12" s="20">
        <f>+'[1]092560'!J12</f>
        <v>202</v>
      </c>
      <c r="R12" s="20">
        <f>SUM('[1]102559:092560'!K12)</f>
        <v>330868</v>
      </c>
      <c r="S12" s="21">
        <f t="shared" si="4"/>
        <v>4.5324383561643833</v>
      </c>
      <c r="T12" s="20">
        <f>SUM('[1]102559:092560'!L12)</f>
        <v>7121875.1499999994</v>
      </c>
      <c r="U12" s="22">
        <f t="shared" si="13"/>
        <v>21.524823041212809</v>
      </c>
      <c r="V12" s="24">
        <f>+'[1]092559'!M12</f>
        <v>2116</v>
      </c>
      <c r="W12" s="20">
        <f>+'[1]092560'!M12</f>
        <v>2089</v>
      </c>
      <c r="X12" s="20">
        <f>SUM('[1]102559:092560'!N12)</f>
        <v>600191</v>
      </c>
      <c r="Y12" s="21">
        <f t="shared" si="5"/>
        <v>0.78209698174058939</v>
      </c>
      <c r="Z12" s="20">
        <f>SUM('[1]102559:092560'!O12)</f>
        <v>12977692.440000001</v>
      </c>
      <c r="AA12" s="22">
        <f t="shared" si="6"/>
        <v>21.62260420432829</v>
      </c>
      <c r="AB12" s="25">
        <f>+'[1]092559'!P12</f>
        <v>38</v>
      </c>
      <c r="AC12" s="20">
        <f>+'[1]092560'!P12</f>
        <v>38</v>
      </c>
      <c r="AD12" s="20">
        <f>SUM('[1]102559:092560'!Q12)</f>
        <v>29181</v>
      </c>
      <c r="AE12" s="21">
        <f t="shared" si="7"/>
        <v>2.103893294881038</v>
      </c>
      <c r="AF12" s="20">
        <f>SUM('[1]102559:092560'!R12)</f>
        <v>804598.25</v>
      </c>
      <c r="AG12" s="22">
        <f t="shared" si="8"/>
        <v>27.572675713649293</v>
      </c>
      <c r="AH12" s="24">
        <f>+'[1]092559'!S12</f>
        <v>639</v>
      </c>
      <c r="AI12" s="20">
        <f>+'[1]092560'!S12</f>
        <v>643</v>
      </c>
      <c r="AJ12" s="20">
        <f>SUM('[1]102559:092560'!T12)</f>
        <v>432763</v>
      </c>
      <c r="AK12" s="21">
        <f t="shared" si="9"/>
        <v>1.8496911931271771</v>
      </c>
      <c r="AL12" s="20">
        <f>SUM('[1]102559:092560'!U12)</f>
        <v>12168595.26</v>
      </c>
      <c r="AM12" s="22">
        <f t="shared" si="14"/>
        <v>28.118381793267908</v>
      </c>
      <c r="AN12" s="24">
        <f>+'[1]092559'!V12</f>
        <v>34</v>
      </c>
      <c r="AO12" s="20">
        <f>+'[1]092560'!V12</f>
        <v>33</v>
      </c>
      <c r="AP12" s="20">
        <f>SUM('[1]102559:092560'!W12)</f>
        <v>24258</v>
      </c>
      <c r="AQ12" s="21">
        <f t="shared" si="10"/>
        <v>1.9838887753015744</v>
      </c>
      <c r="AR12" s="13">
        <f>SUM('[1]102559:092560'!X12)</f>
        <v>664274.5</v>
      </c>
      <c r="AS12" s="22">
        <f t="shared" si="15"/>
        <v>27.383729079066701</v>
      </c>
      <c r="AT12" s="24">
        <f>+'[1]092559'!Y12</f>
        <v>0</v>
      </c>
      <c r="AU12" s="20">
        <f>+'[1]092560'!Y12</f>
        <v>0</v>
      </c>
      <c r="AV12" s="20">
        <f>SUM('[1]102559:092560'!Z12)</f>
        <v>0</v>
      </c>
      <c r="AW12" s="21" t="e">
        <f t="shared" si="11"/>
        <v>#DIV/0!</v>
      </c>
      <c r="AX12" s="20">
        <f>SUM('[1]102559:092560'!AA12)</f>
        <v>0</v>
      </c>
      <c r="AY12" s="22" t="e">
        <f t="shared" si="12"/>
        <v>#DIV/0!</v>
      </c>
    </row>
    <row r="13" spans="1:51" x14ac:dyDescent="0.2">
      <c r="A13" s="9">
        <v>5511021</v>
      </c>
      <c r="B13" s="10">
        <v>2560</v>
      </c>
      <c r="C13" s="11" t="s">
        <v>106</v>
      </c>
      <c r="D13" s="19">
        <f>+'[1]092559'!D13</f>
        <v>1069</v>
      </c>
      <c r="E13" s="20">
        <f>+'[1]092560'!D13</f>
        <v>1160</v>
      </c>
      <c r="F13" s="20">
        <f>SUM('[1]102559:092560'!E13)</f>
        <v>199476</v>
      </c>
      <c r="G13" s="21">
        <f t="shared" si="0"/>
        <v>0.49036302291708916</v>
      </c>
      <c r="H13" s="20">
        <f>SUM('[1]102559:092560'!F13)</f>
        <v>3643465.56</v>
      </c>
      <c r="I13" s="22">
        <f t="shared" si="1"/>
        <v>18.26518257835529</v>
      </c>
      <c r="J13" s="19">
        <f>+'[1]092559'!G13</f>
        <v>806</v>
      </c>
      <c r="K13" s="20">
        <f>+'[1]092560'!G13</f>
        <v>843</v>
      </c>
      <c r="L13" s="20">
        <f>SUM('[1]102559:092560'!H13)</f>
        <v>101340</v>
      </c>
      <c r="M13" s="23">
        <f t="shared" si="2"/>
        <v>0.33674206866760265</v>
      </c>
      <c r="N13" s="20">
        <f>SUM('[1]102559:092560'!I13)</f>
        <v>1326871.0599999998</v>
      </c>
      <c r="O13" s="22">
        <f t="shared" si="3"/>
        <v>13.0932609038879</v>
      </c>
      <c r="P13" s="24">
        <f>+'[1]092559'!J13</f>
        <v>25</v>
      </c>
      <c r="Q13" s="20">
        <f>+'[1]092560'!J13</f>
        <v>25</v>
      </c>
      <c r="R13" s="20">
        <f>SUM('[1]102559:092560'!K13)</f>
        <v>24401</v>
      </c>
      <c r="S13" s="21">
        <f t="shared" si="4"/>
        <v>2.6740821917808217</v>
      </c>
      <c r="T13" s="20">
        <f>SUM('[1]102559:092560'!L13)</f>
        <v>519156.89999999997</v>
      </c>
      <c r="U13" s="22">
        <f t="shared" si="13"/>
        <v>21.276050161878612</v>
      </c>
      <c r="V13" s="24">
        <f>+'[1]092559'!M13</f>
        <v>165</v>
      </c>
      <c r="W13" s="20">
        <f>+'[1]092560'!M13</f>
        <v>231</v>
      </c>
      <c r="X13" s="20">
        <f>SUM('[1]102559:092560'!N13)</f>
        <v>41558</v>
      </c>
      <c r="Y13" s="21">
        <f t="shared" si="5"/>
        <v>0.57503805175038047</v>
      </c>
      <c r="Z13" s="20">
        <f>SUM('[1]102559:092560'!O13)</f>
        <v>889826.95</v>
      </c>
      <c r="AA13" s="22">
        <f t="shared" si="6"/>
        <v>21.411688483565136</v>
      </c>
      <c r="AB13" s="25">
        <f>+'[1]092559'!P13</f>
        <v>4</v>
      </c>
      <c r="AC13" s="20">
        <f>+'[1]092560'!P13</f>
        <v>6</v>
      </c>
      <c r="AD13" s="20">
        <f>SUM('[1]102559:092560'!Q13)</f>
        <v>1884</v>
      </c>
      <c r="AE13" s="21">
        <f t="shared" si="7"/>
        <v>1.0323287671232877</v>
      </c>
      <c r="AF13" s="20">
        <f>SUM('[1]102559:092560'!R13)</f>
        <v>46855.75</v>
      </c>
      <c r="AG13" s="22">
        <f t="shared" si="8"/>
        <v>24.870355626326965</v>
      </c>
      <c r="AH13" s="24">
        <f>+'[1]092559'!S13</f>
        <v>60</v>
      </c>
      <c r="AI13" s="20">
        <f>+'[1]092560'!S13</f>
        <v>47</v>
      </c>
      <c r="AJ13" s="20">
        <f>SUM('[1]102559:092560'!T13)</f>
        <v>12733</v>
      </c>
      <c r="AK13" s="21">
        <f t="shared" si="9"/>
        <v>0.65205479452054793</v>
      </c>
      <c r="AL13" s="20">
        <f>SUM('[1]102559:092560'!U13)</f>
        <v>351112.15</v>
      </c>
      <c r="AM13" s="22">
        <f t="shared" si="14"/>
        <v>27.574974475771619</v>
      </c>
      <c r="AN13" s="24">
        <f>+'[1]092559'!V13</f>
        <v>9</v>
      </c>
      <c r="AO13" s="20">
        <f>+'[1]092560'!V13</f>
        <v>8</v>
      </c>
      <c r="AP13" s="20">
        <f>SUM('[1]102559:092560'!W13)</f>
        <v>17560</v>
      </c>
      <c r="AQ13" s="21">
        <f t="shared" si="10"/>
        <v>5.6599516518936346</v>
      </c>
      <c r="AR13" s="13">
        <f>SUM('[1]102559:092560'!X13)</f>
        <v>509642.75</v>
      </c>
      <c r="AS13" s="22">
        <f t="shared" si="15"/>
        <v>29.022935649202733</v>
      </c>
      <c r="AT13" s="24">
        <f>+'[1]092559'!Y13</f>
        <v>0</v>
      </c>
      <c r="AU13" s="20">
        <f>+'[1]092560'!Y13</f>
        <v>0</v>
      </c>
      <c r="AV13" s="20">
        <f>SUM('[1]102559:092560'!Z13)</f>
        <v>0</v>
      </c>
      <c r="AW13" s="21" t="e">
        <f t="shared" si="11"/>
        <v>#DIV/0!</v>
      </c>
      <c r="AX13" s="20">
        <f>SUM('[1]102559:092560'!AA13)</f>
        <v>0</v>
      </c>
      <c r="AY13" s="22" t="e">
        <f t="shared" si="12"/>
        <v>#DIV/0!</v>
      </c>
    </row>
    <row r="14" spans="1:51" x14ac:dyDescent="0.2">
      <c r="A14" s="9">
        <v>5511022</v>
      </c>
      <c r="B14" s="10">
        <v>2560</v>
      </c>
      <c r="C14" s="11" t="s">
        <v>106</v>
      </c>
      <c r="D14" s="19">
        <f>+'[1]092559'!D14</f>
        <v>38401</v>
      </c>
      <c r="E14" s="20">
        <f>+'[1]092560'!D14</f>
        <v>39665</v>
      </c>
      <c r="F14" s="20">
        <f>SUM('[1]102559:092560'!E14)</f>
        <v>8620486</v>
      </c>
      <c r="G14" s="21">
        <f t="shared" si="0"/>
        <v>0.60507185876088687</v>
      </c>
      <c r="H14" s="20">
        <f>SUM('[1]102559:092560'!F14)</f>
        <v>152219455.41999999</v>
      </c>
      <c r="I14" s="22">
        <f t="shared" si="1"/>
        <v>17.657873978334862</v>
      </c>
      <c r="J14" s="19">
        <f>+'[1]092559'!G14</f>
        <v>31182</v>
      </c>
      <c r="K14" s="20">
        <f>+'[1]092560'!G14</f>
        <v>32186</v>
      </c>
      <c r="L14" s="20">
        <f>SUM('[1]102559:092560'!H14)</f>
        <v>4996933</v>
      </c>
      <c r="M14" s="23">
        <f t="shared" si="2"/>
        <v>0.43208645995645351</v>
      </c>
      <c r="N14" s="20">
        <f>SUM('[1]102559:092560'!I14)</f>
        <v>67296252.519999996</v>
      </c>
      <c r="O14" s="22">
        <f t="shared" si="3"/>
        <v>13.467511475539094</v>
      </c>
      <c r="P14" s="24">
        <f>+'[1]092559'!J14</f>
        <v>331</v>
      </c>
      <c r="Q14" s="20">
        <f>+'[1]092560'!J14</f>
        <v>364</v>
      </c>
      <c r="R14" s="20">
        <f>SUM('[1]102559:092560'!K14)</f>
        <v>935115</v>
      </c>
      <c r="S14" s="21">
        <f t="shared" si="4"/>
        <v>7.3725436089484582</v>
      </c>
      <c r="T14" s="20">
        <f>SUM('[1]102559:092560'!L14)</f>
        <v>20788570.039999999</v>
      </c>
      <c r="U14" s="22">
        <f>+T14/R14</f>
        <v>22.231030450800169</v>
      </c>
      <c r="V14" s="24">
        <f>+'[1]092559'!M14</f>
        <v>4801</v>
      </c>
      <c r="W14" s="20">
        <f>+'[1]092560'!M14</f>
        <v>4993</v>
      </c>
      <c r="X14" s="20">
        <f>SUM('[1]102559:092560'!N14)</f>
        <v>1374668</v>
      </c>
      <c r="Y14" s="21">
        <f t="shared" si="5"/>
        <v>0.76908590946092248</v>
      </c>
      <c r="Z14" s="20">
        <f>SUM('[1]102559:092560'!O14)</f>
        <v>28299291.359999996</v>
      </c>
      <c r="AA14" s="22">
        <f t="shared" si="6"/>
        <v>20.586273456572783</v>
      </c>
      <c r="AB14" s="25">
        <f>+'[1]092559'!P14</f>
        <v>45</v>
      </c>
      <c r="AC14" s="20">
        <f>+'[1]092560'!P14</f>
        <v>43</v>
      </c>
      <c r="AD14" s="20">
        <f>SUM('[1]102559:092560'!Q14)</f>
        <v>35383</v>
      </c>
      <c r="AE14" s="21">
        <f t="shared" si="7"/>
        <v>2.2031755915317559</v>
      </c>
      <c r="AF14" s="20">
        <f>SUM('[1]102559:092560'!R14)</f>
        <v>976771.5</v>
      </c>
      <c r="AG14" s="22">
        <f t="shared" si="8"/>
        <v>27.605672215470705</v>
      </c>
      <c r="AH14" s="24">
        <f>+'[1]092559'!S14</f>
        <v>1979</v>
      </c>
      <c r="AI14" s="20">
        <f>+'[1]092560'!S14</f>
        <v>2016</v>
      </c>
      <c r="AJ14" s="20">
        <f>SUM('[1]102559:092560'!T14)</f>
        <v>1203448</v>
      </c>
      <c r="AK14" s="21">
        <f t="shared" si="9"/>
        <v>1.6506221818368851</v>
      </c>
      <c r="AL14" s="20">
        <f>SUM('[1]102559:092560'!U14)</f>
        <v>32730765.249999993</v>
      </c>
      <c r="AM14" s="22">
        <f>+AL14/AJ14</f>
        <v>27.197490253006354</v>
      </c>
      <c r="AN14" s="24">
        <f>+'[1]092559'!V14</f>
        <v>63</v>
      </c>
      <c r="AO14" s="20">
        <f>+'[1]092560'!V14</f>
        <v>63</v>
      </c>
      <c r="AP14" s="20">
        <f>SUM('[1]102559:092560'!W14)</f>
        <v>74939</v>
      </c>
      <c r="AQ14" s="21">
        <f t="shared" si="10"/>
        <v>3.2589258534464016</v>
      </c>
      <c r="AR14" s="13">
        <f>SUM('[1]102559:092560'!X14)</f>
        <v>2127804.75</v>
      </c>
      <c r="AS14" s="22">
        <f>+AR14/AP14</f>
        <v>28.393823643229826</v>
      </c>
      <c r="AT14" s="24">
        <f>+'[1]092559'!Y14</f>
        <v>0</v>
      </c>
      <c r="AU14" s="20">
        <f>+'[1]092560'!Y14</f>
        <v>0</v>
      </c>
      <c r="AV14" s="20">
        <f>SUM('[1]102559:092560'!Z14)</f>
        <v>0</v>
      </c>
      <c r="AW14" s="21" t="e">
        <f t="shared" si="11"/>
        <v>#DIV/0!</v>
      </c>
      <c r="AX14" s="20">
        <f>SUM('[1]102559:092560'!AA14)</f>
        <v>0</v>
      </c>
      <c r="AY14" s="22" t="e">
        <f t="shared" si="12"/>
        <v>#DIV/0!</v>
      </c>
    </row>
    <row r="15" spans="1:51" x14ac:dyDescent="0.2">
      <c r="A15" s="9">
        <v>5511023</v>
      </c>
      <c r="B15" s="10">
        <v>2560</v>
      </c>
      <c r="C15" s="11" t="s">
        <v>106</v>
      </c>
      <c r="D15" s="19">
        <f>+'[1]092559'!D15</f>
        <v>5374</v>
      </c>
      <c r="E15" s="20">
        <f>+'[1]092560'!D15</f>
        <v>5579</v>
      </c>
      <c r="F15" s="20">
        <f>SUM('[1]102559:092560'!E15)</f>
        <v>1049909</v>
      </c>
      <c r="G15" s="21">
        <f t="shared" si="0"/>
        <v>0.52523747168787183</v>
      </c>
      <c r="H15" s="20">
        <f>SUM('[1]102559:092560'!F15)</f>
        <v>16812945.710000001</v>
      </c>
      <c r="I15" s="22">
        <f t="shared" si="1"/>
        <v>16.013717103101317</v>
      </c>
      <c r="J15" s="19">
        <f>+'[1]092559'!G15</f>
        <v>4632</v>
      </c>
      <c r="K15" s="20">
        <f>+'[1]092560'!G15</f>
        <v>4812</v>
      </c>
      <c r="L15" s="20">
        <f>SUM('[1]102559:092560'!H15)</f>
        <v>751726</v>
      </c>
      <c r="M15" s="23">
        <f t="shared" si="2"/>
        <v>0.4361548682065296</v>
      </c>
      <c r="N15" s="20">
        <f>SUM('[1]102559:092560'!I15)</f>
        <v>10129176.659999998</v>
      </c>
      <c r="O15" s="22">
        <f t="shared" si="3"/>
        <v>13.474559427238114</v>
      </c>
      <c r="P15" s="24">
        <f>+'[1]092559'!J15</f>
        <v>54</v>
      </c>
      <c r="Q15" s="20">
        <f>+'[1]092560'!J15</f>
        <v>60</v>
      </c>
      <c r="R15" s="20">
        <f>SUM('[1]102559:092560'!K15)</f>
        <v>96257</v>
      </c>
      <c r="S15" s="21">
        <f t="shared" si="4"/>
        <v>4.6266282143715456</v>
      </c>
      <c r="T15" s="20">
        <f>SUM('[1]102559:092560'!L15)</f>
        <v>2054975.5500000005</v>
      </c>
      <c r="U15" s="22">
        <f t="shared" ref="U15:U29" si="16">+T15/R15</f>
        <v>21.348842681571217</v>
      </c>
      <c r="V15" s="24">
        <f>+'[1]092559'!M15</f>
        <v>527</v>
      </c>
      <c r="W15" s="20">
        <f>+'[1]092560'!M15</f>
        <v>539</v>
      </c>
      <c r="X15" s="20">
        <f>SUM('[1]102559:092560'!N15)</f>
        <v>125686</v>
      </c>
      <c r="Y15" s="21">
        <f t="shared" si="5"/>
        <v>0.64605104217533216</v>
      </c>
      <c r="Z15" s="20">
        <f>SUM('[1]102559:092560'!O15)</f>
        <v>2572276.1000000006</v>
      </c>
      <c r="AA15" s="22">
        <f t="shared" si="6"/>
        <v>20.46589198478749</v>
      </c>
      <c r="AB15" s="25">
        <f>+'[1]092559'!P15</f>
        <v>5</v>
      </c>
      <c r="AC15" s="20">
        <f>+'[1]092560'!P15</f>
        <v>5</v>
      </c>
      <c r="AD15" s="20">
        <f>SUM('[1]102559:092560'!Q15)</f>
        <v>3193</v>
      </c>
      <c r="AE15" s="21">
        <f t="shared" si="7"/>
        <v>1.7495890410958905</v>
      </c>
      <c r="AF15" s="20">
        <f>SUM('[1]102559:092560'!R15)</f>
        <v>82427.75</v>
      </c>
      <c r="AG15" s="22">
        <f t="shared" si="8"/>
        <v>25.815142499217036</v>
      </c>
      <c r="AH15" s="24">
        <f>+'[1]092559'!S15</f>
        <v>133</v>
      </c>
      <c r="AI15" s="20">
        <f>+'[1]092560'!S15</f>
        <v>129</v>
      </c>
      <c r="AJ15" s="20">
        <f>SUM('[1]102559:092560'!T15)</f>
        <v>54755</v>
      </c>
      <c r="AK15" s="21">
        <f t="shared" si="9"/>
        <v>1.1451427376346335</v>
      </c>
      <c r="AL15" s="20">
        <f>SUM('[1]102559:092560'!U15)</f>
        <v>1500078.55</v>
      </c>
      <c r="AM15" s="22">
        <f t="shared" ref="AM15:AM29" si="17">+AL15/AJ15</f>
        <v>27.396193041731351</v>
      </c>
      <c r="AN15" s="24">
        <f>+'[1]092559'!V15</f>
        <v>23</v>
      </c>
      <c r="AO15" s="20">
        <f>+'[1]092560'!V15</f>
        <v>34</v>
      </c>
      <c r="AP15" s="20">
        <f>SUM('[1]102559:092560'!W15)</f>
        <v>18292</v>
      </c>
      <c r="AQ15" s="21">
        <f t="shared" si="10"/>
        <v>1.7584234559000242</v>
      </c>
      <c r="AR15" s="13">
        <f>SUM('[1]102559:092560'!X15)</f>
        <v>474011.1</v>
      </c>
      <c r="AS15" s="22">
        <f t="shared" ref="AS15:AS29" si="18">+AR15/AP15</f>
        <v>25.913574240104964</v>
      </c>
      <c r="AT15" s="24">
        <f>+'[1]092559'!Y15</f>
        <v>0</v>
      </c>
      <c r="AU15" s="20">
        <f>+'[1]092560'!Y15</f>
        <v>0</v>
      </c>
      <c r="AV15" s="20">
        <f>SUM('[1]102559:092560'!Z15)</f>
        <v>0</v>
      </c>
      <c r="AW15" s="21" t="e">
        <f t="shared" si="11"/>
        <v>#DIV/0!</v>
      </c>
      <c r="AX15" s="20">
        <f>SUM('[1]102559:092560'!AA15)</f>
        <v>0</v>
      </c>
      <c r="AY15" s="22" t="e">
        <f t="shared" si="12"/>
        <v>#DIV/0!</v>
      </c>
    </row>
    <row r="16" spans="1:51" x14ac:dyDescent="0.2">
      <c r="A16" s="9">
        <v>5511024</v>
      </c>
      <c r="B16" s="10">
        <v>2560</v>
      </c>
      <c r="C16" s="11" t="s">
        <v>106</v>
      </c>
      <c r="D16" s="19">
        <f>+'[1]092559'!D16</f>
        <v>8027</v>
      </c>
      <c r="E16" s="20">
        <f>+'[1]092560'!D16</f>
        <v>8184</v>
      </c>
      <c r="F16" s="20">
        <f>SUM('[1]102559:092560'!E16)</f>
        <v>1376286</v>
      </c>
      <c r="G16" s="21">
        <f t="shared" si="0"/>
        <v>0.46519604902133932</v>
      </c>
      <c r="H16" s="20">
        <f>SUM('[1]102559:092560'!F16)</f>
        <v>22446181.899999995</v>
      </c>
      <c r="I16" s="22">
        <f t="shared" si="1"/>
        <v>16.30924233771178</v>
      </c>
      <c r="J16" s="19">
        <f>+'[1]092559'!G16</f>
        <v>6780</v>
      </c>
      <c r="K16" s="20">
        <f>+'[1]092560'!G16</f>
        <v>6921</v>
      </c>
      <c r="L16" s="20">
        <f>SUM('[1]102559:092560'!H16)</f>
        <v>897322</v>
      </c>
      <c r="M16" s="23">
        <f t="shared" si="2"/>
        <v>0.35886671605812193</v>
      </c>
      <c r="N16" s="20">
        <f>SUM('[1]102559:092560'!I16)</f>
        <v>11546880.499999998</v>
      </c>
      <c r="O16" s="22">
        <f t="shared" si="3"/>
        <v>12.868157138686</v>
      </c>
      <c r="P16" s="24">
        <f>+'[1]092559'!J16</f>
        <v>99</v>
      </c>
      <c r="Q16" s="20">
        <f>+'[1]092560'!J16</f>
        <v>98</v>
      </c>
      <c r="R16" s="20">
        <f>SUM('[1]102559:092560'!K16)</f>
        <v>143955</v>
      </c>
      <c r="S16" s="21">
        <f t="shared" si="4"/>
        <v>4.0040330992281481</v>
      </c>
      <c r="T16" s="20">
        <f>SUM('[1]102559:092560'!L16)</f>
        <v>3079803.25</v>
      </c>
      <c r="U16" s="22">
        <f t="shared" si="16"/>
        <v>21.394208259525545</v>
      </c>
      <c r="V16" s="24">
        <f>+'[1]092559'!M16</f>
        <v>909</v>
      </c>
      <c r="W16" s="20">
        <f>+'[1]092560'!M16</f>
        <v>921</v>
      </c>
      <c r="X16" s="20">
        <f>SUM('[1]102559:092560'!N16)</f>
        <v>183745</v>
      </c>
      <c r="Y16" s="21">
        <f t="shared" si="5"/>
        <v>0.55017591137061161</v>
      </c>
      <c r="Z16" s="20">
        <f>SUM('[1]102559:092560'!O16)</f>
        <v>3668975.9000000004</v>
      </c>
      <c r="AA16" s="22">
        <f t="shared" si="6"/>
        <v>19.967759122697217</v>
      </c>
      <c r="AB16" s="25">
        <f>+'[1]092559'!P16</f>
        <v>12</v>
      </c>
      <c r="AC16" s="20">
        <f>+'[1]092560'!P16</f>
        <v>12</v>
      </c>
      <c r="AD16" s="20">
        <f>SUM('[1]102559:092560'!Q16)</f>
        <v>5573</v>
      </c>
      <c r="AE16" s="21">
        <f t="shared" si="7"/>
        <v>1.2723744292237444</v>
      </c>
      <c r="AF16" s="20">
        <f>SUM('[1]102559:092560'!R16)</f>
        <v>145195.5</v>
      </c>
      <c r="AG16" s="22">
        <f t="shared" si="8"/>
        <v>26.053382379328909</v>
      </c>
      <c r="AH16" s="24">
        <f>+'[1]092559'!S16</f>
        <v>211</v>
      </c>
      <c r="AI16" s="20">
        <f>+'[1]092560'!S16</f>
        <v>215</v>
      </c>
      <c r="AJ16" s="20">
        <f>SUM('[1]102559:092560'!T16)</f>
        <v>114490</v>
      </c>
      <c r="AK16" s="21">
        <f t="shared" si="9"/>
        <v>1.4726348961347997</v>
      </c>
      <c r="AL16" s="20">
        <f>SUM('[1]102559:092560'!U16)</f>
        <v>3127777.4000000004</v>
      </c>
      <c r="AM16" s="22">
        <f t="shared" si="17"/>
        <v>27.319219145776927</v>
      </c>
      <c r="AN16" s="24">
        <f>+'[1]092559'!V16</f>
        <v>16</v>
      </c>
      <c r="AO16" s="20">
        <f>+'[1]092560'!V16</f>
        <v>17</v>
      </c>
      <c r="AP16" s="20">
        <f>SUM('[1]102559:092560'!W16)</f>
        <v>31201</v>
      </c>
      <c r="AQ16" s="21">
        <f t="shared" si="10"/>
        <v>5.180738895807389</v>
      </c>
      <c r="AR16" s="13">
        <f>SUM('[1]102559:092560'!X16)</f>
        <v>877549.35</v>
      </c>
      <c r="AS16" s="22">
        <f t="shared" si="18"/>
        <v>28.125680266658119</v>
      </c>
      <c r="AT16" s="24">
        <f>+'[1]092559'!Y16</f>
        <v>0</v>
      </c>
      <c r="AU16" s="20">
        <f>+'[1]092560'!Y16</f>
        <v>0</v>
      </c>
      <c r="AV16" s="20">
        <f>SUM('[1]102559:092560'!Z16)</f>
        <v>0</v>
      </c>
      <c r="AW16" s="21" t="e">
        <f t="shared" si="11"/>
        <v>#DIV/0!</v>
      </c>
      <c r="AX16" s="20">
        <f>SUM('[1]102559:092560'!AA16)</f>
        <v>0</v>
      </c>
      <c r="AY16" s="22" t="e">
        <f t="shared" si="12"/>
        <v>#DIV/0!</v>
      </c>
    </row>
    <row r="17" spans="1:51" x14ac:dyDescent="0.2">
      <c r="A17" s="9">
        <v>5511025</v>
      </c>
      <c r="B17" s="10">
        <v>2560</v>
      </c>
      <c r="C17" s="11" t="s">
        <v>106</v>
      </c>
      <c r="D17" s="19">
        <f>+'[1]092559'!D17</f>
        <v>12151</v>
      </c>
      <c r="E17" s="20">
        <f>+'[1]092560'!D17</f>
        <v>12365</v>
      </c>
      <c r="F17" s="20">
        <f>SUM('[1]102559:092560'!E17)</f>
        <v>2544536</v>
      </c>
      <c r="G17" s="21">
        <f t="shared" si="0"/>
        <v>0.56871687933180903</v>
      </c>
      <c r="H17" s="20">
        <f>SUM('[1]102559:092560'!F17)</f>
        <v>45393455.079999998</v>
      </c>
      <c r="I17" s="22">
        <f t="shared" si="1"/>
        <v>17.839580607230552</v>
      </c>
      <c r="J17" s="19">
        <f>+'[1]092559'!G17</f>
        <v>9135</v>
      </c>
      <c r="K17" s="20">
        <f>+'[1]092560'!G17</f>
        <v>9442</v>
      </c>
      <c r="L17" s="20">
        <f>SUM('[1]102559:092560'!H17)</f>
        <v>1440813</v>
      </c>
      <c r="M17" s="23">
        <f t="shared" si="2"/>
        <v>0.42498066175510885</v>
      </c>
      <c r="N17" s="20">
        <f>SUM('[1]102559:092560'!I17)</f>
        <v>20079450.460000001</v>
      </c>
      <c r="O17" s="22">
        <f t="shared" si="3"/>
        <v>13.936194676200174</v>
      </c>
      <c r="P17" s="24">
        <f>+'[1]092559'!J17</f>
        <v>136</v>
      </c>
      <c r="Q17" s="20">
        <f>+'[1]092560'!J17</f>
        <v>133</v>
      </c>
      <c r="R17" s="20">
        <f>SUM('[1]102559:092560'!K17)</f>
        <v>263768</v>
      </c>
      <c r="S17" s="21">
        <f t="shared" si="4"/>
        <v>5.3728777308142792</v>
      </c>
      <c r="T17" s="20">
        <f>SUM('[1]102559:092560'!L17)</f>
        <v>5654557.4499999993</v>
      </c>
      <c r="U17" s="22">
        <f t="shared" si="16"/>
        <v>21.437617337963662</v>
      </c>
      <c r="V17" s="24">
        <f>+'[1]092559'!M17</f>
        <v>1999</v>
      </c>
      <c r="W17" s="20">
        <f>+'[1]092560'!M17</f>
        <v>1929</v>
      </c>
      <c r="X17" s="20">
        <f>SUM('[1]102559:092560'!N17)</f>
        <v>489062</v>
      </c>
      <c r="Y17" s="21">
        <f t="shared" si="5"/>
        <v>0.68222805010741283</v>
      </c>
      <c r="Z17" s="20">
        <f>SUM('[1]102559:092560'!O17)</f>
        <v>10337522.219999999</v>
      </c>
      <c r="AA17" s="22">
        <f t="shared" si="6"/>
        <v>21.1374472357288</v>
      </c>
      <c r="AB17" s="25">
        <f>+'[1]092559'!P17</f>
        <v>15</v>
      </c>
      <c r="AC17" s="20">
        <f>+'[1]092560'!P17</f>
        <v>15</v>
      </c>
      <c r="AD17" s="20">
        <f>SUM('[1]102559:092560'!Q17)</f>
        <v>10859</v>
      </c>
      <c r="AE17" s="21">
        <f t="shared" si="7"/>
        <v>1.9833789954337897</v>
      </c>
      <c r="AF17" s="20">
        <f>SUM('[1]102559:092560'!R17)</f>
        <v>283429.25</v>
      </c>
      <c r="AG17" s="22">
        <f t="shared" si="8"/>
        <v>26.100861036927895</v>
      </c>
      <c r="AH17" s="24">
        <f>+'[1]092559'!S17</f>
        <v>839</v>
      </c>
      <c r="AI17" s="20">
        <f>+'[1]092560'!S17</f>
        <v>821</v>
      </c>
      <c r="AJ17" s="20">
        <f>SUM('[1]102559:092560'!T17)</f>
        <v>328711</v>
      </c>
      <c r="AK17" s="21">
        <f t="shared" si="9"/>
        <v>1.0850338339660011</v>
      </c>
      <c r="AL17" s="20">
        <f>SUM('[1]102559:092560'!U17)</f>
        <v>8755392.9499999993</v>
      </c>
      <c r="AM17" s="22">
        <f t="shared" si="17"/>
        <v>26.635533797165287</v>
      </c>
      <c r="AN17" s="24">
        <f>+'[1]092559'!V17</f>
        <v>27</v>
      </c>
      <c r="AO17" s="20">
        <f>+'[1]092560'!V17</f>
        <v>25</v>
      </c>
      <c r="AP17" s="20">
        <f>SUM('[1]102559:092560'!W17)</f>
        <v>11323</v>
      </c>
      <c r="AQ17" s="21">
        <f t="shared" si="10"/>
        <v>1.1931506849315068</v>
      </c>
      <c r="AR17" s="13">
        <f>SUM('[1]102559:092560'!X17)</f>
        <v>283102.75</v>
      </c>
      <c r="AS17" s="22">
        <f t="shared" si="18"/>
        <v>25.002450763931819</v>
      </c>
      <c r="AT17" s="24">
        <f>+'[1]092559'!Y17</f>
        <v>0</v>
      </c>
      <c r="AU17" s="20">
        <f>+'[1]092560'!Y17</f>
        <v>0</v>
      </c>
      <c r="AV17" s="20">
        <f>SUM('[1]102559:092560'!Z17)</f>
        <v>0</v>
      </c>
      <c r="AW17" s="21" t="e">
        <f t="shared" si="11"/>
        <v>#DIV/0!</v>
      </c>
      <c r="AX17" s="20">
        <f>SUM('[1]102559:092560'!AA17)</f>
        <v>0</v>
      </c>
      <c r="AY17" s="22" t="e">
        <f t="shared" si="12"/>
        <v>#DIV/0!</v>
      </c>
    </row>
    <row r="18" spans="1:51" x14ac:dyDescent="0.2">
      <c r="A18" s="9">
        <v>5511026</v>
      </c>
      <c r="B18" s="10">
        <v>2560</v>
      </c>
      <c r="C18" s="11" t="s">
        <v>106</v>
      </c>
      <c r="D18" s="19">
        <f>+'[1]092559'!D18</f>
        <v>6016</v>
      </c>
      <c r="E18" s="20">
        <f>+'[1]092560'!D18</f>
        <v>6117</v>
      </c>
      <c r="F18" s="20">
        <f>SUM('[1]102559:092560'!E18)</f>
        <v>1120334</v>
      </c>
      <c r="G18" s="21">
        <f t="shared" si="0"/>
        <v>0.50596030976313888</v>
      </c>
      <c r="H18" s="20">
        <f>SUM('[1]102559:092560'!F18)</f>
        <v>18734734.429999996</v>
      </c>
      <c r="I18" s="22">
        <f t="shared" si="1"/>
        <v>16.722454580509023</v>
      </c>
      <c r="J18" s="19">
        <f>+'[1]092559'!G18</f>
        <v>5112</v>
      </c>
      <c r="K18" s="20">
        <f>+'[1]092560'!G18</f>
        <v>5199</v>
      </c>
      <c r="L18" s="20">
        <f>SUM('[1]102559:092560'!H18)</f>
        <v>750674</v>
      </c>
      <c r="M18" s="23">
        <f t="shared" si="2"/>
        <v>0.39892175267004382</v>
      </c>
      <c r="N18" s="20">
        <f>SUM('[1]102559:092560'!I18)</f>
        <v>9953212.9799999986</v>
      </c>
      <c r="O18" s="22">
        <f t="shared" si="3"/>
        <v>13.259035187045241</v>
      </c>
      <c r="P18" s="24">
        <f>+'[1]092559'!J18</f>
        <v>100</v>
      </c>
      <c r="Q18" s="20">
        <f>+'[1]092560'!J18</f>
        <v>101</v>
      </c>
      <c r="R18" s="20">
        <f>SUM('[1]102559:092560'!K18)</f>
        <v>117565</v>
      </c>
      <c r="S18" s="21">
        <f t="shared" si="4"/>
        <v>3.2049342329448649</v>
      </c>
      <c r="T18" s="20">
        <f>SUM('[1]102559:092560'!L18)</f>
        <v>2701923.9000000004</v>
      </c>
      <c r="U18" s="22">
        <f t="shared" si="16"/>
        <v>22.982383362395275</v>
      </c>
      <c r="V18" s="24">
        <f>+'[1]092559'!M18</f>
        <v>604</v>
      </c>
      <c r="W18" s="20">
        <f>+'[1]092560'!M18</f>
        <v>611</v>
      </c>
      <c r="X18" s="20">
        <f>SUM('[1]102559:092560'!N18)</f>
        <v>143897</v>
      </c>
      <c r="Y18" s="21">
        <f t="shared" si="5"/>
        <v>0.64895202660803875</v>
      </c>
      <c r="Z18" s="20">
        <f>SUM('[1]102559:092560'!O18)</f>
        <v>3048888.0500000003</v>
      </c>
      <c r="AA18" s="22">
        <f t="shared" si="6"/>
        <v>21.187988978227484</v>
      </c>
      <c r="AB18" s="25">
        <f>+'[1]092559'!P18</f>
        <v>16</v>
      </c>
      <c r="AC18" s="20">
        <f>+'[1]092560'!P18</f>
        <v>16</v>
      </c>
      <c r="AD18" s="20">
        <f>SUM('[1]102559:092560'!Q18)</f>
        <v>37513</v>
      </c>
      <c r="AE18" s="21">
        <f t="shared" si="7"/>
        <v>6.4234589041095891</v>
      </c>
      <c r="AF18" s="20">
        <f>SUM('[1]102559:092560'!R18)</f>
        <v>1067897.75</v>
      </c>
      <c r="AG18" s="22">
        <f t="shared" si="8"/>
        <v>28.467404633060539</v>
      </c>
      <c r="AH18" s="24">
        <f>+'[1]092559'!S18</f>
        <v>154</v>
      </c>
      <c r="AI18" s="20">
        <f>+'[1]092560'!S18</f>
        <v>162</v>
      </c>
      <c r="AJ18" s="20">
        <f>SUM('[1]102559:092560'!T18)</f>
        <v>55889</v>
      </c>
      <c r="AK18" s="21">
        <f t="shared" si="9"/>
        <v>0.96911739205826253</v>
      </c>
      <c r="AL18" s="20">
        <f>SUM('[1]102559:092560'!U18)</f>
        <v>1563836.25</v>
      </c>
      <c r="AM18" s="22">
        <f t="shared" si="17"/>
        <v>27.981109878509187</v>
      </c>
      <c r="AN18" s="24">
        <f>+'[1]092559'!V18</f>
        <v>30</v>
      </c>
      <c r="AO18" s="20">
        <f>+'[1]092560'!V18</f>
        <v>28</v>
      </c>
      <c r="AP18" s="20">
        <f>SUM('[1]102559:092560'!W18)</f>
        <v>14796</v>
      </c>
      <c r="AQ18" s="21">
        <f t="shared" si="10"/>
        <v>1.39782711384034</v>
      </c>
      <c r="AR18" s="13">
        <f>SUM('[1]102559:092560'!X18)</f>
        <v>398975.5</v>
      </c>
      <c r="AS18" s="22">
        <f t="shared" si="18"/>
        <v>26.965091916734252</v>
      </c>
      <c r="AT18" s="24">
        <f>+'[1]092559'!Y18</f>
        <v>0</v>
      </c>
      <c r="AU18" s="20">
        <f>+'[1]092560'!Y18</f>
        <v>0</v>
      </c>
      <c r="AV18" s="20">
        <f>SUM('[1]102559:092560'!Z18)</f>
        <v>0</v>
      </c>
      <c r="AW18" s="21" t="e">
        <f t="shared" si="11"/>
        <v>#DIV/0!</v>
      </c>
      <c r="AX18" s="20">
        <f>SUM('[1]102559:092560'!AA18)</f>
        <v>0</v>
      </c>
      <c r="AY18" s="22" t="e">
        <f t="shared" si="12"/>
        <v>#DIV/0!</v>
      </c>
    </row>
    <row r="19" spans="1:51" x14ac:dyDescent="0.2">
      <c r="A19" s="9">
        <v>5511027</v>
      </c>
      <c r="B19" s="10">
        <v>2560</v>
      </c>
      <c r="C19" s="11" t="s">
        <v>106</v>
      </c>
      <c r="D19" s="19">
        <f>+'[1]092559'!D19</f>
        <v>3672</v>
      </c>
      <c r="E19" s="20">
        <f>+'[1]092560'!D19</f>
        <v>3748</v>
      </c>
      <c r="F19" s="20">
        <f>SUM('[1]102559:092560'!E19)</f>
        <v>703354</v>
      </c>
      <c r="G19" s="21">
        <f t="shared" si="0"/>
        <v>0.51940626961562597</v>
      </c>
      <c r="H19" s="20">
        <f>SUM('[1]102559:092560'!F19)</f>
        <v>11859701.939999999</v>
      </c>
      <c r="I19" s="22">
        <f t="shared" si="1"/>
        <v>16.861639999203813</v>
      </c>
      <c r="J19" s="19">
        <f>+'[1]092559'!G19</f>
        <v>3074</v>
      </c>
      <c r="K19" s="20">
        <f>+'[1]092560'!G19</f>
        <v>3143</v>
      </c>
      <c r="L19" s="20">
        <f>SUM('[1]102559:092560'!H19)</f>
        <v>421455</v>
      </c>
      <c r="M19" s="23">
        <f t="shared" si="2"/>
        <v>0.37145608263687063</v>
      </c>
      <c r="N19" s="20">
        <f>SUM('[1]102559:092560'!I19)</f>
        <v>5613243.4899999993</v>
      </c>
      <c r="O19" s="22">
        <f t="shared" si="3"/>
        <v>13.318725581616066</v>
      </c>
      <c r="P19" s="24">
        <f>+'[1]092559'!J19</f>
        <v>71</v>
      </c>
      <c r="Q19" s="20">
        <f>+'[1]092560'!J19</f>
        <v>72</v>
      </c>
      <c r="R19" s="20">
        <f>SUM('[1]102559:092560'!K19)</f>
        <v>108610</v>
      </c>
      <c r="S19" s="21">
        <f t="shared" si="4"/>
        <v>4.1617013123862439</v>
      </c>
      <c r="T19" s="20">
        <f>SUM('[1]102559:092560'!L19)</f>
        <v>2330666.8000000003</v>
      </c>
      <c r="U19" s="22">
        <f t="shared" si="16"/>
        <v>21.459044286898077</v>
      </c>
      <c r="V19" s="24">
        <f>+'[1]092559'!M19</f>
        <v>401</v>
      </c>
      <c r="W19" s="20">
        <f>+'[1]092560'!M19</f>
        <v>416</v>
      </c>
      <c r="X19" s="20">
        <f>SUM('[1]102559:092560'!N19)</f>
        <v>118422</v>
      </c>
      <c r="Y19" s="21">
        <f t="shared" si="5"/>
        <v>0.79423215573179529</v>
      </c>
      <c r="Z19" s="20">
        <f>SUM('[1]102559:092560'!O19)</f>
        <v>2438733.35</v>
      </c>
      <c r="AA19" s="22">
        <f t="shared" si="6"/>
        <v>20.593583540220568</v>
      </c>
      <c r="AB19" s="25">
        <f>+'[1]092559'!P19</f>
        <v>10</v>
      </c>
      <c r="AC19" s="20">
        <f>+'[1]092560'!P19</f>
        <v>11</v>
      </c>
      <c r="AD19" s="20">
        <f>SUM('[1]102559:092560'!Q19)</f>
        <v>12745</v>
      </c>
      <c r="AE19" s="21">
        <f t="shared" si="7"/>
        <v>3.3255055446836268</v>
      </c>
      <c r="AF19" s="20">
        <f>SUM('[1]102559:092560'!R19)</f>
        <v>336990.4</v>
      </c>
      <c r="AG19" s="22">
        <f t="shared" si="8"/>
        <v>26.440988622989408</v>
      </c>
      <c r="AH19" s="24">
        <f>+'[1]092559'!S19</f>
        <v>101</v>
      </c>
      <c r="AI19" s="20">
        <f>+'[1]092560'!S19</f>
        <v>90</v>
      </c>
      <c r="AJ19" s="20">
        <f>SUM('[1]102559:092560'!T19)</f>
        <v>30195</v>
      </c>
      <c r="AK19" s="21">
        <f t="shared" si="9"/>
        <v>0.86624112457864155</v>
      </c>
      <c r="AL19" s="20">
        <f>SUM('[1]102559:092560'!U19)</f>
        <v>823205.9</v>
      </c>
      <c r="AM19" s="22">
        <f t="shared" si="17"/>
        <v>27.262987249544626</v>
      </c>
      <c r="AN19" s="24">
        <f>+'[1]092559'!V19</f>
        <v>15</v>
      </c>
      <c r="AO19" s="20">
        <f>+'[1]092560'!V19</f>
        <v>16</v>
      </c>
      <c r="AP19" s="20">
        <f>SUM('[1]102559:092560'!W19)</f>
        <v>11927</v>
      </c>
      <c r="AQ19" s="21">
        <f t="shared" si="10"/>
        <v>2.1081749889527175</v>
      </c>
      <c r="AR19" s="13">
        <f>SUM('[1]102559:092560'!X19)</f>
        <v>316862</v>
      </c>
      <c r="AS19" s="22">
        <f t="shared" si="18"/>
        <v>26.566781252620107</v>
      </c>
      <c r="AT19" s="24">
        <f>+'[1]092559'!Y19</f>
        <v>0</v>
      </c>
      <c r="AU19" s="20">
        <f>+'[1]092560'!Y19</f>
        <v>0</v>
      </c>
      <c r="AV19" s="20">
        <f>SUM('[1]102559:092560'!Z19)</f>
        <v>0</v>
      </c>
      <c r="AW19" s="21" t="e">
        <f t="shared" si="11"/>
        <v>#DIV/0!</v>
      </c>
      <c r="AX19" s="20">
        <f>SUM('[1]102559:092560'!AA19)</f>
        <v>0</v>
      </c>
      <c r="AY19" s="22" t="e">
        <f t="shared" si="12"/>
        <v>#DIV/0!</v>
      </c>
    </row>
    <row r="20" spans="1:51" x14ac:dyDescent="0.2">
      <c r="A20" s="9">
        <v>5511028</v>
      </c>
      <c r="B20" s="10">
        <v>2560</v>
      </c>
      <c r="C20" s="11" t="s">
        <v>106</v>
      </c>
      <c r="D20" s="19">
        <f>+'[1]092559'!D20</f>
        <v>14625</v>
      </c>
      <c r="E20" s="20">
        <f>+'[1]092560'!D20</f>
        <v>14921</v>
      </c>
      <c r="F20" s="20">
        <f>SUM('[1]102559:092560'!E20)</f>
        <v>3501054</v>
      </c>
      <c r="G20" s="21">
        <f t="shared" si="0"/>
        <v>0.64928780661499275</v>
      </c>
      <c r="H20" s="20">
        <f>SUM('[1]102559:092560'!F20)</f>
        <v>63710566.450000003</v>
      </c>
      <c r="I20" s="22">
        <f t="shared" si="1"/>
        <v>18.197538926848885</v>
      </c>
      <c r="J20" s="19">
        <f>+'[1]092559'!G20</f>
        <v>10969</v>
      </c>
      <c r="K20" s="20">
        <f>+'[1]092560'!G20</f>
        <v>11274</v>
      </c>
      <c r="L20" s="20">
        <f>SUM('[1]102559:092560'!H20)</f>
        <v>1842304</v>
      </c>
      <c r="M20" s="23">
        <f t="shared" si="2"/>
        <v>0.4538423970847531</v>
      </c>
      <c r="N20" s="20">
        <f>SUM('[1]102559:092560'!I20)</f>
        <v>25156192.100000001</v>
      </c>
      <c r="O20" s="22">
        <f t="shared" si="3"/>
        <v>13.654745416608769</v>
      </c>
      <c r="P20" s="24">
        <f>+'[1]092559'!J20</f>
        <v>233</v>
      </c>
      <c r="Q20" s="20">
        <f>+'[1]092560'!J20</f>
        <v>232</v>
      </c>
      <c r="R20" s="20">
        <f>SUM('[1]102559:092560'!K20)</f>
        <v>497556</v>
      </c>
      <c r="S20" s="21">
        <f t="shared" si="4"/>
        <v>5.8630844012372956</v>
      </c>
      <c r="T20" s="20">
        <f>SUM('[1]102559:092560'!L20)</f>
        <v>11001850.039999999</v>
      </c>
      <c r="U20" s="22">
        <f t="shared" si="16"/>
        <v>22.111782472726688</v>
      </c>
      <c r="V20" s="24">
        <f>+'[1]092559'!M20</f>
        <v>2273</v>
      </c>
      <c r="W20" s="20">
        <f>+'[1]092560'!M20</f>
        <v>2264</v>
      </c>
      <c r="X20" s="20">
        <f>SUM('[1]102559:092560'!N20)</f>
        <v>547064</v>
      </c>
      <c r="Y20" s="21">
        <f t="shared" si="5"/>
        <v>0.66070331913249059</v>
      </c>
      <c r="Z20" s="20">
        <f>SUM('[1]102559:092560'!O20)</f>
        <v>11199598.059999999</v>
      </c>
      <c r="AA20" s="22">
        <f t="shared" si="6"/>
        <v>20.472189835192953</v>
      </c>
      <c r="AB20" s="25">
        <f>+'[1]092559'!P20</f>
        <v>21</v>
      </c>
      <c r="AC20" s="20">
        <f>+'[1]092560'!P20</f>
        <v>21</v>
      </c>
      <c r="AD20" s="20">
        <f>SUM('[1]102559:092560'!Q20)</f>
        <v>16175</v>
      </c>
      <c r="AE20" s="21">
        <f t="shared" si="7"/>
        <v>2.1102413568166991</v>
      </c>
      <c r="AF20" s="20">
        <f>SUM('[1]102559:092560'!R20)</f>
        <v>426155.5</v>
      </c>
      <c r="AG20" s="22">
        <f t="shared" si="8"/>
        <v>26.346553323029365</v>
      </c>
      <c r="AH20" s="24">
        <f>+'[1]092559'!S20</f>
        <v>1069</v>
      </c>
      <c r="AI20" s="20">
        <f>+'[1]092560'!S20</f>
        <v>1073</v>
      </c>
      <c r="AJ20" s="20">
        <f>SUM('[1]102559:092560'!T20)</f>
        <v>560837</v>
      </c>
      <c r="AK20" s="21">
        <f t="shared" si="9"/>
        <v>1.4346776153383727</v>
      </c>
      <c r="AL20" s="20">
        <f>SUM('[1]102559:092560'!U20)</f>
        <v>14956759.999999998</v>
      </c>
      <c r="AM20" s="22">
        <f t="shared" si="17"/>
        <v>26.668639907852011</v>
      </c>
      <c r="AN20" s="24">
        <f>+'[1]092559'!V20</f>
        <v>60</v>
      </c>
      <c r="AO20" s="20">
        <f>+'[1]092560'!V20</f>
        <v>57</v>
      </c>
      <c r="AP20" s="20">
        <f>SUM('[1]102559:092560'!W20)</f>
        <v>37118</v>
      </c>
      <c r="AQ20" s="21">
        <f t="shared" si="10"/>
        <v>1.7383444561526753</v>
      </c>
      <c r="AR20" s="13">
        <f>SUM('[1]102559:092560'!X20)</f>
        <v>970010.75</v>
      </c>
      <c r="AS20" s="22">
        <f t="shared" si="18"/>
        <v>26.133163155342423</v>
      </c>
      <c r="AT20" s="24">
        <f>+'[1]092559'!Y20</f>
        <v>0</v>
      </c>
      <c r="AU20" s="20">
        <f>+'[1]092560'!Y20</f>
        <v>0</v>
      </c>
      <c r="AV20" s="20">
        <f>SUM('[1]102559:092560'!Z20)</f>
        <v>0</v>
      </c>
      <c r="AW20" s="21" t="e">
        <f t="shared" si="11"/>
        <v>#DIV/0!</v>
      </c>
      <c r="AX20" s="20">
        <f>SUM('[1]102559:092560'!AA20)</f>
        <v>0</v>
      </c>
      <c r="AY20" s="22" t="e">
        <f t="shared" si="12"/>
        <v>#DIV/0!</v>
      </c>
    </row>
    <row r="21" spans="1:51" x14ac:dyDescent="0.2">
      <c r="A21" s="9">
        <v>5511029</v>
      </c>
      <c r="B21" s="10">
        <v>2560</v>
      </c>
      <c r="C21" s="11" t="s">
        <v>106</v>
      </c>
      <c r="D21" s="19">
        <f>+'[1]092559'!D21</f>
        <v>4719</v>
      </c>
      <c r="E21" s="20">
        <f>+'[1]092560'!D21</f>
        <v>4937</v>
      </c>
      <c r="F21" s="20">
        <f>SUM('[1]102559:092560'!E21)</f>
        <v>939324</v>
      </c>
      <c r="G21" s="21">
        <f t="shared" si="0"/>
        <v>0.53303446788709696</v>
      </c>
      <c r="H21" s="20">
        <f>SUM('[1]102559:092560'!F21)</f>
        <v>17120336.629999999</v>
      </c>
      <c r="I21" s="22">
        <f t="shared" si="1"/>
        <v>18.226231449425331</v>
      </c>
      <c r="J21" s="19">
        <f>+'[1]092559'!G21</f>
        <v>3105</v>
      </c>
      <c r="K21" s="20">
        <f>+'[1]092560'!G21</f>
        <v>3334</v>
      </c>
      <c r="L21" s="20">
        <f>SUM('[1]102559:092560'!H21)</f>
        <v>464479</v>
      </c>
      <c r="M21" s="23">
        <f t="shared" si="2"/>
        <v>0.39526175042070261</v>
      </c>
      <c r="N21" s="20">
        <f>SUM('[1]102559:092560'!I21)</f>
        <v>6324818.4100000001</v>
      </c>
      <c r="O21" s="22">
        <f t="shared" si="3"/>
        <v>13.617016937256583</v>
      </c>
      <c r="P21" s="24">
        <f>+'[1]092559'!J21</f>
        <v>115</v>
      </c>
      <c r="Q21" s="20">
        <f>+'[1]092560'!J21</f>
        <v>113</v>
      </c>
      <c r="R21" s="20">
        <f>SUM('[1]102559:092560'!K21)</f>
        <v>150388</v>
      </c>
      <c r="S21" s="21">
        <f t="shared" si="4"/>
        <v>3.6142273491949051</v>
      </c>
      <c r="T21" s="20">
        <f>SUM('[1]102559:092560'!L21)</f>
        <v>3234478.5999999996</v>
      </c>
      <c r="U21" s="22">
        <f t="shared" si="16"/>
        <v>21.507557783865732</v>
      </c>
      <c r="V21" s="24">
        <f>+'[1]092559'!M21</f>
        <v>1272</v>
      </c>
      <c r="W21" s="20">
        <f>+'[1]092560'!M21</f>
        <v>1244</v>
      </c>
      <c r="X21" s="20">
        <f>SUM('[1]102559:092560'!N21)</f>
        <v>214913</v>
      </c>
      <c r="Y21" s="21">
        <f t="shared" si="5"/>
        <v>0.46804669294596768</v>
      </c>
      <c r="Z21" s="20">
        <f>SUM('[1]102559:092560'!O21)</f>
        <v>4653301.870000001</v>
      </c>
      <c r="AA21" s="22">
        <f t="shared" si="6"/>
        <v>21.652026029137378</v>
      </c>
      <c r="AB21" s="25">
        <f>+'[1]092559'!P21</f>
        <v>12</v>
      </c>
      <c r="AC21" s="20">
        <f>+'[1]092560'!P21</f>
        <v>13</v>
      </c>
      <c r="AD21" s="20">
        <f>SUM('[1]102559:092560'!Q21)</f>
        <v>5523</v>
      </c>
      <c r="AE21" s="21">
        <f t="shared" si="7"/>
        <v>1.2105205479452055</v>
      </c>
      <c r="AF21" s="20">
        <f>SUM('[1]102559:092560'!R21)</f>
        <v>144272.25</v>
      </c>
      <c r="AG21" s="22">
        <f t="shared" si="8"/>
        <v>26.122080391091799</v>
      </c>
      <c r="AH21" s="24">
        <f>+'[1]092559'!S21</f>
        <v>196</v>
      </c>
      <c r="AI21" s="20">
        <f>+'[1]092560'!S21</f>
        <v>214</v>
      </c>
      <c r="AJ21" s="20">
        <f>SUM('[1]102559:092560'!T21)</f>
        <v>94112</v>
      </c>
      <c r="AK21" s="21">
        <f t="shared" si="9"/>
        <v>1.2577614433678583</v>
      </c>
      <c r="AL21" s="20">
        <f>SUM('[1]102559:092560'!U21)</f>
        <v>2501608</v>
      </c>
      <c r="AM21" s="22">
        <f t="shared" si="17"/>
        <v>26.581179870792248</v>
      </c>
      <c r="AN21" s="24">
        <f>+'[1]092559'!V21</f>
        <v>19</v>
      </c>
      <c r="AO21" s="20">
        <f>+'[1]092560'!V21</f>
        <v>19</v>
      </c>
      <c r="AP21" s="20">
        <f>SUM('[1]102559:092560'!W21)</f>
        <v>9909</v>
      </c>
      <c r="AQ21" s="21">
        <f t="shared" si="10"/>
        <v>1.4288392213410237</v>
      </c>
      <c r="AR21" s="13">
        <f>SUM('[1]102559:092560'!X21)</f>
        <v>261857.5</v>
      </c>
      <c r="AS21" s="22">
        <f t="shared" si="18"/>
        <v>26.426228680997074</v>
      </c>
      <c r="AT21" s="24">
        <f>+'[1]092559'!Y21</f>
        <v>0</v>
      </c>
      <c r="AU21" s="20">
        <f>+'[1]092560'!Y21</f>
        <v>0</v>
      </c>
      <c r="AV21" s="20">
        <f>SUM('[1]102559:092560'!Z21)</f>
        <v>0</v>
      </c>
      <c r="AW21" s="21" t="e">
        <f t="shared" si="11"/>
        <v>#DIV/0!</v>
      </c>
      <c r="AX21" s="20">
        <f>SUM('[1]102559:092560'!AA21)</f>
        <v>0</v>
      </c>
      <c r="AY21" s="22" t="e">
        <f t="shared" si="12"/>
        <v>#DIV/0!</v>
      </c>
    </row>
    <row r="22" spans="1:51" x14ac:dyDescent="0.2">
      <c r="A22" s="9">
        <v>5511030</v>
      </c>
      <c r="B22" s="10">
        <v>2560</v>
      </c>
      <c r="C22" s="11" t="s">
        <v>106</v>
      </c>
      <c r="D22" s="19">
        <f>+'[1]092559'!D22</f>
        <v>20922</v>
      </c>
      <c r="E22" s="20">
        <f>+'[1]092560'!D22</f>
        <v>21959</v>
      </c>
      <c r="F22" s="20">
        <f>SUM('[1]102559:092560'!E22)</f>
        <v>4692173</v>
      </c>
      <c r="G22" s="21">
        <f t="shared" si="0"/>
        <v>0.59957876416831157</v>
      </c>
      <c r="H22" s="20">
        <f>SUM('[1]102559:092560'!F22)</f>
        <v>82239196.040000021</v>
      </c>
      <c r="I22" s="22">
        <f t="shared" si="1"/>
        <v>17.526889149227877</v>
      </c>
      <c r="J22" s="19">
        <f>+'[1]092559'!G22</f>
        <v>17543</v>
      </c>
      <c r="K22" s="20">
        <f>+'[1]092560'!G22</f>
        <v>18547</v>
      </c>
      <c r="L22" s="20">
        <f>SUM('[1]102559:092560'!H22)</f>
        <v>2807113</v>
      </c>
      <c r="M22" s="23">
        <f t="shared" si="2"/>
        <v>0.42619676076171825</v>
      </c>
      <c r="N22" s="20">
        <f>SUM('[1]102559:092560'!I22)</f>
        <v>37844571.890000001</v>
      </c>
      <c r="O22" s="22">
        <f t="shared" si="3"/>
        <v>13.481670274762719</v>
      </c>
      <c r="P22" s="24">
        <f>+'[1]092559'!J22</f>
        <v>255</v>
      </c>
      <c r="Q22" s="20">
        <f>+'[1]092560'!J22</f>
        <v>247</v>
      </c>
      <c r="R22" s="20">
        <f>SUM('[1]102559:092560'!K22)</f>
        <v>678942</v>
      </c>
      <c r="S22" s="21">
        <f t="shared" si="4"/>
        <v>7.4108170059488074</v>
      </c>
      <c r="T22" s="20">
        <f>SUM('[1]102559:092560'!L22)</f>
        <v>15436429.979999997</v>
      </c>
      <c r="U22" s="22">
        <f t="shared" si="16"/>
        <v>22.736006875403195</v>
      </c>
      <c r="V22" s="24">
        <f>+'[1]092559'!M22</f>
        <v>2196</v>
      </c>
      <c r="W22" s="20">
        <f>+'[1]092560'!M22</f>
        <v>2293</v>
      </c>
      <c r="X22" s="20">
        <f>SUM('[1]102559:092560'!N22)</f>
        <v>582579</v>
      </c>
      <c r="Y22" s="21">
        <f t="shared" si="5"/>
        <v>0.71111911308312259</v>
      </c>
      <c r="Z22" s="20">
        <f>SUM('[1]102559:092560'!O22)</f>
        <v>11885417.619999999</v>
      </c>
      <c r="AA22" s="22">
        <f t="shared" si="6"/>
        <v>20.401383537683301</v>
      </c>
      <c r="AB22" s="25">
        <f>+'[1]092559'!P22</f>
        <v>22</v>
      </c>
      <c r="AC22" s="20">
        <f>+'[1]092560'!P22</f>
        <v>22</v>
      </c>
      <c r="AD22" s="20">
        <f>SUM('[1]102559:092560'!Q22)</f>
        <v>22096</v>
      </c>
      <c r="AE22" s="21">
        <f t="shared" si="7"/>
        <v>2.7516811955168121</v>
      </c>
      <c r="AF22" s="20">
        <f>SUM('[1]102559:092560'!R22)</f>
        <v>606630.25</v>
      </c>
      <c r="AG22" s="22">
        <f t="shared" si="8"/>
        <v>27.454301683562637</v>
      </c>
      <c r="AH22" s="24">
        <f>+'[1]092559'!S22</f>
        <v>856</v>
      </c>
      <c r="AI22" s="20">
        <f>+'[1]092560'!S22</f>
        <v>773</v>
      </c>
      <c r="AJ22" s="20">
        <f>SUM('[1]102559:092560'!T22)</f>
        <v>469407</v>
      </c>
      <c r="AK22" s="21">
        <f t="shared" si="9"/>
        <v>1.5789399328943716</v>
      </c>
      <c r="AL22" s="20">
        <f>SUM('[1]102559:092560'!U22)</f>
        <v>12733929.200000003</v>
      </c>
      <c r="AM22" s="22">
        <f t="shared" si="17"/>
        <v>27.127693451525015</v>
      </c>
      <c r="AN22" s="24">
        <f>+'[1]092559'!V22</f>
        <v>50</v>
      </c>
      <c r="AO22" s="20">
        <f>+'[1]092560'!V22</f>
        <v>77</v>
      </c>
      <c r="AP22" s="20">
        <f>SUM('[1]102559:092560'!W22)</f>
        <v>132036</v>
      </c>
      <c r="AQ22" s="21">
        <f t="shared" si="10"/>
        <v>5.69673174414842</v>
      </c>
      <c r="AR22" s="13">
        <f>SUM('[1]102559:092560'!X22)</f>
        <v>3732217.0999999996</v>
      </c>
      <c r="AS22" s="22">
        <f t="shared" si="18"/>
        <v>28.266662879820654</v>
      </c>
      <c r="AT22" s="24">
        <f>+'[1]092559'!Y22</f>
        <v>0</v>
      </c>
      <c r="AU22" s="20">
        <f>+'[1]092560'!Y22</f>
        <v>0</v>
      </c>
      <c r="AV22" s="20">
        <f>SUM('[1]102559:092560'!Z22)</f>
        <v>0</v>
      </c>
      <c r="AW22" s="21" t="e">
        <f t="shared" si="11"/>
        <v>#DIV/0!</v>
      </c>
      <c r="AX22" s="20">
        <f>SUM('[1]102559:092560'!AA22)</f>
        <v>0</v>
      </c>
      <c r="AY22" s="22" t="e">
        <f t="shared" si="12"/>
        <v>#DIV/0!</v>
      </c>
    </row>
    <row r="23" spans="1:51" x14ac:dyDescent="0.2">
      <c r="A23" s="9">
        <v>5511031</v>
      </c>
      <c r="B23" s="10">
        <v>2560</v>
      </c>
      <c r="C23" s="11" t="s">
        <v>106</v>
      </c>
      <c r="D23" s="19">
        <f>+'[1]092559'!D23</f>
        <v>5901</v>
      </c>
      <c r="E23" s="20">
        <f>+'[1]092560'!D23</f>
        <v>6166</v>
      </c>
      <c r="F23" s="20">
        <f>SUM('[1]102559:092560'!E23)</f>
        <v>1014741</v>
      </c>
      <c r="G23" s="21">
        <f t="shared" si="0"/>
        <v>0.46077936997880553</v>
      </c>
      <c r="H23" s="20">
        <f>SUM('[1]102559:092560'!F23)</f>
        <v>17640478.93</v>
      </c>
      <c r="I23" s="22">
        <f t="shared" si="1"/>
        <v>17.384218169956668</v>
      </c>
      <c r="J23" s="19">
        <f>+'[1]092559'!G23</f>
        <v>4322</v>
      </c>
      <c r="K23" s="20">
        <f>+'[1]092560'!G23</f>
        <v>4556</v>
      </c>
      <c r="L23" s="20">
        <f>SUM('[1]102559:092560'!H23)</f>
        <v>545917</v>
      </c>
      <c r="M23" s="23">
        <f t="shared" si="2"/>
        <v>0.33693692581631679</v>
      </c>
      <c r="N23" s="20">
        <f>SUM('[1]102559:092560'!I23)</f>
        <v>6856312.1399999997</v>
      </c>
      <c r="O23" s="22">
        <f t="shared" si="3"/>
        <v>12.559257432906467</v>
      </c>
      <c r="P23" s="24">
        <f>+'[1]092559'!J23</f>
        <v>97</v>
      </c>
      <c r="Q23" s="20">
        <f>+'[1]092560'!J23</f>
        <v>99</v>
      </c>
      <c r="R23" s="20">
        <f>SUM('[1]102559:092560'!K23)</f>
        <v>130610</v>
      </c>
      <c r="S23" s="21">
        <f t="shared" si="4"/>
        <v>3.651383841207716</v>
      </c>
      <c r="T23" s="20">
        <f>SUM('[1]102559:092560'!L23)</f>
        <v>2989341.35</v>
      </c>
      <c r="U23" s="22">
        <f t="shared" si="16"/>
        <v>22.887538090498431</v>
      </c>
      <c r="V23" s="24">
        <f>+'[1]092559'!M23</f>
        <v>1097</v>
      </c>
      <c r="W23" s="20">
        <f>+'[1]092560'!M23</f>
        <v>1126</v>
      </c>
      <c r="X23" s="20">
        <f>SUM('[1]102559:092560'!N23)</f>
        <v>204095</v>
      </c>
      <c r="Y23" s="21">
        <f t="shared" si="5"/>
        <v>0.50307187005096166</v>
      </c>
      <c r="Z23" s="20">
        <f>SUM('[1]102559:092560'!O23)</f>
        <v>4186384.5399999996</v>
      </c>
      <c r="AA23" s="22">
        <f t="shared" si="6"/>
        <v>20.511940713883238</v>
      </c>
      <c r="AB23" s="25">
        <f>+'[1]092559'!P23</f>
        <v>20</v>
      </c>
      <c r="AC23" s="20">
        <f>+'[1]092560'!P23</f>
        <v>20</v>
      </c>
      <c r="AD23" s="20">
        <f>SUM('[1]102559:092560'!Q23)</f>
        <v>9215</v>
      </c>
      <c r="AE23" s="21">
        <f t="shared" si="7"/>
        <v>1.2623287671232877</v>
      </c>
      <c r="AF23" s="20">
        <f>SUM('[1]102559:092560'!R23)</f>
        <v>237174.75</v>
      </c>
      <c r="AG23" s="22">
        <f t="shared" si="8"/>
        <v>25.737900162778079</v>
      </c>
      <c r="AH23" s="24">
        <f>+'[1]092559'!S23</f>
        <v>356</v>
      </c>
      <c r="AI23" s="20">
        <f>+'[1]092560'!S23</f>
        <v>356</v>
      </c>
      <c r="AJ23" s="20">
        <f>SUM('[1]102559:092560'!T23)</f>
        <v>112076</v>
      </c>
      <c r="AK23" s="21">
        <f t="shared" si="9"/>
        <v>0.86252116361397568</v>
      </c>
      <c r="AL23" s="20">
        <f>SUM('[1]102559:092560'!U23)</f>
        <v>3023132.6500000004</v>
      </c>
      <c r="AM23" s="22">
        <f t="shared" si="17"/>
        <v>26.973952050394377</v>
      </c>
      <c r="AN23" s="24">
        <f>+'[1]092559'!V23</f>
        <v>9</v>
      </c>
      <c r="AO23" s="20">
        <f>+'[1]092560'!V23</f>
        <v>9</v>
      </c>
      <c r="AP23" s="20">
        <f>SUM('[1]102559:092560'!W23)</f>
        <v>12828</v>
      </c>
      <c r="AQ23" s="21">
        <f t="shared" si="10"/>
        <v>3.905022831050228</v>
      </c>
      <c r="AR23" s="13">
        <f>SUM('[1]102559:092560'!X23)</f>
        <v>348133.5</v>
      </c>
      <c r="AS23" s="22">
        <f t="shared" si="18"/>
        <v>27.13856407857811</v>
      </c>
      <c r="AT23" s="24">
        <f>+'[1]092559'!Y23</f>
        <v>0</v>
      </c>
      <c r="AU23" s="20">
        <f>+'[1]092560'!Y23</f>
        <v>0</v>
      </c>
      <c r="AV23" s="20">
        <f>SUM('[1]102559:092560'!Z23)</f>
        <v>0</v>
      </c>
      <c r="AW23" s="21" t="e">
        <f t="shared" si="11"/>
        <v>#DIV/0!</v>
      </c>
      <c r="AX23" s="20">
        <f>SUM('[1]102559:092560'!AA23)</f>
        <v>0</v>
      </c>
      <c r="AY23" s="22" t="e">
        <f t="shared" si="12"/>
        <v>#DIV/0!</v>
      </c>
    </row>
    <row r="24" spans="1:51" x14ac:dyDescent="0.2">
      <c r="A24" s="9">
        <v>5511032</v>
      </c>
      <c r="B24" s="10">
        <v>2560</v>
      </c>
      <c r="C24" s="11" t="s">
        <v>106</v>
      </c>
      <c r="D24" s="19">
        <f>+'[1]092559'!D24</f>
        <v>27714</v>
      </c>
      <c r="E24" s="20">
        <f>+'[1]092560'!D24</f>
        <v>29284</v>
      </c>
      <c r="F24" s="20">
        <f>SUM('[1]102559:092560'!E24)</f>
        <v>7423309</v>
      </c>
      <c r="G24" s="21">
        <f t="shared" si="0"/>
        <v>0.71363321087449838</v>
      </c>
      <c r="H24" s="20">
        <f>SUM('[1]102559:092560'!F24)</f>
        <v>140843685.99000001</v>
      </c>
      <c r="I24" s="22">
        <f t="shared" si="1"/>
        <v>18.97316762511166</v>
      </c>
      <c r="J24" s="19">
        <f>+'[1]092559'!G24</f>
        <v>21399</v>
      </c>
      <c r="K24" s="20">
        <f>+'[1]092560'!G24</f>
        <v>22499</v>
      </c>
      <c r="L24" s="20">
        <f>SUM('[1]102559:092560'!H24)</f>
        <v>3786169</v>
      </c>
      <c r="M24" s="23">
        <f t="shared" si="2"/>
        <v>0.4725985581768945</v>
      </c>
      <c r="N24" s="20">
        <f>SUM('[1]102559:092560'!I24)</f>
        <v>54334782.819999993</v>
      </c>
      <c r="O24" s="22">
        <f t="shared" si="3"/>
        <v>14.350860413256775</v>
      </c>
      <c r="P24" s="24">
        <f>+'[1]092559'!J24</f>
        <v>381</v>
      </c>
      <c r="Q24" s="20">
        <f>+'[1]092560'!J24</f>
        <v>384</v>
      </c>
      <c r="R24" s="20">
        <f>SUM('[1]102559:092560'!K24)</f>
        <v>1015672</v>
      </c>
      <c r="S24" s="21">
        <f t="shared" si="4"/>
        <v>7.2749359835258298</v>
      </c>
      <c r="T24" s="20">
        <f>SUM('[1]102559:092560'!L24)</f>
        <v>22608747.759999998</v>
      </c>
      <c r="U24" s="22">
        <f t="shared" si="16"/>
        <v>22.259890752132577</v>
      </c>
      <c r="V24" s="24">
        <f>+'[1]092559'!M24</f>
        <v>4208</v>
      </c>
      <c r="W24" s="20">
        <f>+'[1]092560'!M24</f>
        <v>4680</v>
      </c>
      <c r="X24" s="20">
        <f>SUM('[1]102559:092560'!N24)</f>
        <v>1334511</v>
      </c>
      <c r="Y24" s="21">
        <f t="shared" si="5"/>
        <v>0.82272603972726033</v>
      </c>
      <c r="Z24" s="20">
        <f>SUM('[1]102559:092560'!O24)</f>
        <v>28203750.759999998</v>
      </c>
      <c r="AA24" s="22">
        <f t="shared" si="6"/>
        <v>21.13414633524939</v>
      </c>
      <c r="AB24" s="25">
        <f>+'[1]092559'!P24</f>
        <v>45</v>
      </c>
      <c r="AC24" s="20">
        <f>+'[1]092560'!P24</f>
        <v>44</v>
      </c>
      <c r="AD24" s="20">
        <f>SUM('[1]102559:092560'!Q24)</f>
        <v>22944</v>
      </c>
      <c r="AE24" s="21">
        <f t="shared" si="7"/>
        <v>1.4125904263506235</v>
      </c>
      <c r="AF24" s="20">
        <f>SUM('[1]102559:092560'!R24)</f>
        <v>613500.5</v>
      </c>
      <c r="AG24" s="22">
        <f t="shared" si="8"/>
        <v>26.739038528591355</v>
      </c>
      <c r="AH24" s="24">
        <f>+'[1]092559'!S24</f>
        <v>1634</v>
      </c>
      <c r="AI24" s="20">
        <f>+'[1]092560'!S24</f>
        <v>1621</v>
      </c>
      <c r="AJ24" s="20">
        <f>SUM('[1]102559:092560'!T24)</f>
        <v>1216671</v>
      </c>
      <c r="AK24" s="21">
        <f t="shared" si="9"/>
        <v>2.0481383751025821</v>
      </c>
      <c r="AL24" s="20">
        <f>SUM('[1]102559:092560'!U24)</f>
        <v>33777669.299999997</v>
      </c>
      <c r="AM24" s="22">
        <f t="shared" si="17"/>
        <v>27.76236903813767</v>
      </c>
      <c r="AN24" s="24">
        <f>+'[1]092559'!V24</f>
        <v>47</v>
      </c>
      <c r="AO24" s="20">
        <f>+'[1]092560'!V24</f>
        <v>56</v>
      </c>
      <c r="AP24" s="20">
        <f>SUM('[1]102559:092560'!W24)</f>
        <v>47342</v>
      </c>
      <c r="AQ24" s="21">
        <f t="shared" si="10"/>
        <v>2.5185263997872056</v>
      </c>
      <c r="AR24" s="13">
        <f>SUM('[1]102559:092560'!X24)</f>
        <v>1305234.8500000001</v>
      </c>
      <c r="AS24" s="22">
        <f t="shared" si="18"/>
        <v>27.570336065227494</v>
      </c>
      <c r="AT24" s="24">
        <f>+'[1]092559'!Y24</f>
        <v>0</v>
      </c>
      <c r="AU24" s="20">
        <f>+'[1]092560'!Y24</f>
        <v>0</v>
      </c>
      <c r="AV24" s="20">
        <f>SUM('[1]102559:092560'!Z24)</f>
        <v>0</v>
      </c>
      <c r="AW24" s="21" t="e">
        <f t="shared" si="11"/>
        <v>#DIV/0!</v>
      </c>
      <c r="AX24" s="20">
        <f>SUM('[1]102559:092560'!AA24)</f>
        <v>0</v>
      </c>
      <c r="AY24" s="22" t="e">
        <f t="shared" si="12"/>
        <v>#DIV/0!</v>
      </c>
    </row>
    <row r="25" spans="1:51" x14ac:dyDescent="0.2">
      <c r="A25" s="9">
        <v>5511033</v>
      </c>
      <c r="B25" s="10">
        <v>2560</v>
      </c>
      <c r="C25" s="11" t="s">
        <v>106</v>
      </c>
      <c r="D25" s="19">
        <f>+'[1]092559'!D25</f>
        <v>6969</v>
      </c>
      <c r="E25" s="20">
        <f>+'[1]092560'!D25</f>
        <v>7473</v>
      </c>
      <c r="F25" s="20">
        <f>SUM('[1]102559:092560'!E25)</f>
        <v>1187814</v>
      </c>
      <c r="G25" s="21">
        <f t="shared" si="0"/>
        <v>0.45066956536585645</v>
      </c>
      <c r="H25" s="20">
        <f>SUM('[1]102559:092560'!F25)</f>
        <v>18844766.27</v>
      </c>
      <c r="I25" s="22">
        <f t="shared" si="1"/>
        <v>15.865081797318435</v>
      </c>
      <c r="J25" s="19">
        <f>+'[1]092559'!G25</f>
        <v>5854</v>
      </c>
      <c r="K25" s="20">
        <f>+'[1]092560'!G25</f>
        <v>6369</v>
      </c>
      <c r="L25" s="20">
        <f>SUM('[1]102559:092560'!H25)</f>
        <v>848996</v>
      </c>
      <c r="M25" s="23">
        <f t="shared" si="2"/>
        <v>0.38059665194406683</v>
      </c>
      <c r="N25" s="20">
        <f>SUM('[1]102559:092560'!I25)</f>
        <v>11208973.92</v>
      </c>
      <c r="O25" s="22">
        <f t="shared" si="3"/>
        <v>13.202622768540722</v>
      </c>
      <c r="P25" s="24">
        <f>+'[1]092559'!J25</f>
        <v>75</v>
      </c>
      <c r="Q25" s="20">
        <f>+'[1]092560'!J25</f>
        <v>83</v>
      </c>
      <c r="R25" s="20">
        <f>SUM('[1]102559:092560'!K25)</f>
        <v>57274</v>
      </c>
      <c r="S25" s="21">
        <f t="shared" si="4"/>
        <v>1.9862666897867176</v>
      </c>
      <c r="T25" s="20">
        <f>SUM('[1]102559:092560'!L25)</f>
        <v>1223476.0500000003</v>
      </c>
      <c r="U25" s="22">
        <f t="shared" si="16"/>
        <v>21.361805531305659</v>
      </c>
      <c r="V25" s="24">
        <f>+'[1]092559'!M25</f>
        <v>806</v>
      </c>
      <c r="W25" s="20">
        <f>+'[1]092560'!M25</f>
        <v>799</v>
      </c>
      <c r="X25" s="20">
        <f>SUM('[1]102559:092560'!N25)</f>
        <v>184490</v>
      </c>
      <c r="Y25" s="21">
        <f t="shared" si="5"/>
        <v>0.62984679725173898</v>
      </c>
      <c r="Z25" s="20">
        <f>SUM('[1]102559:092560'!O25)</f>
        <v>3810563.9499999993</v>
      </c>
      <c r="AA25" s="22">
        <f t="shared" si="6"/>
        <v>20.654582633205049</v>
      </c>
      <c r="AB25" s="25">
        <f>+'[1]092559'!P25</f>
        <v>12</v>
      </c>
      <c r="AC25" s="20">
        <f>+'[1]092560'!P25</f>
        <v>12</v>
      </c>
      <c r="AD25" s="20">
        <f>SUM('[1]102559:092560'!Q25)</f>
        <v>4965</v>
      </c>
      <c r="AE25" s="21">
        <f t="shared" si="7"/>
        <v>1.1335616438356164</v>
      </c>
      <c r="AF25" s="20">
        <f>SUM('[1]102559:092560'!R25)</f>
        <v>135051.5</v>
      </c>
      <c r="AG25" s="22">
        <f t="shared" si="8"/>
        <v>27.200704934541793</v>
      </c>
      <c r="AH25" s="24">
        <f>+'[1]092559'!S25</f>
        <v>215</v>
      </c>
      <c r="AI25" s="20">
        <f>+'[1]092560'!S25</f>
        <v>202</v>
      </c>
      <c r="AJ25" s="20">
        <f>SUM('[1]102559:092560'!T25)</f>
        <v>77474</v>
      </c>
      <c r="AK25" s="21">
        <f t="shared" si="9"/>
        <v>1.0180217469859729</v>
      </c>
      <c r="AL25" s="20">
        <f>SUM('[1]102559:092560'!U25)</f>
        <v>2045276.75</v>
      </c>
      <c r="AM25" s="22">
        <f t="shared" si="17"/>
        <v>26.399524356558331</v>
      </c>
      <c r="AN25" s="24">
        <f>+'[1]092559'!V25</f>
        <v>7</v>
      </c>
      <c r="AO25" s="20">
        <f>+'[1]092560'!V25</f>
        <v>8</v>
      </c>
      <c r="AP25" s="20">
        <f>SUM('[1]102559:092560'!W25)</f>
        <v>14615</v>
      </c>
      <c r="AQ25" s="21">
        <f t="shared" si="10"/>
        <v>5.3388127853881278</v>
      </c>
      <c r="AR25" s="13">
        <f>SUM('[1]102559:092560'!X25)</f>
        <v>421424.1</v>
      </c>
      <c r="AS25" s="22">
        <f t="shared" si="18"/>
        <v>28.835039343140608</v>
      </c>
      <c r="AT25" s="24">
        <f>+'[1]092559'!Y25</f>
        <v>0</v>
      </c>
      <c r="AU25" s="20">
        <f>+'[1]092560'!Y25</f>
        <v>0</v>
      </c>
      <c r="AV25" s="20">
        <f>SUM('[1]102559:092560'!Z25)</f>
        <v>0</v>
      </c>
      <c r="AW25" s="21" t="e">
        <f t="shared" si="11"/>
        <v>#DIV/0!</v>
      </c>
      <c r="AX25" s="20">
        <f>SUM('[1]102559:092560'!AA25)</f>
        <v>0</v>
      </c>
      <c r="AY25" s="22" t="e">
        <f t="shared" si="12"/>
        <v>#DIV/0!</v>
      </c>
    </row>
    <row r="26" spans="1:51" x14ac:dyDescent="0.2">
      <c r="A26" s="9">
        <v>5511034</v>
      </c>
      <c r="B26" s="10">
        <v>2560</v>
      </c>
      <c r="C26" s="11" t="s">
        <v>106</v>
      </c>
      <c r="D26" s="19">
        <f>+'[1]092559'!D26</f>
        <v>2239</v>
      </c>
      <c r="E26" s="20">
        <f>+'[1]092560'!D26</f>
        <v>2330</v>
      </c>
      <c r="F26" s="20">
        <f>SUM('[1]102559:092560'!E26)</f>
        <v>507576</v>
      </c>
      <c r="G26" s="21">
        <f t="shared" si="0"/>
        <v>0.60871927252448754</v>
      </c>
      <c r="H26" s="20">
        <f>SUM('[1]102559:092560'!F26)</f>
        <v>9217040.2300000004</v>
      </c>
      <c r="I26" s="22">
        <f t="shared" si="1"/>
        <v>18.158936257821491</v>
      </c>
      <c r="J26" s="19">
        <f>+'[1]092559'!G26</f>
        <v>1528</v>
      </c>
      <c r="K26" s="20">
        <f>+'[1]092560'!G26</f>
        <v>1579</v>
      </c>
      <c r="L26" s="20">
        <f>SUM('[1]102559:092560'!H26)</f>
        <v>235285</v>
      </c>
      <c r="M26" s="23">
        <f t="shared" si="2"/>
        <v>0.41494460145231049</v>
      </c>
      <c r="N26" s="20">
        <f>SUM('[1]102559:092560'!I26)</f>
        <v>3256692.5800000005</v>
      </c>
      <c r="O26" s="22">
        <f t="shared" si="3"/>
        <v>13.841479822343118</v>
      </c>
      <c r="P26" s="24">
        <f>+'[1]092559'!J26</f>
        <v>59</v>
      </c>
      <c r="Q26" s="20">
        <f>+'[1]092560'!J26</f>
        <v>60</v>
      </c>
      <c r="R26" s="20">
        <f>SUM('[1]102559:092560'!K26)</f>
        <v>105633</v>
      </c>
      <c r="S26" s="21">
        <f t="shared" si="4"/>
        <v>4.8639576378496603</v>
      </c>
      <c r="T26" s="20">
        <f>SUM('[1]102559:092560'!L26)</f>
        <v>2271424.5499999998</v>
      </c>
      <c r="U26" s="22">
        <f t="shared" si="16"/>
        <v>21.5029824960003</v>
      </c>
      <c r="V26" s="24">
        <f>+'[1]092559'!M26</f>
        <v>490</v>
      </c>
      <c r="W26" s="20">
        <f>+'[1]092560'!M26</f>
        <v>525</v>
      </c>
      <c r="X26" s="20">
        <f>SUM('[1]102559:092560'!N26)</f>
        <v>113362</v>
      </c>
      <c r="Y26" s="21">
        <f t="shared" si="5"/>
        <v>0.6119819151089817</v>
      </c>
      <c r="Z26" s="20">
        <f>SUM('[1]102559:092560'!O26)</f>
        <v>2277087.4000000004</v>
      </c>
      <c r="AA26" s="22">
        <f t="shared" si="6"/>
        <v>20.086866851325844</v>
      </c>
      <c r="AB26" s="25">
        <f>+'[1]092559'!P26</f>
        <v>13</v>
      </c>
      <c r="AC26" s="20">
        <f>+'[1]092560'!P26</f>
        <v>12</v>
      </c>
      <c r="AD26" s="20">
        <f>SUM('[1]102559:092560'!Q26)</f>
        <v>5289</v>
      </c>
      <c r="AE26" s="21">
        <f t="shared" si="7"/>
        <v>1.1592328767123288</v>
      </c>
      <c r="AF26" s="20">
        <f>SUM('[1]102559:092560'!R26)</f>
        <v>132651</v>
      </c>
      <c r="AG26" s="22">
        <f t="shared" si="8"/>
        <v>25.080544526375498</v>
      </c>
      <c r="AH26" s="24">
        <f>+'[1]092559'!S26</f>
        <v>148</v>
      </c>
      <c r="AI26" s="20">
        <f>+'[1]092560'!S26</f>
        <v>152</v>
      </c>
      <c r="AJ26" s="20">
        <f>SUM('[1]102559:092560'!T26)</f>
        <v>47365</v>
      </c>
      <c r="AK26" s="21">
        <f t="shared" si="9"/>
        <v>0.86511415525114155</v>
      </c>
      <c r="AL26" s="20">
        <f>SUM('[1]102559:092560'!U26)</f>
        <v>1264042.2</v>
      </c>
      <c r="AM26" s="22">
        <f t="shared" si="17"/>
        <v>26.68726274675393</v>
      </c>
      <c r="AN26" s="24">
        <f>+'[1]092559'!V26</f>
        <v>1</v>
      </c>
      <c r="AO26" s="20">
        <f>+'[1]092560'!V26</f>
        <v>2</v>
      </c>
      <c r="AP26" s="20">
        <f>SUM('[1]102559:092560'!W26)</f>
        <v>642</v>
      </c>
      <c r="AQ26" s="21">
        <f t="shared" si="10"/>
        <v>1.1726027397260275</v>
      </c>
      <c r="AR26" s="13">
        <f>SUM('[1]102559:092560'!X26)</f>
        <v>15142.5</v>
      </c>
      <c r="AS26" s="22">
        <f t="shared" si="18"/>
        <v>23.58644859813084</v>
      </c>
      <c r="AT26" s="24">
        <f>+'[1]092559'!Y26</f>
        <v>0</v>
      </c>
      <c r="AU26" s="20">
        <f>+'[1]092560'!Y26</f>
        <v>0</v>
      </c>
      <c r="AV26" s="20">
        <f>SUM('[1]102559:092560'!Z26)</f>
        <v>0</v>
      </c>
      <c r="AW26" s="21" t="e">
        <f t="shared" si="11"/>
        <v>#DIV/0!</v>
      </c>
      <c r="AX26" s="20">
        <f>SUM('[1]102559:092560'!AA26)</f>
        <v>0</v>
      </c>
      <c r="AY26" s="22" t="e">
        <f t="shared" si="12"/>
        <v>#DIV/0!</v>
      </c>
    </row>
    <row r="27" spans="1:51" x14ac:dyDescent="0.2">
      <c r="A27" s="9">
        <v>5511035</v>
      </c>
      <c r="B27" s="10">
        <v>2560</v>
      </c>
      <c r="C27" s="11" t="s">
        <v>106</v>
      </c>
      <c r="D27" s="19">
        <f>+'[1]092559'!D27</f>
        <v>3544</v>
      </c>
      <c r="E27" s="20">
        <f>+'[1]092560'!D27</f>
        <v>3744</v>
      </c>
      <c r="F27" s="20">
        <f>SUM('[1]102559:092560'!E27)</f>
        <v>753527</v>
      </c>
      <c r="G27" s="21">
        <f t="shared" si="0"/>
        <v>0.56653609611596467</v>
      </c>
      <c r="H27" s="20">
        <f>SUM('[1]102559:092560'!F27)</f>
        <v>13064557.759999998</v>
      </c>
      <c r="I27" s="22">
        <f t="shared" si="1"/>
        <v>17.337876094685392</v>
      </c>
      <c r="J27" s="19">
        <f>+'[1]092559'!G27</f>
        <v>2813</v>
      </c>
      <c r="K27" s="20">
        <f>+'[1]092560'!G27</f>
        <v>3000</v>
      </c>
      <c r="L27" s="20">
        <f>SUM('[1]102559:092560'!H27)</f>
        <v>455013</v>
      </c>
      <c r="M27" s="23">
        <f t="shared" si="2"/>
        <v>0.42890451020268694</v>
      </c>
      <c r="N27" s="20">
        <f>SUM('[1]102559:092560'!I27)</f>
        <v>6219192.9100000001</v>
      </c>
      <c r="O27" s="22">
        <f t="shared" si="3"/>
        <v>13.6681653271445</v>
      </c>
      <c r="P27" s="24">
        <f>+'[1]092559'!J27</f>
        <v>78</v>
      </c>
      <c r="Q27" s="20">
        <f>+'[1]092560'!J27</f>
        <v>74</v>
      </c>
      <c r="R27" s="20">
        <f>SUM('[1]102559:092560'!K27)</f>
        <v>56881</v>
      </c>
      <c r="S27" s="21">
        <f t="shared" si="4"/>
        <v>2.0505046863734679</v>
      </c>
      <c r="T27" s="20">
        <f>SUM('[1]102559:092560'!L27)</f>
        <v>1205842.45</v>
      </c>
      <c r="U27" s="22">
        <f t="shared" si="16"/>
        <v>21.199389075438194</v>
      </c>
      <c r="V27" s="24">
        <f>+'[1]092559'!M27</f>
        <v>397</v>
      </c>
      <c r="W27" s="20">
        <f>+'[1]092560'!M27</f>
        <v>422</v>
      </c>
      <c r="X27" s="20">
        <f>SUM('[1]102559:092560'!N27)</f>
        <v>110313</v>
      </c>
      <c r="Y27" s="21">
        <f t="shared" si="5"/>
        <v>0.73804004214963115</v>
      </c>
      <c r="Z27" s="20">
        <f>SUM('[1]102559:092560'!O27)</f>
        <v>2178766.3499999996</v>
      </c>
      <c r="AA27" s="22">
        <f t="shared" si="6"/>
        <v>19.750766908705227</v>
      </c>
      <c r="AB27" s="25">
        <f>+'[1]092559'!P27</f>
        <v>10</v>
      </c>
      <c r="AC27" s="20">
        <f>+'[1]092560'!P27</f>
        <v>10</v>
      </c>
      <c r="AD27" s="20">
        <f>SUM('[1]102559:092560'!Q27)</f>
        <v>4721</v>
      </c>
      <c r="AE27" s="21">
        <f t="shared" si="7"/>
        <v>1.2934246575342467</v>
      </c>
      <c r="AF27" s="20">
        <f>SUM('[1]102559:092560'!R27)</f>
        <v>120413.5</v>
      </c>
      <c r="AG27" s="22">
        <f t="shared" si="8"/>
        <v>25.505930946833299</v>
      </c>
      <c r="AH27" s="24">
        <f>+'[1]092559'!S27</f>
        <v>244</v>
      </c>
      <c r="AI27" s="20">
        <f>+'[1]092560'!S27</f>
        <v>233</v>
      </c>
      <c r="AJ27" s="20">
        <f>SUM('[1]102559:092560'!T27)</f>
        <v>122874</v>
      </c>
      <c r="AK27" s="21">
        <f t="shared" si="9"/>
        <v>1.411493064530025</v>
      </c>
      <c r="AL27" s="20">
        <f>SUM('[1]102559:092560'!U27)</f>
        <v>3243658.1999999997</v>
      </c>
      <c r="AM27" s="22">
        <f t="shared" si="17"/>
        <v>26.398246984716049</v>
      </c>
      <c r="AN27" s="24">
        <f>+'[1]092559'!V27</f>
        <v>2</v>
      </c>
      <c r="AO27" s="20">
        <f>+'[1]092560'!V27</f>
        <v>5</v>
      </c>
      <c r="AP27" s="20">
        <f>SUM('[1]102559:092560'!W27)</f>
        <v>3725</v>
      </c>
      <c r="AQ27" s="21">
        <f t="shared" si="10"/>
        <v>2.9158512720156553</v>
      </c>
      <c r="AR27" s="13">
        <f>SUM('[1]102559:092560'!X27)</f>
        <v>96684.35</v>
      </c>
      <c r="AS27" s="22">
        <f t="shared" si="18"/>
        <v>25.955530201342285</v>
      </c>
      <c r="AT27" s="24">
        <f>+'[1]092559'!Y27</f>
        <v>0</v>
      </c>
      <c r="AU27" s="20">
        <f>+'[1]092560'!Y27</f>
        <v>0</v>
      </c>
      <c r="AV27" s="20">
        <f>SUM('[1]102559:092560'!Z27)</f>
        <v>0</v>
      </c>
      <c r="AW27" s="21" t="e">
        <f t="shared" si="11"/>
        <v>#DIV/0!</v>
      </c>
      <c r="AX27" s="20">
        <f>SUM('[1]102559:092560'!AA27)</f>
        <v>0</v>
      </c>
      <c r="AY27" s="22" t="e">
        <f t="shared" si="12"/>
        <v>#DIV/0!</v>
      </c>
    </row>
    <row r="28" spans="1:51" x14ac:dyDescent="0.2">
      <c r="A28" s="9">
        <v>5511036</v>
      </c>
      <c r="B28" s="10">
        <v>2560</v>
      </c>
      <c r="C28" s="11" t="s">
        <v>106</v>
      </c>
      <c r="D28" s="19">
        <f>+'[1]092559'!D28</f>
        <v>18089</v>
      </c>
      <c r="E28" s="20">
        <f>+'[1]092560'!D28</f>
        <v>18785</v>
      </c>
      <c r="F28" s="20">
        <f>SUM('[1]102559:092560'!E28)</f>
        <v>3874267</v>
      </c>
      <c r="G28" s="21">
        <f t="shared" si="0"/>
        <v>0.57571351830483819</v>
      </c>
      <c r="H28" s="20">
        <f>SUM('[1]102559:092560'!F28)</f>
        <v>69762965.810000002</v>
      </c>
      <c r="I28" s="22">
        <f t="shared" si="1"/>
        <v>18.006752195963777</v>
      </c>
      <c r="J28" s="19">
        <f>+'[1]092559'!G28</f>
        <v>13452</v>
      </c>
      <c r="K28" s="20">
        <f>+'[1]092560'!G28</f>
        <v>14158</v>
      </c>
      <c r="L28" s="20">
        <f>SUM('[1]102559:092560'!H28)</f>
        <v>2155303</v>
      </c>
      <c r="M28" s="23">
        <f t="shared" si="2"/>
        <v>0.42773920507261115</v>
      </c>
      <c r="N28" s="20">
        <f>SUM('[1]102559:092560'!I28)</f>
        <v>30185200.380000003</v>
      </c>
      <c r="O28" s="22">
        <f t="shared" si="3"/>
        <v>14.005084380247233</v>
      </c>
      <c r="P28" s="24">
        <f>+'[1]092559'!J28</f>
        <v>266</v>
      </c>
      <c r="Q28" s="20">
        <f>+'[1]092560'!J28</f>
        <v>268</v>
      </c>
      <c r="R28" s="20">
        <f>SUM('[1]102559:092560'!K28)</f>
        <v>406625</v>
      </c>
      <c r="S28" s="21">
        <f t="shared" si="4"/>
        <v>4.172438561387307</v>
      </c>
      <c r="T28" s="20">
        <f>SUM('[1]102559:092560'!L28)</f>
        <v>8767682.8499999996</v>
      </c>
      <c r="U28" s="22">
        <f t="shared" si="16"/>
        <v>21.562085090685521</v>
      </c>
      <c r="V28" s="24">
        <f>+'[1]092559'!M28</f>
        <v>3187</v>
      </c>
      <c r="W28" s="20">
        <f>+'[1]092560'!M28</f>
        <v>3185</v>
      </c>
      <c r="X28" s="20">
        <f>SUM('[1]102559:092560'!N28)</f>
        <v>747754</v>
      </c>
      <c r="Y28" s="21">
        <f t="shared" si="5"/>
        <v>0.64301352664482447</v>
      </c>
      <c r="Z28" s="20">
        <f>SUM('[1]102559:092560'!O28)</f>
        <v>15522367.969999999</v>
      </c>
      <c r="AA28" s="22">
        <f t="shared" si="6"/>
        <v>20.758655881479736</v>
      </c>
      <c r="AB28" s="25">
        <f>+'[1]092559'!P28</f>
        <v>27</v>
      </c>
      <c r="AC28" s="20">
        <f>+'[1]092560'!P28</f>
        <v>27</v>
      </c>
      <c r="AD28" s="20">
        <f>SUM('[1]102559:092560'!Q28)</f>
        <v>17560</v>
      </c>
      <c r="AE28" s="21">
        <f t="shared" si="7"/>
        <v>1.7818366311516995</v>
      </c>
      <c r="AF28" s="20">
        <f>SUM('[1]102559:092560'!R28)</f>
        <v>450522.75</v>
      </c>
      <c r="AG28" s="22">
        <f t="shared" si="8"/>
        <v>25.656193052391799</v>
      </c>
      <c r="AH28" s="24">
        <f>+'[1]092559'!S28</f>
        <v>1131</v>
      </c>
      <c r="AI28" s="20">
        <f>+'[1]092560'!S28</f>
        <v>1120</v>
      </c>
      <c r="AJ28" s="20">
        <f>SUM('[1]102559:092560'!T28)</f>
        <v>529114</v>
      </c>
      <c r="AK28" s="21">
        <f t="shared" si="9"/>
        <v>1.2879852485653256</v>
      </c>
      <c r="AL28" s="20">
        <f>SUM('[1]102559:092560'!U28)</f>
        <v>14342539.359999999</v>
      </c>
      <c r="AM28" s="22">
        <f t="shared" si="17"/>
        <v>27.106709253582402</v>
      </c>
      <c r="AN28" s="24">
        <f>+'[1]092559'!V28</f>
        <v>26</v>
      </c>
      <c r="AO28" s="20">
        <f>+'[1]092560'!V28</f>
        <v>27</v>
      </c>
      <c r="AP28" s="20">
        <f>SUM('[1]102559:092560'!W28)</f>
        <v>17911</v>
      </c>
      <c r="AQ28" s="21">
        <f t="shared" si="10"/>
        <v>1.8517446368570689</v>
      </c>
      <c r="AR28" s="13">
        <f>SUM('[1]102559:092560'!X28)</f>
        <v>494652.5</v>
      </c>
      <c r="AS28" s="22">
        <f t="shared" si="18"/>
        <v>27.617246384903133</v>
      </c>
      <c r="AT28" s="24">
        <f>+'[1]092559'!Y28</f>
        <v>0</v>
      </c>
      <c r="AU28" s="20">
        <f>+'[1]092560'!Y28</f>
        <v>0</v>
      </c>
      <c r="AV28" s="20">
        <f>SUM('[1]102559:092560'!Z28)</f>
        <v>0</v>
      </c>
      <c r="AW28" s="21" t="e">
        <f t="shared" si="11"/>
        <v>#DIV/0!</v>
      </c>
      <c r="AX28" s="20">
        <f>SUM('[1]102559:092560'!AA28)</f>
        <v>0</v>
      </c>
      <c r="AY28" s="22" t="e">
        <f t="shared" si="12"/>
        <v>#DIV/0!</v>
      </c>
    </row>
    <row r="29" spans="1:51" x14ac:dyDescent="0.2">
      <c r="A29" s="9">
        <v>5511037</v>
      </c>
      <c r="B29" s="10">
        <v>2560</v>
      </c>
      <c r="C29" s="11" t="s">
        <v>106</v>
      </c>
      <c r="D29" s="19">
        <f>+'[1]092559'!D29</f>
        <v>3284</v>
      </c>
      <c r="E29" s="20">
        <f>+'[1]092560'!D29</f>
        <v>3511</v>
      </c>
      <c r="F29" s="20">
        <f>SUM('[1]102559:092560'!E29)</f>
        <v>598115</v>
      </c>
      <c r="G29" s="21">
        <f>+(F29/((D29+E29)/2)/$A$32)</f>
        <v>0.48231677200197565</v>
      </c>
      <c r="H29" s="20">
        <f>SUM('[1]102559:092560'!F29)</f>
        <v>10181185.290000001</v>
      </c>
      <c r="I29" s="22">
        <f t="shared" si="1"/>
        <v>17.022119976927517</v>
      </c>
      <c r="J29" s="19">
        <f>+'[1]092559'!G29</f>
        <v>2487</v>
      </c>
      <c r="K29" s="20">
        <f>+'[1]092560'!G29</f>
        <v>2709</v>
      </c>
      <c r="L29" s="20">
        <f>SUM('[1]102559:092560'!H29)</f>
        <v>341406</v>
      </c>
      <c r="M29" s="23">
        <f t="shared" si="2"/>
        <v>0.36003037109683955</v>
      </c>
      <c r="N29" s="20">
        <f>SUM('[1]102559:092560'!I29)</f>
        <v>4484652.1899999995</v>
      </c>
      <c r="O29" s="22">
        <f t="shared" si="3"/>
        <v>13.13583296720034</v>
      </c>
      <c r="P29" s="24">
        <f>+'[1]092559'!J29</f>
        <v>46</v>
      </c>
      <c r="Q29" s="20">
        <f>+'[1]092560'!J29</f>
        <v>51</v>
      </c>
      <c r="R29" s="20">
        <f>SUM('[1]102559:092560'!K29)</f>
        <v>51224</v>
      </c>
      <c r="S29" s="21">
        <f t="shared" si="4"/>
        <v>2.8936025985030365</v>
      </c>
      <c r="T29" s="20">
        <f>SUM('[1]102559:092560'!L29)</f>
        <v>1070701.45</v>
      </c>
      <c r="U29" s="22">
        <f t="shared" si="16"/>
        <v>20.902339723567078</v>
      </c>
      <c r="V29" s="24">
        <f>+'[1]092559'!M29</f>
        <v>614</v>
      </c>
      <c r="W29" s="20">
        <f>+'[1]092560'!M29</f>
        <v>616</v>
      </c>
      <c r="X29" s="20">
        <f>SUM('[1]102559:092560'!N29)</f>
        <v>134451</v>
      </c>
      <c r="Y29" s="21">
        <f t="shared" si="5"/>
        <v>0.59895756765786834</v>
      </c>
      <c r="Z29" s="20">
        <f>SUM('[1]102559:092560'!O29)</f>
        <v>2686801.0500000003</v>
      </c>
      <c r="AA29" s="22">
        <f>+Z29/X29</f>
        <v>19.983496217953011</v>
      </c>
      <c r="AB29" s="25">
        <f>+'[1]092559'!P29</f>
        <v>17</v>
      </c>
      <c r="AC29" s="20">
        <f>+'[1]092560'!P29</f>
        <v>17</v>
      </c>
      <c r="AD29" s="20">
        <f>SUM('[1]102559:092560'!Q29)</f>
        <v>3937</v>
      </c>
      <c r="AE29" s="21">
        <f t="shared" si="7"/>
        <v>0.63448831587429488</v>
      </c>
      <c r="AF29" s="20">
        <f>SUM('[1]102559:092560'!R29)</f>
        <v>104320.5</v>
      </c>
      <c r="AG29" s="22">
        <f t="shared" si="8"/>
        <v>26.497459994919989</v>
      </c>
      <c r="AH29" s="24">
        <f>+'[1]092559'!S29</f>
        <v>115</v>
      </c>
      <c r="AI29" s="20">
        <f>+'[1]092560'!S29</f>
        <v>114</v>
      </c>
      <c r="AJ29" s="20">
        <f>SUM('[1]102559:092560'!T29)</f>
        <v>58305</v>
      </c>
      <c r="AK29" s="21">
        <f t="shared" si="9"/>
        <v>1.3951067775318537</v>
      </c>
      <c r="AL29" s="20">
        <f>SUM('[1]102559:092560'!U29)</f>
        <v>1586565.85</v>
      </c>
      <c r="AM29" s="22">
        <f t="shared" si="17"/>
        <v>27.211488723094075</v>
      </c>
      <c r="AN29" s="24">
        <f>+'[1]092559'!V29</f>
        <v>5</v>
      </c>
      <c r="AO29" s="20">
        <f>+'[1]092560'!V29</f>
        <v>4</v>
      </c>
      <c r="AP29" s="20">
        <f>SUM('[1]102559:092560'!W29)</f>
        <v>8792</v>
      </c>
      <c r="AQ29" s="21">
        <f t="shared" si="10"/>
        <v>5.3528158295281587</v>
      </c>
      <c r="AR29" s="20">
        <f>SUM('[1]102559:092560'!X29)</f>
        <v>248144.25</v>
      </c>
      <c r="AS29" s="22">
        <f t="shared" si="18"/>
        <v>28.223868289353959</v>
      </c>
      <c r="AT29" s="24">
        <f>+'[1]092559'!Y29</f>
        <v>0</v>
      </c>
      <c r="AU29" s="20">
        <f>+'[1]092560'!Y29</f>
        <v>0</v>
      </c>
      <c r="AV29" s="20">
        <f>SUM('[1]102559:092560'!Z29)</f>
        <v>0</v>
      </c>
      <c r="AW29" s="21" t="e">
        <f t="shared" si="11"/>
        <v>#DIV/0!</v>
      </c>
      <c r="AX29" s="20">
        <f>SUM('[1]102559:092560'!AA29)</f>
        <v>0</v>
      </c>
      <c r="AY29" s="22" t="e">
        <f t="shared" si="12"/>
        <v>#DIV/0!</v>
      </c>
    </row>
    <row r="30" spans="1:51" ht="13.5" thickBot="1" x14ac:dyDescent="0.25">
      <c r="A30" s="26"/>
      <c r="B30" s="27"/>
      <c r="C30" s="28"/>
      <c r="D30" s="29"/>
      <c r="E30" s="30"/>
      <c r="F30" s="30"/>
      <c r="G30" s="31"/>
      <c r="H30" s="30"/>
      <c r="I30" s="32"/>
      <c r="J30" s="33"/>
      <c r="K30" s="30"/>
      <c r="L30" s="30"/>
      <c r="M30" s="34"/>
      <c r="N30" s="30"/>
      <c r="O30" s="32"/>
      <c r="P30" s="33"/>
      <c r="Q30" s="30"/>
      <c r="R30" s="30"/>
      <c r="S30" s="34"/>
      <c r="T30" s="30"/>
      <c r="U30" s="32"/>
      <c r="V30" s="33"/>
      <c r="W30" s="30"/>
      <c r="X30" s="30"/>
      <c r="Y30" s="34"/>
      <c r="Z30" s="30"/>
      <c r="AA30" s="32"/>
      <c r="AB30" s="35"/>
      <c r="AC30" s="30"/>
      <c r="AD30" s="30"/>
      <c r="AE30" s="34"/>
      <c r="AF30" s="30"/>
      <c r="AG30" s="32"/>
      <c r="AH30" s="33"/>
      <c r="AI30" s="30"/>
      <c r="AJ30" s="30"/>
      <c r="AK30" s="34"/>
      <c r="AL30" s="30"/>
      <c r="AM30" s="32"/>
      <c r="AN30" s="33"/>
      <c r="AO30" s="30"/>
      <c r="AP30" s="30"/>
      <c r="AQ30" s="34"/>
      <c r="AR30" s="30"/>
      <c r="AS30" s="32"/>
      <c r="AT30" s="33"/>
      <c r="AU30" s="30"/>
      <c r="AV30" s="30"/>
      <c r="AW30" s="34"/>
      <c r="AX30" s="30"/>
      <c r="AY30" s="32"/>
    </row>
    <row r="31" spans="1:51" ht="13.5" thickBot="1" x14ac:dyDescent="0.25">
      <c r="A31" s="36"/>
      <c r="B31" s="37"/>
      <c r="C31" s="38"/>
      <c r="D31" s="39">
        <f>SUM(D3:D29)</f>
        <v>365987</v>
      </c>
      <c r="E31" s="40">
        <f>SUM(E3:E29)</f>
        <v>381757</v>
      </c>
      <c r="F31" s="41">
        <f>SUM(F3:F30)</f>
        <v>92253820</v>
      </c>
      <c r="G31" s="42">
        <f>+(F31/((D31+E31)/2)/$A$32)</f>
        <v>0.67603402175295801</v>
      </c>
      <c r="H31" s="41">
        <f>SUM(H3:H29)</f>
        <v>1727546065.8300004</v>
      </c>
      <c r="I31" s="43">
        <f>+H31/F31</f>
        <v>18.726011192056877</v>
      </c>
      <c r="J31" s="44">
        <f>SUM(J3:J29)</f>
        <v>286319</v>
      </c>
      <c r="K31" s="41">
        <f>SUM(K3:K29)</f>
        <v>300481</v>
      </c>
      <c r="L31" s="41">
        <f>SUM(L3:L29)</f>
        <v>49104734</v>
      </c>
      <c r="M31" s="45">
        <f>+(L31/((J31+K31)/2)/$A$32)</f>
        <v>0.4585327805324444</v>
      </c>
      <c r="N31" s="41">
        <f>SUM(N3:N29)</f>
        <v>686292847.74000001</v>
      </c>
      <c r="O31" s="43">
        <f>+N31/L31</f>
        <v>13.976103561420372</v>
      </c>
      <c r="P31" s="44">
        <f>SUM(P3:P29)</f>
        <v>4205</v>
      </c>
      <c r="Q31" s="41">
        <f>SUM(Q3:Q29)</f>
        <v>4315</v>
      </c>
      <c r="R31" s="41">
        <f>SUM(R3:R29)</f>
        <v>9178075</v>
      </c>
      <c r="S31" s="45">
        <f>+(R31/((P31+Q31)/2)/$A$32)</f>
        <v>5.9026786288507305</v>
      </c>
      <c r="T31" s="41">
        <f>SUM(T3:T29)</f>
        <v>203056342.13999996</v>
      </c>
      <c r="U31" s="43">
        <f>+T31/R31</f>
        <v>22.124066554261102</v>
      </c>
      <c r="V31" s="44">
        <f>SUM(V3:V29)</f>
        <v>52515</v>
      </c>
      <c r="W31" s="41">
        <f>SUM(W3:W29)</f>
        <v>54281</v>
      </c>
      <c r="X31" s="41">
        <f>SUM(X3:X29)</f>
        <v>16410885</v>
      </c>
      <c r="Y31" s="45">
        <f>+(X31/((V31+W31)/2)/$A$32)</f>
        <v>0.84200398455229197</v>
      </c>
      <c r="Z31" s="41">
        <f>SUM(Z3:Z29)</f>
        <v>352019196.50999993</v>
      </c>
      <c r="AA31" s="43">
        <f>+Z31/X31</f>
        <v>21.450348138445911</v>
      </c>
      <c r="AB31" s="46">
        <f>SUM(AB3:AB29)</f>
        <v>554</v>
      </c>
      <c r="AC31" s="41">
        <f>SUM(AC3:AC29)</f>
        <v>556</v>
      </c>
      <c r="AD31" s="41">
        <f>SUM(AD3:AD29)</f>
        <v>735826</v>
      </c>
      <c r="AE31" s="45">
        <f>+(AD31/((AB31+AC31)/2)/$A$32)</f>
        <v>3.6323633222263361</v>
      </c>
      <c r="AF31" s="41">
        <f>SUM(AF3:AF29)</f>
        <v>20652731.149999999</v>
      </c>
      <c r="AG31" s="43">
        <f>+AF31/AD31</f>
        <v>28.067411521202022</v>
      </c>
      <c r="AH31" s="44">
        <f>SUM(AH3:AH29)</f>
        <v>21646</v>
      </c>
      <c r="AI31" s="41">
        <f>SUM(AI3:AI29)</f>
        <v>21337</v>
      </c>
      <c r="AJ31" s="41">
        <f>SUM(AJ3:AJ29)</f>
        <v>15822981</v>
      </c>
      <c r="AK31" s="45">
        <f>+(AJ31/((AH31+AI31)/2)/$A$32)</f>
        <v>2.0171059663919375</v>
      </c>
      <c r="AL31" s="41">
        <f>SUM(AL3:AL29)</f>
        <v>439012178.58999997</v>
      </c>
      <c r="AM31" s="43">
        <f>+AL31/AJ31</f>
        <v>27.745225668285894</v>
      </c>
      <c r="AN31" s="44">
        <f>SUM(AN3:AN29)</f>
        <v>746</v>
      </c>
      <c r="AO31" s="41">
        <f>SUM(AO3:AO29)</f>
        <v>785</v>
      </c>
      <c r="AP31" s="41">
        <f>SUM(AP3:AP29)</f>
        <v>816393</v>
      </c>
      <c r="AQ31" s="45">
        <f>+(AP31/((AN31+AO31)/2)/$A$32)</f>
        <v>2.9218721759437383</v>
      </c>
      <c r="AR31" s="41">
        <f>SUM(AR3:AR29)</f>
        <v>22601560.700000003</v>
      </c>
      <c r="AS31" s="43">
        <f>+AR31/AP31</f>
        <v>27.684657634252133</v>
      </c>
      <c r="AT31" s="44">
        <f>SUM(AT3:AT29)</f>
        <v>2</v>
      </c>
      <c r="AU31" s="41">
        <f>SUM(AU3:AU29)</f>
        <v>2</v>
      </c>
      <c r="AV31" s="41">
        <f>SUM(AV3:AV29)</f>
        <v>184926</v>
      </c>
      <c r="AW31" s="45">
        <f>+(AV31/((AT31+AU31)/2)/$A$32)</f>
        <v>253.32328767123289</v>
      </c>
      <c r="AX31" s="41">
        <f>SUM(AX3:AX29)</f>
        <v>3911209</v>
      </c>
      <c r="AY31" s="43">
        <f>+AX31/AV31</f>
        <v>21.150130322399232</v>
      </c>
    </row>
    <row r="32" spans="1:51" x14ac:dyDescent="0.2">
      <c r="A32" s="47">
        <f>31+30+31+31+28+31+30+31+30+31+31+30</f>
        <v>365</v>
      </c>
      <c r="B32" s="47" t="s">
        <v>17</v>
      </c>
      <c r="D32" s="49">
        <f>+J31+P31+V31+AB31+AH31+AN31+AT31</f>
        <v>365987</v>
      </c>
      <c r="E32" s="50">
        <f>+K31+Q31+W31+AC31+AI31+AO31+AU31</f>
        <v>381757</v>
      </c>
      <c r="F32" s="50">
        <f>+L31+R31+X31+AD31+AJ31+AP31+AV31</f>
        <v>92253820</v>
      </c>
      <c r="G32" s="51">
        <f>+(F32/((D32+E32)/2)/$A$32)</f>
        <v>0.67603402175295801</v>
      </c>
      <c r="H32" s="52">
        <f>+N31+T31+Z31+AF31+AL31+AR31+AX31</f>
        <v>1727546065.8299999</v>
      </c>
      <c r="I32" s="53"/>
      <c r="J32" s="53"/>
      <c r="K32" s="52"/>
      <c r="L32" s="52"/>
      <c r="M32" s="52"/>
      <c r="N32" s="52"/>
      <c r="O32" s="52"/>
      <c r="P32" s="52">
        <f>+P31+V31</f>
        <v>56720</v>
      </c>
      <c r="Q32" s="52">
        <f>+Q31+W31</f>
        <v>58596</v>
      </c>
      <c r="R32" s="52">
        <f>+R31+X31</f>
        <v>25588960</v>
      </c>
      <c r="S32" s="51">
        <f>+(R32/((P32+Q32)/2)/$A$32)</f>
        <v>1.2159065476781608</v>
      </c>
      <c r="T32" s="52">
        <f>+T31+Z31</f>
        <v>555075538.64999986</v>
      </c>
      <c r="U32" s="54">
        <f>+T32/R32</f>
        <v>21.69199290045394</v>
      </c>
      <c r="V32" s="52"/>
      <c r="W32" s="52"/>
      <c r="X32" s="52"/>
      <c r="Y32" s="52"/>
      <c r="Z32" s="53"/>
      <c r="AA32" s="53"/>
      <c r="AB32" s="52">
        <f>+AB31+AH31+AN31+AT31</f>
        <v>22948</v>
      </c>
      <c r="AC32" s="52">
        <f>+AC31+AI31+AO31+AU31</f>
        <v>22680</v>
      </c>
      <c r="AD32" s="50">
        <f>+AD31+AJ31+AP31+AV31</f>
        <v>17560126</v>
      </c>
      <c r="AE32" s="51">
        <f>+(AD32/((AB32+AC32)/2)/$A$32)</f>
        <v>2.1087899643453731</v>
      </c>
      <c r="AF32" s="52">
        <f>+AF31+AL31+AR31+AX31</f>
        <v>486177679.43999994</v>
      </c>
      <c r="AG32" s="55">
        <f>+AF32/AD32</f>
        <v>27.686457343187627</v>
      </c>
      <c r="AH32" s="53"/>
      <c r="AI32" s="53"/>
    </row>
    <row r="33" spans="1:39" x14ac:dyDescent="0.2">
      <c r="A33" s="47"/>
      <c r="B33" s="47"/>
      <c r="D33" s="49"/>
      <c r="E33" s="50"/>
      <c r="F33" s="50"/>
      <c r="G33" s="51"/>
      <c r="H33" s="52"/>
      <c r="I33" s="53"/>
      <c r="J33" s="53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3"/>
      <c r="AA33" s="53"/>
      <c r="AB33" s="52"/>
      <c r="AC33" s="52"/>
      <c r="AD33" s="53"/>
      <c r="AE33" s="53"/>
      <c r="AF33" s="52"/>
      <c r="AG33" s="52"/>
      <c r="AH33" s="53"/>
      <c r="AI33" s="53"/>
    </row>
    <row r="34" spans="1:39" ht="24" thickBot="1" x14ac:dyDescent="0.4">
      <c r="A34" s="56">
        <v>2560</v>
      </c>
      <c r="B34" s="57" t="s">
        <v>152</v>
      </c>
      <c r="C34" s="58"/>
      <c r="D34" s="58"/>
      <c r="E34" s="59"/>
      <c r="G34" s="55"/>
      <c r="H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AB34" s="55"/>
      <c r="AC34" s="55"/>
      <c r="AD34" s="55"/>
      <c r="AE34" s="55"/>
      <c r="AF34" s="55"/>
      <c r="AG34" s="55"/>
    </row>
    <row r="35" spans="1:39" s="61" customFormat="1" ht="24.75" customHeight="1" thickBot="1" x14ac:dyDescent="0.25">
      <c r="A35" s="60"/>
      <c r="B35" s="768" t="s">
        <v>1</v>
      </c>
      <c r="C35" s="770" t="s">
        <v>2</v>
      </c>
      <c r="D35" s="772" t="s">
        <v>3</v>
      </c>
      <c r="E35" s="773"/>
      <c r="F35" s="773"/>
      <c r="G35" s="773"/>
      <c r="H35" s="773"/>
      <c r="I35" s="774"/>
      <c r="J35" s="775" t="s">
        <v>18</v>
      </c>
      <c r="K35" s="776"/>
      <c r="L35" s="776"/>
      <c r="M35" s="776"/>
      <c r="N35" s="776"/>
      <c r="O35" s="777"/>
      <c r="P35" s="778" t="s">
        <v>19</v>
      </c>
      <c r="Q35" s="779"/>
      <c r="R35" s="779"/>
      <c r="S35" s="779"/>
      <c r="T35" s="779"/>
      <c r="U35" s="780"/>
      <c r="V35" s="781" t="s">
        <v>20</v>
      </c>
      <c r="W35" s="782"/>
      <c r="X35" s="782"/>
      <c r="Y35" s="782"/>
      <c r="Z35" s="782"/>
      <c r="AA35" s="783"/>
      <c r="AE35" s="62"/>
      <c r="AI35" s="62"/>
      <c r="AM35" s="62"/>
    </row>
    <row r="36" spans="1:39" s="61" customFormat="1" ht="13.5" thickBot="1" x14ac:dyDescent="0.25">
      <c r="A36" s="63" t="s">
        <v>0</v>
      </c>
      <c r="B36" s="769"/>
      <c r="C36" s="771"/>
      <c r="D36" s="64" t="s">
        <v>11</v>
      </c>
      <c r="E36" s="3" t="s">
        <v>151</v>
      </c>
      <c r="F36" s="66" t="s">
        <v>12</v>
      </c>
      <c r="G36" s="67" t="s">
        <v>13</v>
      </c>
      <c r="H36" s="67" t="s">
        <v>14</v>
      </c>
      <c r="I36" s="68" t="s">
        <v>15</v>
      </c>
      <c r="J36" s="64" t="s">
        <v>11</v>
      </c>
      <c r="K36" s="3" t="s">
        <v>151</v>
      </c>
      <c r="L36" s="66" t="s">
        <v>12</v>
      </c>
      <c r="M36" s="67" t="s">
        <v>13</v>
      </c>
      <c r="N36" s="67" t="s">
        <v>14</v>
      </c>
      <c r="O36" s="68" t="s">
        <v>15</v>
      </c>
      <c r="P36" s="64" t="s">
        <v>11</v>
      </c>
      <c r="Q36" s="3" t="s">
        <v>151</v>
      </c>
      <c r="R36" s="66" t="s">
        <v>12</v>
      </c>
      <c r="S36" s="67" t="s">
        <v>13</v>
      </c>
      <c r="T36" s="67" t="s">
        <v>14</v>
      </c>
      <c r="U36" s="68" t="s">
        <v>15</v>
      </c>
      <c r="V36" s="64" t="s">
        <v>11</v>
      </c>
      <c r="W36" s="3" t="s">
        <v>151</v>
      </c>
      <c r="X36" s="66" t="s">
        <v>12</v>
      </c>
      <c r="Y36" s="67" t="s">
        <v>13</v>
      </c>
      <c r="Z36" s="67" t="s">
        <v>14</v>
      </c>
      <c r="AA36" s="68" t="s">
        <v>15</v>
      </c>
      <c r="AE36" s="62"/>
      <c r="AI36" s="62"/>
      <c r="AM36" s="62"/>
    </row>
    <row r="37" spans="1:39" s="61" customFormat="1" x14ac:dyDescent="0.2">
      <c r="A37" s="69">
        <v>5511011</v>
      </c>
      <c r="B37" s="70">
        <v>2560</v>
      </c>
      <c r="C37" s="11" t="s">
        <v>106</v>
      </c>
      <c r="D37" s="71">
        <f t="shared" ref="D37:F52" si="19">+D3</f>
        <v>105437</v>
      </c>
      <c r="E37" s="72">
        <f t="shared" si="19"/>
        <v>110463</v>
      </c>
      <c r="F37" s="72">
        <f t="shared" si="19"/>
        <v>33888355</v>
      </c>
      <c r="G37" s="73">
        <f>+(F37/((D37+E37)/2)/$A$32)</f>
        <v>0.86007233181267329</v>
      </c>
      <c r="H37" s="74">
        <f>+H3</f>
        <v>689312889.37</v>
      </c>
      <c r="I37" s="15">
        <f>+H37/F37</f>
        <v>20.340700791466567</v>
      </c>
      <c r="J37" s="75">
        <f t="shared" ref="J37:L52" si="20">+J3</f>
        <v>79037</v>
      </c>
      <c r="K37" s="76">
        <f t="shared" si="20"/>
        <v>83393</v>
      </c>
      <c r="L37" s="76">
        <f t="shared" si="20"/>
        <v>15691810</v>
      </c>
      <c r="M37" s="77">
        <f>+(L37/((J37+K37)/2)/$A$32)</f>
        <v>0.52935123159481134</v>
      </c>
      <c r="N37" s="78">
        <f>+N3</f>
        <v>229998015.13999999</v>
      </c>
      <c r="O37" s="79">
        <f>+N37/L37</f>
        <v>14.657201122114019</v>
      </c>
      <c r="P37" s="80">
        <f t="shared" ref="P37:R52" si="21">+P3+V3</f>
        <v>17259</v>
      </c>
      <c r="Q37" s="81">
        <f t="shared" si="21"/>
        <v>17957</v>
      </c>
      <c r="R37" s="81">
        <f t="shared" si="21"/>
        <v>8707727</v>
      </c>
      <c r="S37" s="82">
        <f>+(R37/((P37+Q37)/2)/$A$32)</f>
        <v>1.3548833655934724</v>
      </c>
      <c r="T37" s="83">
        <f>+T3+Z3</f>
        <v>193650710.84000003</v>
      </c>
      <c r="U37" s="84">
        <f>+T37/R37</f>
        <v>22.238950628562428</v>
      </c>
      <c r="V37" s="85">
        <f t="shared" ref="V37:X63" si="22">+AB3+AH3+AN3+AT3</f>
        <v>9141</v>
      </c>
      <c r="W37" s="86">
        <f t="shared" si="22"/>
        <v>9113</v>
      </c>
      <c r="X37" s="86">
        <f t="shared" si="22"/>
        <v>9488818</v>
      </c>
      <c r="Y37" s="87">
        <f>+(X37/((V37+W37)/2)/$A$32)</f>
        <v>2.8483358873491418</v>
      </c>
      <c r="Z37" s="88">
        <f>+AF3+AL3+AR3+AX3</f>
        <v>265664163.39000002</v>
      </c>
      <c r="AA37" s="89">
        <f>+Z37/X37</f>
        <v>27.997603430690738</v>
      </c>
      <c r="AE37" s="62"/>
      <c r="AI37" s="62"/>
      <c r="AM37" s="62"/>
    </row>
    <row r="38" spans="1:39" s="61" customFormat="1" x14ac:dyDescent="0.2">
      <c r="A38" s="69">
        <v>5511012</v>
      </c>
      <c r="B38" s="70">
        <v>2560</v>
      </c>
      <c r="C38" s="11" t="s">
        <v>106</v>
      </c>
      <c r="D38" s="90">
        <f t="shared" si="19"/>
        <v>2957</v>
      </c>
      <c r="E38" s="91">
        <f t="shared" si="19"/>
        <v>3087</v>
      </c>
      <c r="F38" s="91">
        <f t="shared" si="19"/>
        <v>611769</v>
      </c>
      <c r="G38" s="92">
        <f t="shared" ref="G38:G63" si="23">+(F38/((D38+E38)/2)/$A$32)</f>
        <v>0.5546258941279929</v>
      </c>
      <c r="H38" s="93">
        <f t="shared" ref="H38:H62" si="24">+H4</f>
        <v>10103752.739999998</v>
      </c>
      <c r="I38" s="22">
        <f t="shared" ref="I38:I63" si="25">+H38/F38</f>
        <v>16.515633744109294</v>
      </c>
      <c r="J38" s="94">
        <f t="shared" si="20"/>
        <v>2434</v>
      </c>
      <c r="K38" s="95">
        <f t="shared" si="20"/>
        <v>2522</v>
      </c>
      <c r="L38" s="95">
        <f t="shared" si="20"/>
        <v>397552</v>
      </c>
      <c r="M38" s="96">
        <f t="shared" ref="M38:M63" si="26">+(L38/((J38+K38)/2)/$A$32)</f>
        <v>0.43954138887967542</v>
      </c>
      <c r="N38" s="97">
        <f t="shared" ref="N38:N63" si="27">+N4</f>
        <v>5424457.29</v>
      </c>
      <c r="O38" s="98">
        <f t="shared" ref="O38:O62" si="28">+N38/L38</f>
        <v>13.644648473658792</v>
      </c>
      <c r="P38" s="99">
        <f t="shared" si="21"/>
        <v>398</v>
      </c>
      <c r="Q38" s="100">
        <f t="shared" si="21"/>
        <v>437</v>
      </c>
      <c r="R38" s="100">
        <f t="shared" si="21"/>
        <v>156046</v>
      </c>
      <c r="S38" s="101">
        <f t="shared" ref="S38:S63" si="29">+(R38/((P38+Q38)/2)/$A$32)</f>
        <v>1.0240078746616357</v>
      </c>
      <c r="T38" s="102">
        <f t="shared" ref="T38:T63" si="30">+T4+Z4</f>
        <v>3212227.9</v>
      </c>
      <c r="U38" s="103">
        <f t="shared" ref="U38:U63" si="31">+T38/R38</f>
        <v>20.585134511618367</v>
      </c>
      <c r="V38" s="104">
        <f t="shared" si="22"/>
        <v>125</v>
      </c>
      <c r="W38" s="105">
        <f t="shared" si="22"/>
        <v>128</v>
      </c>
      <c r="X38" s="105">
        <f t="shared" si="22"/>
        <v>58171</v>
      </c>
      <c r="Y38" s="106">
        <f t="shared" ref="Y38:Y63" si="32">+(X38/((V38+W38)/2)/$A$32)</f>
        <v>1.2598624722507987</v>
      </c>
      <c r="Z38" s="107">
        <f t="shared" ref="Z38:Z61" si="33">+AF4+AL4+AR4+AX4</f>
        <v>1467067.55</v>
      </c>
      <c r="AA38" s="108">
        <f t="shared" ref="AA38:AA62" si="34">+Z38/X38</f>
        <v>25.219912843169279</v>
      </c>
      <c r="AE38" s="62"/>
      <c r="AI38" s="62"/>
      <c r="AM38" s="62"/>
    </row>
    <row r="39" spans="1:39" s="61" customFormat="1" x14ac:dyDescent="0.2">
      <c r="A39" s="69">
        <v>5511013</v>
      </c>
      <c r="B39" s="70">
        <v>2560</v>
      </c>
      <c r="C39" s="11" t="s">
        <v>106</v>
      </c>
      <c r="D39" s="90">
        <f t="shared" si="19"/>
        <v>15188</v>
      </c>
      <c r="E39" s="91">
        <f t="shared" si="19"/>
        <v>16182</v>
      </c>
      <c r="F39" s="91">
        <f t="shared" si="19"/>
        <v>2826951</v>
      </c>
      <c r="G39" s="92">
        <f>+(F39/((D39+E39)/2)/$A$32)</f>
        <v>0.49378841140431706</v>
      </c>
      <c r="H39" s="93">
        <f t="shared" si="24"/>
        <v>46003740.469999999</v>
      </c>
      <c r="I39" s="22">
        <f t="shared" si="25"/>
        <v>16.273271262926027</v>
      </c>
      <c r="J39" s="94">
        <f t="shared" si="20"/>
        <v>12902</v>
      </c>
      <c r="K39" s="95">
        <f t="shared" si="20"/>
        <v>13852</v>
      </c>
      <c r="L39" s="95">
        <f t="shared" si="20"/>
        <v>2075418</v>
      </c>
      <c r="M39" s="96">
        <f t="shared" si="26"/>
        <v>0.42506366990571631</v>
      </c>
      <c r="N39" s="97">
        <f t="shared" si="27"/>
        <v>28170469.659999996</v>
      </c>
      <c r="O39" s="98">
        <f t="shared" si="28"/>
        <v>13.573395653309356</v>
      </c>
      <c r="P39" s="99">
        <f t="shared" si="21"/>
        <v>1624</v>
      </c>
      <c r="Q39" s="100">
        <f t="shared" si="21"/>
        <v>1681</v>
      </c>
      <c r="R39" s="100">
        <f t="shared" si="21"/>
        <v>437814</v>
      </c>
      <c r="S39" s="101">
        <f t="shared" si="29"/>
        <v>0.72586409135183316</v>
      </c>
      <c r="T39" s="102">
        <f t="shared" si="30"/>
        <v>9038216.4600000009</v>
      </c>
      <c r="U39" s="103">
        <f t="shared" si="31"/>
        <v>20.643964012114736</v>
      </c>
      <c r="V39" s="104">
        <f t="shared" si="22"/>
        <v>662</v>
      </c>
      <c r="W39" s="105">
        <f t="shared" si="22"/>
        <v>649</v>
      </c>
      <c r="X39" s="105">
        <f t="shared" si="22"/>
        <v>313719</v>
      </c>
      <c r="Y39" s="106">
        <f t="shared" si="32"/>
        <v>1.3112190840412525</v>
      </c>
      <c r="Z39" s="107">
        <f t="shared" si="33"/>
        <v>8795054.3500000015</v>
      </c>
      <c r="AA39" s="108">
        <f t="shared" si="34"/>
        <v>28.034815710875023</v>
      </c>
      <c r="AE39" s="62"/>
      <c r="AI39" s="62"/>
      <c r="AM39" s="62"/>
    </row>
    <row r="40" spans="1:39" s="61" customFormat="1" x14ac:dyDescent="0.2">
      <c r="A40" s="69">
        <v>5511014</v>
      </c>
      <c r="B40" s="70">
        <v>2560</v>
      </c>
      <c r="C40" s="11" t="s">
        <v>106</v>
      </c>
      <c r="D40" s="90">
        <f t="shared" si="19"/>
        <v>18755</v>
      </c>
      <c r="E40" s="91">
        <f t="shared" si="19"/>
        <v>19702</v>
      </c>
      <c r="F40" s="91">
        <f t="shared" si="19"/>
        <v>5165730</v>
      </c>
      <c r="G40" s="92">
        <f t="shared" si="23"/>
        <v>0.73602646756152845</v>
      </c>
      <c r="H40" s="93">
        <f t="shared" si="24"/>
        <v>93120514.329999983</v>
      </c>
      <c r="I40" s="22">
        <f t="shared" si="25"/>
        <v>18.026593401126267</v>
      </c>
      <c r="J40" s="94">
        <f t="shared" si="20"/>
        <v>16611</v>
      </c>
      <c r="K40" s="95">
        <f t="shared" si="20"/>
        <v>17495</v>
      </c>
      <c r="L40" s="95">
        <f t="shared" si="20"/>
        <v>3004205</v>
      </c>
      <c r="M40" s="96">
        <f t="shared" si="26"/>
        <v>0.48265399813153026</v>
      </c>
      <c r="N40" s="97">
        <f t="shared" si="27"/>
        <v>40213662.490000002</v>
      </c>
      <c r="O40" s="98">
        <f t="shared" si="28"/>
        <v>13.385791745237093</v>
      </c>
      <c r="P40" s="99">
        <f t="shared" si="21"/>
        <v>1595</v>
      </c>
      <c r="Q40" s="100">
        <f t="shared" si="21"/>
        <v>1653</v>
      </c>
      <c r="R40" s="100">
        <f t="shared" si="21"/>
        <v>1458991</v>
      </c>
      <c r="S40" s="101">
        <f t="shared" si="29"/>
        <v>2.4613519805654902</v>
      </c>
      <c r="T40" s="102">
        <f t="shared" si="30"/>
        <v>33011077.860000003</v>
      </c>
      <c r="U40" s="103">
        <f t="shared" si="31"/>
        <v>22.625964012115226</v>
      </c>
      <c r="V40" s="104">
        <f t="shared" si="22"/>
        <v>549</v>
      </c>
      <c r="W40" s="105">
        <f t="shared" si="22"/>
        <v>554</v>
      </c>
      <c r="X40" s="105">
        <f t="shared" si="22"/>
        <v>702534</v>
      </c>
      <c r="Y40" s="106">
        <f t="shared" si="32"/>
        <v>3.4900284404923059</v>
      </c>
      <c r="Z40" s="107">
        <f t="shared" si="33"/>
        <v>19895773.98</v>
      </c>
      <c r="AA40" s="108">
        <f t="shared" si="34"/>
        <v>28.320015799947051</v>
      </c>
      <c r="AE40" s="62"/>
      <c r="AI40" s="62"/>
      <c r="AM40" s="62"/>
    </row>
    <row r="41" spans="1:39" s="61" customFormat="1" x14ac:dyDescent="0.2">
      <c r="A41" s="69">
        <v>5511015</v>
      </c>
      <c r="B41" s="70">
        <v>2560</v>
      </c>
      <c r="C41" s="11" t="s">
        <v>106</v>
      </c>
      <c r="D41" s="90">
        <f t="shared" si="19"/>
        <v>4939</v>
      </c>
      <c r="E41" s="91">
        <f t="shared" si="19"/>
        <v>5137</v>
      </c>
      <c r="F41" s="91">
        <f t="shared" si="19"/>
        <v>1363928</v>
      </c>
      <c r="G41" s="92">
        <f t="shared" si="23"/>
        <v>0.74172073066611555</v>
      </c>
      <c r="H41" s="93">
        <f t="shared" si="24"/>
        <v>26047720.780000001</v>
      </c>
      <c r="I41" s="22">
        <f t="shared" si="25"/>
        <v>19.097577570077014</v>
      </c>
      <c r="J41" s="94">
        <f t="shared" si="20"/>
        <v>3510</v>
      </c>
      <c r="K41" s="95">
        <f t="shared" si="20"/>
        <v>3622</v>
      </c>
      <c r="L41" s="95">
        <f t="shared" si="20"/>
        <v>507215</v>
      </c>
      <c r="M41" s="96">
        <f t="shared" si="26"/>
        <v>0.389688765279389</v>
      </c>
      <c r="N41" s="97">
        <f t="shared" si="27"/>
        <v>7024575.8600000003</v>
      </c>
      <c r="O41" s="98">
        <f t="shared" si="28"/>
        <v>13.849306231085437</v>
      </c>
      <c r="P41" s="99">
        <f t="shared" si="21"/>
        <v>1227</v>
      </c>
      <c r="Q41" s="100">
        <f t="shared" si="21"/>
        <v>1309</v>
      </c>
      <c r="R41" s="100">
        <f t="shared" si="21"/>
        <v>758678</v>
      </c>
      <c r="S41" s="101">
        <f t="shared" si="29"/>
        <v>1.6392506806101723</v>
      </c>
      <c r="T41" s="102">
        <f t="shared" si="30"/>
        <v>16353979.970000001</v>
      </c>
      <c r="U41" s="103">
        <f t="shared" si="31"/>
        <v>21.555890601809992</v>
      </c>
      <c r="V41" s="104">
        <f t="shared" si="22"/>
        <v>202</v>
      </c>
      <c r="W41" s="105">
        <f t="shared" si="22"/>
        <v>206</v>
      </c>
      <c r="X41" s="105">
        <f t="shared" si="22"/>
        <v>98035</v>
      </c>
      <c r="Y41" s="106">
        <f t="shared" si="32"/>
        <v>1.3166129465484824</v>
      </c>
      <c r="Z41" s="107">
        <f t="shared" si="33"/>
        <v>2669164.9500000002</v>
      </c>
      <c r="AA41" s="108">
        <f>+Z41/X41</f>
        <v>27.226653236089152</v>
      </c>
      <c r="AE41" s="62"/>
      <c r="AI41" s="62"/>
      <c r="AM41" s="62"/>
    </row>
    <row r="42" spans="1:39" s="61" customFormat="1" x14ac:dyDescent="0.2">
      <c r="A42" s="69">
        <v>5511016</v>
      </c>
      <c r="B42" s="70">
        <v>2560</v>
      </c>
      <c r="C42" s="11" t="s">
        <v>106</v>
      </c>
      <c r="D42" s="90">
        <f t="shared" si="19"/>
        <v>5119</v>
      </c>
      <c r="E42" s="91">
        <f t="shared" si="19"/>
        <v>5310</v>
      </c>
      <c r="F42" s="91">
        <f t="shared" si="19"/>
        <v>1232951</v>
      </c>
      <c r="G42" s="92">
        <f t="shared" si="23"/>
        <v>0.64779901144989538</v>
      </c>
      <c r="H42" s="93">
        <f t="shared" si="24"/>
        <v>23460493.550000001</v>
      </c>
      <c r="I42" s="22">
        <f t="shared" si="25"/>
        <v>19.027920452637616</v>
      </c>
      <c r="J42" s="94">
        <f t="shared" si="20"/>
        <v>3420</v>
      </c>
      <c r="K42" s="95">
        <f t="shared" si="20"/>
        <v>3634</v>
      </c>
      <c r="L42" s="95">
        <f t="shared" si="20"/>
        <v>499761</v>
      </c>
      <c r="M42" s="96">
        <f t="shared" si="26"/>
        <v>0.38820760396316484</v>
      </c>
      <c r="N42" s="97">
        <f t="shared" si="27"/>
        <v>6723065.75</v>
      </c>
      <c r="O42" s="98">
        <f t="shared" si="28"/>
        <v>13.452561824552136</v>
      </c>
      <c r="P42" s="99">
        <f t="shared" si="21"/>
        <v>1404</v>
      </c>
      <c r="Q42" s="100">
        <f t="shared" si="21"/>
        <v>1383</v>
      </c>
      <c r="R42" s="100">
        <f t="shared" si="21"/>
        <v>580911</v>
      </c>
      <c r="S42" s="101">
        <f t="shared" si="29"/>
        <v>1.1421148089712019</v>
      </c>
      <c r="T42" s="102">
        <f t="shared" si="30"/>
        <v>12662266.449999999</v>
      </c>
      <c r="U42" s="103">
        <f t="shared" si="31"/>
        <v>21.797257152989012</v>
      </c>
      <c r="V42" s="104">
        <f t="shared" si="22"/>
        <v>295</v>
      </c>
      <c r="W42" s="105">
        <f t="shared" si="22"/>
        <v>293</v>
      </c>
      <c r="X42" s="105">
        <f t="shared" si="22"/>
        <v>152279</v>
      </c>
      <c r="Y42" s="106">
        <f t="shared" si="32"/>
        <v>1.4190569378436306</v>
      </c>
      <c r="Z42" s="107">
        <f t="shared" si="33"/>
        <v>4075161.3499999996</v>
      </c>
      <c r="AA42" s="108">
        <f t="shared" si="34"/>
        <v>26.761151242127934</v>
      </c>
      <c r="AE42" s="62"/>
      <c r="AI42" s="62"/>
      <c r="AM42" s="62"/>
    </row>
    <row r="43" spans="1:39" s="61" customFormat="1" x14ac:dyDescent="0.2">
      <c r="A43" s="69">
        <v>5511017</v>
      </c>
      <c r="B43" s="70">
        <v>2560</v>
      </c>
      <c r="C43" s="11" t="s">
        <v>106</v>
      </c>
      <c r="D43" s="90">
        <f t="shared" si="19"/>
        <v>3879</v>
      </c>
      <c r="E43" s="91">
        <f t="shared" si="19"/>
        <v>4055</v>
      </c>
      <c r="F43" s="91">
        <f t="shared" si="19"/>
        <v>848753</v>
      </c>
      <c r="G43" s="92">
        <f t="shared" si="23"/>
        <v>0.58617360346143355</v>
      </c>
      <c r="H43" s="93">
        <f t="shared" si="24"/>
        <v>14472320.319999998</v>
      </c>
      <c r="I43" s="22">
        <f t="shared" si="25"/>
        <v>17.051274422594087</v>
      </c>
      <c r="J43" s="94">
        <f t="shared" si="20"/>
        <v>2986</v>
      </c>
      <c r="K43" s="95">
        <f t="shared" si="20"/>
        <v>3099</v>
      </c>
      <c r="L43" s="95">
        <f t="shared" si="20"/>
        <v>539492</v>
      </c>
      <c r="M43" s="96">
        <f t="shared" si="26"/>
        <v>0.48580452718902306</v>
      </c>
      <c r="N43" s="97">
        <f t="shared" si="27"/>
        <v>7535803.0599999996</v>
      </c>
      <c r="O43" s="98">
        <f t="shared" si="28"/>
        <v>13.968331430308512</v>
      </c>
      <c r="P43" s="99">
        <f t="shared" si="21"/>
        <v>707</v>
      </c>
      <c r="Q43" s="100">
        <f t="shared" si="21"/>
        <v>758</v>
      </c>
      <c r="R43" s="100">
        <f t="shared" si="21"/>
        <v>225944</v>
      </c>
      <c r="S43" s="101">
        <f t="shared" si="29"/>
        <v>0.84508485670204314</v>
      </c>
      <c r="T43" s="102">
        <f t="shared" si="30"/>
        <v>4770374.2600000007</v>
      </c>
      <c r="U43" s="103">
        <f t="shared" si="31"/>
        <v>21.113082268172647</v>
      </c>
      <c r="V43" s="104">
        <f t="shared" si="22"/>
        <v>186</v>
      </c>
      <c r="W43" s="105">
        <f t="shared" si="22"/>
        <v>198</v>
      </c>
      <c r="X43" s="105">
        <f t="shared" si="22"/>
        <v>83317</v>
      </c>
      <c r="Y43" s="106">
        <f t="shared" si="32"/>
        <v>1.1888841324200912</v>
      </c>
      <c r="Z43" s="107">
        <f t="shared" si="33"/>
        <v>2166143</v>
      </c>
      <c r="AA43" s="108">
        <f t="shared" si="34"/>
        <v>25.998811767106353</v>
      </c>
      <c r="AE43" s="62"/>
      <c r="AI43" s="62"/>
      <c r="AM43" s="62"/>
    </row>
    <row r="44" spans="1:39" s="61" customFormat="1" x14ac:dyDescent="0.2">
      <c r="A44" s="69">
        <v>5511018</v>
      </c>
      <c r="B44" s="70">
        <v>2560</v>
      </c>
      <c r="C44" s="11" t="s">
        <v>106</v>
      </c>
      <c r="D44" s="90">
        <f t="shared" si="19"/>
        <v>6295</v>
      </c>
      <c r="E44" s="91">
        <f t="shared" si="19"/>
        <v>6501</v>
      </c>
      <c r="F44" s="91">
        <f t="shared" si="19"/>
        <v>1639964</v>
      </c>
      <c r="G44" s="92">
        <f t="shared" si="23"/>
        <v>0.70225883944897161</v>
      </c>
      <c r="H44" s="93">
        <f t="shared" si="24"/>
        <v>30371000.440000005</v>
      </c>
      <c r="I44" s="22">
        <f t="shared" si="25"/>
        <v>18.519309228739171</v>
      </c>
      <c r="J44" s="94">
        <f t="shared" si="20"/>
        <v>4577</v>
      </c>
      <c r="K44" s="95">
        <f t="shared" si="20"/>
        <v>4959</v>
      </c>
      <c r="L44" s="95">
        <f t="shared" si="20"/>
        <v>820833</v>
      </c>
      <c r="M44" s="96">
        <f t="shared" si="26"/>
        <v>0.47165636204835892</v>
      </c>
      <c r="N44" s="97">
        <f t="shared" si="27"/>
        <v>11788614.089999998</v>
      </c>
      <c r="O44" s="98">
        <f t="shared" si="28"/>
        <v>14.361769190566166</v>
      </c>
      <c r="P44" s="99">
        <f t="shared" si="21"/>
        <v>1058</v>
      </c>
      <c r="Q44" s="100">
        <f t="shared" si="21"/>
        <v>1071</v>
      </c>
      <c r="R44" s="100">
        <f t="shared" si="21"/>
        <v>554477</v>
      </c>
      <c r="S44" s="101">
        <f t="shared" si="29"/>
        <v>1.4270691108437301</v>
      </c>
      <c r="T44" s="102">
        <f t="shared" si="30"/>
        <v>11607636.1</v>
      </c>
      <c r="U44" s="103">
        <f t="shared" si="31"/>
        <v>20.934386998919702</v>
      </c>
      <c r="V44" s="104">
        <f t="shared" si="22"/>
        <v>660</v>
      </c>
      <c r="W44" s="105">
        <f t="shared" si="22"/>
        <v>471</v>
      </c>
      <c r="X44" s="105">
        <f t="shared" si="22"/>
        <v>264654</v>
      </c>
      <c r="Y44" s="106">
        <f t="shared" si="32"/>
        <v>1.2821917808219179</v>
      </c>
      <c r="Z44" s="107">
        <f t="shared" si="33"/>
        <v>6974750.25</v>
      </c>
      <c r="AA44" s="108">
        <f t="shared" si="34"/>
        <v>26.35422192749779</v>
      </c>
      <c r="AE44" s="62"/>
      <c r="AI44" s="62"/>
      <c r="AM44" s="62"/>
    </row>
    <row r="45" spans="1:39" s="61" customFormat="1" x14ac:dyDescent="0.2">
      <c r="A45" s="69">
        <v>5511019</v>
      </c>
      <c r="B45" s="70">
        <v>2560</v>
      </c>
      <c r="C45" s="11" t="s">
        <v>106</v>
      </c>
      <c r="D45" s="90">
        <f t="shared" si="19"/>
        <v>5285</v>
      </c>
      <c r="E45" s="91">
        <f t="shared" si="19"/>
        <v>5509</v>
      </c>
      <c r="F45" s="91">
        <f t="shared" si="19"/>
        <v>1098371</v>
      </c>
      <c r="G45" s="92">
        <f t="shared" si="23"/>
        <v>0.55757561912884124</v>
      </c>
      <c r="H45" s="93">
        <f t="shared" si="24"/>
        <v>18797381.800000001</v>
      </c>
      <c r="I45" s="22">
        <f t="shared" si="25"/>
        <v>17.113872999196083</v>
      </c>
      <c r="J45" s="94">
        <f t="shared" si="20"/>
        <v>4257</v>
      </c>
      <c r="K45" s="95">
        <f t="shared" si="20"/>
        <v>4456</v>
      </c>
      <c r="L45" s="95">
        <f t="shared" si="20"/>
        <v>672694</v>
      </c>
      <c r="M45" s="96">
        <f t="shared" si="26"/>
        <v>0.42304539430138244</v>
      </c>
      <c r="N45" s="97">
        <f t="shared" si="27"/>
        <v>9213210.3999999985</v>
      </c>
      <c r="O45" s="98">
        <f t="shared" si="28"/>
        <v>13.695990153026486</v>
      </c>
      <c r="P45" s="99">
        <f t="shared" si="21"/>
        <v>767</v>
      </c>
      <c r="Q45" s="100">
        <f t="shared" si="21"/>
        <v>798</v>
      </c>
      <c r="R45" s="100">
        <f t="shared" si="21"/>
        <v>286267</v>
      </c>
      <c r="S45" s="101">
        <f t="shared" si="29"/>
        <v>1.0022915663705196</v>
      </c>
      <c r="T45" s="102">
        <f t="shared" si="30"/>
        <v>5870298.75</v>
      </c>
      <c r="U45" s="103">
        <f t="shared" si="31"/>
        <v>20.506376040549558</v>
      </c>
      <c r="V45" s="104">
        <f t="shared" si="22"/>
        <v>261</v>
      </c>
      <c r="W45" s="105">
        <f t="shared" si="22"/>
        <v>255</v>
      </c>
      <c r="X45" s="105">
        <f t="shared" si="22"/>
        <v>139410</v>
      </c>
      <c r="Y45" s="106">
        <f t="shared" si="32"/>
        <v>1.4804077731761709</v>
      </c>
      <c r="Z45" s="107">
        <f t="shared" si="33"/>
        <v>3713872.65</v>
      </c>
      <c r="AA45" s="108">
        <f t="shared" si="34"/>
        <v>26.639930062405853</v>
      </c>
      <c r="AE45" s="62"/>
      <c r="AI45" s="62"/>
      <c r="AM45" s="62"/>
    </row>
    <row r="46" spans="1:39" s="61" customFormat="1" x14ac:dyDescent="0.2">
      <c r="A46" s="69">
        <v>5511020</v>
      </c>
      <c r="B46" s="70">
        <v>2560</v>
      </c>
      <c r="C46" s="11" t="s">
        <v>106</v>
      </c>
      <c r="D46" s="90">
        <f t="shared" si="19"/>
        <v>15417</v>
      </c>
      <c r="E46" s="91">
        <f t="shared" si="19"/>
        <v>15883</v>
      </c>
      <c r="F46" s="91">
        <f t="shared" si="19"/>
        <v>3470767</v>
      </c>
      <c r="G46" s="92">
        <f t="shared" si="23"/>
        <v>0.60760068274322732</v>
      </c>
      <c r="H46" s="93">
        <f t="shared" si="24"/>
        <v>62121532.589999996</v>
      </c>
      <c r="I46" s="22">
        <f t="shared" si="25"/>
        <v>17.898502720003965</v>
      </c>
      <c r="J46" s="94">
        <f t="shared" si="20"/>
        <v>12392</v>
      </c>
      <c r="K46" s="95">
        <f t="shared" si="20"/>
        <v>12878</v>
      </c>
      <c r="L46" s="95">
        <f t="shared" si="20"/>
        <v>2053506</v>
      </c>
      <c r="M46" s="96">
        <f t="shared" si="26"/>
        <v>0.44527454179789772</v>
      </c>
      <c r="N46" s="97">
        <f t="shared" si="27"/>
        <v>28384496.990000002</v>
      </c>
      <c r="O46" s="98">
        <f t="shared" si="28"/>
        <v>13.822456321043134</v>
      </c>
      <c r="P46" s="99">
        <f t="shared" si="21"/>
        <v>2314</v>
      </c>
      <c r="Q46" s="100">
        <f t="shared" si="21"/>
        <v>2291</v>
      </c>
      <c r="R46" s="100">
        <f t="shared" si="21"/>
        <v>931059</v>
      </c>
      <c r="S46" s="101">
        <f t="shared" si="29"/>
        <v>1.1078595332649146</v>
      </c>
      <c r="T46" s="102">
        <f t="shared" si="30"/>
        <v>20099567.59</v>
      </c>
      <c r="U46" s="103">
        <f t="shared" si="31"/>
        <v>21.587855968311352</v>
      </c>
      <c r="V46" s="104">
        <f t="shared" si="22"/>
        <v>711</v>
      </c>
      <c r="W46" s="105">
        <f t="shared" si="22"/>
        <v>714</v>
      </c>
      <c r="X46" s="105">
        <f t="shared" si="22"/>
        <v>486202</v>
      </c>
      <c r="Y46" s="106">
        <f t="shared" si="32"/>
        <v>1.8695582792597933</v>
      </c>
      <c r="Z46" s="107">
        <f t="shared" si="33"/>
        <v>13637468.01</v>
      </c>
      <c r="AA46" s="108">
        <f t="shared" si="34"/>
        <v>28.048975549257303</v>
      </c>
      <c r="AE46" s="62"/>
      <c r="AI46" s="62"/>
      <c r="AM46" s="62"/>
    </row>
    <row r="47" spans="1:39" s="61" customFormat="1" x14ac:dyDescent="0.2">
      <c r="A47" s="69">
        <v>5511021</v>
      </c>
      <c r="B47" s="70">
        <v>2560</v>
      </c>
      <c r="C47" s="11" t="s">
        <v>106</v>
      </c>
      <c r="D47" s="90">
        <f t="shared" si="19"/>
        <v>1069</v>
      </c>
      <c r="E47" s="91">
        <f t="shared" si="19"/>
        <v>1160</v>
      </c>
      <c r="F47" s="91">
        <f t="shared" si="19"/>
        <v>199476</v>
      </c>
      <c r="G47" s="92">
        <f t="shared" si="23"/>
        <v>0.49036302291708916</v>
      </c>
      <c r="H47" s="93">
        <f t="shared" si="24"/>
        <v>3643465.56</v>
      </c>
      <c r="I47" s="22">
        <f t="shared" si="25"/>
        <v>18.26518257835529</v>
      </c>
      <c r="J47" s="94">
        <f t="shared" si="20"/>
        <v>806</v>
      </c>
      <c r="K47" s="95">
        <f t="shared" si="20"/>
        <v>843</v>
      </c>
      <c r="L47" s="95">
        <f t="shared" si="20"/>
        <v>101340</v>
      </c>
      <c r="M47" s="96">
        <f t="shared" si="26"/>
        <v>0.33674206866760265</v>
      </c>
      <c r="N47" s="97">
        <f t="shared" si="27"/>
        <v>1326871.0599999998</v>
      </c>
      <c r="O47" s="98">
        <f t="shared" si="28"/>
        <v>13.0932609038879</v>
      </c>
      <c r="P47" s="99">
        <f t="shared" si="21"/>
        <v>190</v>
      </c>
      <c r="Q47" s="100">
        <f t="shared" si="21"/>
        <v>256</v>
      </c>
      <c r="R47" s="100">
        <f t="shared" si="21"/>
        <v>65959</v>
      </c>
      <c r="S47" s="101">
        <f t="shared" si="29"/>
        <v>0.81035690152957796</v>
      </c>
      <c r="T47" s="102">
        <f t="shared" si="30"/>
        <v>1408983.8499999999</v>
      </c>
      <c r="U47" s="103">
        <f t="shared" si="31"/>
        <v>21.361510180566714</v>
      </c>
      <c r="V47" s="104">
        <f t="shared" si="22"/>
        <v>73</v>
      </c>
      <c r="W47" s="105">
        <f t="shared" si="22"/>
        <v>61</v>
      </c>
      <c r="X47" s="105">
        <f t="shared" si="22"/>
        <v>32177</v>
      </c>
      <c r="Y47" s="106">
        <f t="shared" si="32"/>
        <v>1.3157636475158454</v>
      </c>
      <c r="Z47" s="107">
        <f t="shared" si="33"/>
        <v>907610.65</v>
      </c>
      <c r="AA47" s="108">
        <f t="shared" si="34"/>
        <v>28.206813873263513</v>
      </c>
      <c r="AE47" s="62"/>
      <c r="AI47" s="62"/>
      <c r="AM47" s="62"/>
    </row>
    <row r="48" spans="1:39" s="61" customFormat="1" x14ac:dyDescent="0.2">
      <c r="A48" s="69">
        <v>5511022</v>
      </c>
      <c r="B48" s="70">
        <v>2560</v>
      </c>
      <c r="C48" s="11" t="s">
        <v>106</v>
      </c>
      <c r="D48" s="90">
        <f t="shared" si="19"/>
        <v>38401</v>
      </c>
      <c r="E48" s="91">
        <f t="shared" si="19"/>
        <v>39665</v>
      </c>
      <c r="F48" s="91">
        <f t="shared" si="19"/>
        <v>8620486</v>
      </c>
      <c r="G48" s="92">
        <f t="shared" si="23"/>
        <v>0.60507185876088687</v>
      </c>
      <c r="H48" s="93">
        <f t="shared" si="24"/>
        <v>152219455.41999999</v>
      </c>
      <c r="I48" s="22">
        <f t="shared" si="25"/>
        <v>17.657873978334862</v>
      </c>
      <c r="J48" s="94">
        <f t="shared" si="20"/>
        <v>31182</v>
      </c>
      <c r="K48" s="95">
        <f t="shared" si="20"/>
        <v>32186</v>
      </c>
      <c r="L48" s="95">
        <f t="shared" si="20"/>
        <v>4996933</v>
      </c>
      <c r="M48" s="96">
        <f t="shared" si="26"/>
        <v>0.43208645995645351</v>
      </c>
      <c r="N48" s="97">
        <f t="shared" si="27"/>
        <v>67296252.519999996</v>
      </c>
      <c r="O48" s="98">
        <f t="shared" si="28"/>
        <v>13.467511475539094</v>
      </c>
      <c r="P48" s="99">
        <f t="shared" si="21"/>
        <v>5132</v>
      </c>
      <c r="Q48" s="100">
        <f t="shared" si="21"/>
        <v>5357</v>
      </c>
      <c r="R48" s="100">
        <f t="shared" si="21"/>
        <v>2309783</v>
      </c>
      <c r="S48" s="101">
        <f t="shared" si="29"/>
        <v>1.2066302989302558</v>
      </c>
      <c r="T48" s="102">
        <f t="shared" si="30"/>
        <v>49087861.399999991</v>
      </c>
      <c r="U48" s="103">
        <f t="shared" si="31"/>
        <v>21.252152864576452</v>
      </c>
      <c r="V48" s="104">
        <f t="shared" si="22"/>
        <v>2087</v>
      </c>
      <c r="W48" s="105">
        <f t="shared" si="22"/>
        <v>2122</v>
      </c>
      <c r="X48" s="105">
        <f t="shared" si="22"/>
        <v>1313770</v>
      </c>
      <c r="Y48" s="106">
        <f t="shared" si="32"/>
        <v>1.710320676176621</v>
      </c>
      <c r="Z48" s="107">
        <f t="shared" si="33"/>
        <v>35835341.499999993</v>
      </c>
      <c r="AA48" s="108">
        <f t="shared" si="34"/>
        <v>27.276723855773835</v>
      </c>
      <c r="AE48" s="62"/>
      <c r="AI48" s="62"/>
      <c r="AM48" s="62"/>
    </row>
    <row r="49" spans="1:39" s="61" customFormat="1" x14ac:dyDescent="0.2">
      <c r="A49" s="69">
        <v>5511023</v>
      </c>
      <c r="B49" s="70">
        <v>2560</v>
      </c>
      <c r="C49" s="11" t="s">
        <v>106</v>
      </c>
      <c r="D49" s="90">
        <f t="shared" si="19"/>
        <v>5374</v>
      </c>
      <c r="E49" s="91">
        <f t="shared" si="19"/>
        <v>5579</v>
      </c>
      <c r="F49" s="91">
        <f t="shared" si="19"/>
        <v>1049909</v>
      </c>
      <c r="G49" s="92">
        <f t="shared" si="23"/>
        <v>0.52523747168787183</v>
      </c>
      <c r="H49" s="93">
        <f t="shared" si="24"/>
        <v>16812945.710000001</v>
      </c>
      <c r="I49" s="22">
        <f t="shared" si="25"/>
        <v>16.013717103101317</v>
      </c>
      <c r="J49" s="94">
        <f t="shared" si="20"/>
        <v>4632</v>
      </c>
      <c r="K49" s="95">
        <f t="shared" si="20"/>
        <v>4812</v>
      </c>
      <c r="L49" s="95">
        <f t="shared" si="20"/>
        <v>751726</v>
      </c>
      <c r="M49" s="96">
        <f t="shared" si="26"/>
        <v>0.4361548682065296</v>
      </c>
      <c r="N49" s="97">
        <f t="shared" si="27"/>
        <v>10129176.659999998</v>
      </c>
      <c r="O49" s="98">
        <f t="shared" si="28"/>
        <v>13.474559427238114</v>
      </c>
      <c r="P49" s="99">
        <f t="shared" si="21"/>
        <v>581</v>
      </c>
      <c r="Q49" s="100">
        <f t="shared" si="21"/>
        <v>599</v>
      </c>
      <c r="R49" s="100">
        <f t="shared" si="21"/>
        <v>221943</v>
      </c>
      <c r="S49" s="101">
        <f t="shared" si="29"/>
        <v>1.0306152774553052</v>
      </c>
      <c r="T49" s="102">
        <f t="shared" si="30"/>
        <v>4627251.6500000013</v>
      </c>
      <c r="U49" s="103">
        <f t="shared" si="31"/>
        <v>20.848828978611632</v>
      </c>
      <c r="V49" s="104">
        <f t="shared" si="22"/>
        <v>161</v>
      </c>
      <c r="W49" s="105">
        <f t="shared" si="22"/>
        <v>168</v>
      </c>
      <c r="X49" s="105">
        <f t="shared" si="22"/>
        <v>76240</v>
      </c>
      <c r="Y49" s="106">
        <f t="shared" si="32"/>
        <v>1.2697672481991922</v>
      </c>
      <c r="Z49" s="107">
        <f t="shared" si="33"/>
        <v>2056517.4</v>
      </c>
      <c r="AA49" s="108">
        <f t="shared" si="34"/>
        <v>26.974257607555089</v>
      </c>
      <c r="AE49" s="62"/>
      <c r="AI49" s="62"/>
      <c r="AM49" s="62"/>
    </row>
    <row r="50" spans="1:39" s="61" customFormat="1" x14ac:dyDescent="0.2">
      <c r="A50" s="69">
        <v>5511024</v>
      </c>
      <c r="B50" s="70">
        <v>2560</v>
      </c>
      <c r="C50" s="11" t="s">
        <v>106</v>
      </c>
      <c r="D50" s="90">
        <f t="shared" si="19"/>
        <v>8027</v>
      </c>
      <c r="E50" s="91">
        <f t="shared" si="19"/>
        <v>8184</v>
      </c>
      <c r="F50" s="91">
        <f t="shared" si="19"/>
        <v>1376286</v>
      </c>
      <c r="G50" s="92">
        <f t="shared" si="23"/>
        <v>0.46519604902133932</v>
      </c>
      <c r="H50" s="93">
        <f t="shared" si="24"/>
        <v>22446181.899999995</v>
      </c>
      <c r="I50" s="22">
        <f t="shared" si="25"/>
        <v>16.30924233771178</v>
      </c>
      <c r="J50" s="94">
        <f t="shared" si="20"/>
        <v>6780</v>
      </c>
      <c r="K50" s="95">
        <f t="shared" si="20"/>
        <v>6921</v>
      </c>
      <c r="L50" s="95">
        <f t="shared" si="20"/>
        <v>897322</v>
      </c>
      <c r="M50" s="96">
        <f t="shared" si="26"/>
        <v>0.35886671605812193</v>
      </c>
      <c r="N50" s="97">
        <f t="shared" si="27"/>
        <v>11546880.499999998</v>
      </c>
      <c r="O50" s="98">
        <f t="shared" si="28"/>
        <v>12.868157138686</v>
      </c>
      <c r="P50" s="99">
        <f t="shared" si="21"/>
        <v>1008</v>
      </c>
      <c r="Q50" s="100">
        <f t="shared" si="21"/>
        <v>1019</v>
      </c>
      <c r="R50" s="100">
        <f t="shared" si="21"/>
        <v>327700</v>
      </c>
      <c r="S50" s="101">
        <f t="shared" si="29"/>
        <v>0.88584925424576444</v>
      </c>
      <c r="T50" s="102">
        <f t="shared" si="30"/>
        <v>6748779.1500000004</v>
      </c>
      <c r="U50" s="103">
        <f t="shared" si="31"/>
        <v>20.594382514494967</v>
      </c>
      <c r="V50" s="104">
        <f t="shared" si="22"/>
        <v>239</v>
      </c>
      <c r="W50" s="105">
        <f t="shared" si="22"/>
        <v>244</v>
      </c>
      <c r="X50" s="105">
        <f t="shared" si="22"/>
        <v>151264</v>
      </c>
      <c r="Y50" s="106">
        <f t="shared" si="32"/>
        <v>1.716032785955359</v>
      </c>
      <c r="Z50" s="107">
        <f t="shared" si="33"/>
        <v>4150522.2500000005</v>
      </c>
      <c r="AA50" s="108">
        <f t="shared" si="34"/>
        <v>27.438929619737682</v>
      </c>
      <c r="AE50" s="62"/>
      <c r="AI50" s="62"/>
      <c r="AM50" s="62"/>
    </row>
    <row r="51" spans="1:39" s="61" customFormat="1" x14ac:dyDescent="0.2">
      <c r="A51" s="69">
        <v>5511025</v>
      </c>
      <c r="B51" s="70">
        <v>2560</v>
      </c>
      <c r="C51" s="11" t="s">
        <v>106</v>
      </c>
      <c r="D51" s="90">
        <f t="shared" si="19"/>
        <v>12151</v>
      </c>
      <c r="E51" s="91">
        <f t="shared" si="19"/>
        <v>12365</v>
      </c>
      <c r="F51" s="91">
        <f t="shared" si="19"/>
        <v>2544536</v>
      </c>
      <c r="G51" s="92">
        <f t="shared" si="23"/>
        <v>0.56871687933180903</v>
      </c>
      <c r="H51" s="93">
        <f t="shared" si="24"/>
        <v>45393455.079999998</v>
      </c>
      <c r="I51" s="22">
        <f t="shared" si="25"/>
        <v>17.839580607230552</v>
      </c>
      <c r="J51" s="94">
        <f t="shared" si="20"/>
        <v>9135</v>
      </c>
      <c r="K51" s="95">
        <f t="shared" si="20"/>
        <v>9442</v>
      </c>
      <c r="L51" s="95">
        <f t="shared" si="20"/>
        <v>1440813</v>
      </c>
      <c r="M51" s="96">
        <f t="shared" si="26"/>
        <v>0.42498066175510885</v>
      </c>
      <c r="N51" s="97">
        <f t="shared" si="27"/>
        <v>20079450.460000001</v>
      </c>
      <c r="O51" s="98">
        <f t="shared" si="28"/>
        <v>13.936194676200174</v>
      </c>
      <c r="P51" s="99">
        <f t="shared" si="21"/>
        <v>2135</v>
      </c>
      <c r="Q51" s="100">
        <f t="shared" si="21"/>
        <v>2062</v>
      </c>
      <c r="R51" s="100">
        <f t="shared" si="21"/>
        <v>752830</v>
      </c>
      <c r="S51" s="101">
        <f t="shared" si="29"/>
        <v>0.98286773657635429</v>
      </c>
      <c r="T51" s="102">
        <f t="shared" si="30"/>
        <v>15992079.669999998</v>
      </c>
      <c r="U51" s="103">
        <f t="shared" si="31"/>
        <v>21.242617416946718</v>
      </c>
      <c r="V51" s="104">
        <f t="shared" si="22"/>
        <v>881</v>
      </c>
      <c r="W51" s="105">
        <f t="shared" si="22"/>
        <v>861</v>
      </c>
      <c r="X51" s="105">
        <f t="shared" si="22"/>
        <v>350893</v>
      </c>
      <c r="Y51" s="106">
        <f t="shared" si="32"/>
        <v>1.1037321296572984</v>
      </c>
      <c r="Z51" s="107">
        <f t="shared" si="33"/>
        <v>9321924.9499999993</v>
      </c>
      <c r="AA51" s="108">
        <f t="shared" si="34"/>
        <v>26.566289296167206</v>
      </c>
      <c r="AE51" s="62"/>
      <c r="AI51" s="62"/>
      <c r="AM51" s="62"/>
    </row>
    <row r="52" spans="1:39" s="61" customFormat="1" x14ac:dyDescent="0.2">
      <c r="A52" s="69">
        <v>5511026</v>
      </c>
      <c r="B52" s="70">
        <v>2560</v>
      </c>
      <c r="C52" s="11" t="s">
        <v>106</v>
      </c>
      <c r="D52" s="90">
        <f t="shared" si="19"/>
        <v>6016</v>
      </c>
      <c r="E52" s="91">
        <f t="shared" si="19"/>
        <v>6117</v>
      </c>
      <c r="F52" s="91">
        <f t="shared" si="19"/>
        <v>1120334</v>
      </c>
      <c r="G52" s="92">
        <f t="shared" si="23"/>
        <v>0.50596030976313888</v>
      </c>
      <c r="H52" s="93">
        <f t="shared" si="24"/>
        <v>18734734.429999996</v>
      </c>
      <c r="I52" s="22">
        <f t="shared" si="25"/>
        <v>16.722454580509023</v>
      </c>
      <c r="J52" s="94">
        <f t="shared" si="20"/>
        <v>5112</v>
      </c>
      <c r="K52" s="95">
        <f t="shared" si="20"/>
        <v>5199</v>
      </c>
      <c r="L52" s="95">
        <f t="shared" si="20"/>
        <v>750674</v>
      </c>
      <c r="M52" s="96">
        <f t="shared" si="26"/>
        <v>0.39892175267004382</v>
      </c>
      <c r="N52" s="97">
        <f t="shared" si="27"/>
        <v>9953212.9799999986</v>
      </c>
      <c r="O52" s="98">
        <f t="shared" si="28"/>
        <v>13.259035187045241</v>
      </c>
      <c r="P52" s="99">
        <f t="shared" si="21"/>
        <v>704</v>
      </c>
      <c r="Q52" s="100">
        <f t="shared" si="21"/>
        <v>712</v>
      </c>
      <c r="R52" s="100">
        <f t="shared" si="21"/>
        <v>261462</v>
      </c>
      <c r="S52" s="101">
        <f t="shared" si="29"/>
        <v>1.0117715347109357</v>
      </c>
      <c r="T52" s="102">
        <f t="shared" si="30"/>
        <v>5750811.9500000011</v>
      </c>
      <c r="U52" s="103">
        <f t="shared" si="31"/>
        <v>21.994828885268227</v>
      </c>
      <c r="V52" s="104">
        <f t="shared" si="22"/>
        <v>200</v>
      </c>
      <c r="W52" s="105">
        <f t="shared" si="22"/>
        <v>206</v>
      </c>
      <c r="X52" s="105">
        <f t="shared" si="22"/>
        <v>108198</v>
      </c>
      <c r="Y52" s="106">
        <f t="shared" si="32"/>
        <v>1.4602604764154126</v>
      </c>
      <c r="Z52" s="107">
        <f t="shared" si="33"/>
        <v>3030709.5</v>
      </c>
      <c r="AA52" s="108">
        <f t="shared" si="34"/>
        <v>28.010771918150059</v>
      </c>
      <c r="AE52" s="62"/>
      <c r="AI52" s="62"/>
      <c r="AM52" s="62"/>
    </row>
    <row r="53" spans="1:39" s="61" customFormat="1" x14ac:dyDescent="0.2">
      <c r="A53" s="69">
        <v>5511027</v>
      </c>
      <c r="B53" s="70">
        <v>2560</v>
      </c>
      <c r="C53" s="11" t="s">
        <v>106</v>
      </c>
      <c r="D53" s="90">
        <f t="shared" ref="D53:F63" si="35">+D19</f>
        <v>3672</v>
      </c>
      <c r="E53" s="91">
        <f t="shared" si="35"/>
        <v>3748</v>
      </c>
      <c r="F53" s="91">
        <f t="shared" si="35"/>
        <v>703354</v>
      </c>
      <c r="G53" s="92">
        <f t="shared" si="23"/>
        <v>0.51940626961562597</v>
      </c>
      <c r="H53" s="93">
        <f t="shared" si="24"/>
        <v>11859701.939999999</v>
      </c>
      <c r="I53" s="22">
        <f t="shared" si="25"/>
        <v>16.861639999203813</v>
      </c>
      <c r="J53" s="94">
        <f t="shared" ref="J53:L63" si="36">+J19</f>
        <v>3074</v>
      </c>
      <c r="K53" s="95">
        <f t="shared" si="36"/>
        <v>3143</v>
      </c>
      <c r="L53" s="95">
        <f t="shared" si="36"/>
        <v>421455</v>
      </c>
      <c r="M53" s="96">
        <f t="shared" si="26"/>
        <v>0.37145608263687063</v>
      </c>
      <c r="N53" s="97">
        <f t="shared" si="27"/>
        <v>5613243.4899999993</v>
      </c>
      <c r="O53" s="98">
        <f t="shared" si="28"/>
        <v>13.318725581616066</v>
      </c>
      <c r="P53" s="99">
        <f t="shared" ref="P53:R63" si="37">+P19+V19</f>
        <v>472</v>
      </c>
      <c r="Q53" s="100">
        <f t="shared" si="37"/>
        <v>488</v>
      </c>
      <c r="R53" s="100">
        <f t="shared" si="37"/>
        <v>227032</v>
      </c>
      <c r="S53" s="101">
        <f t="shared" si="29"/>
        <v>1.2958447488584475</v>
      </c>
      <c r="T53" s="102">
        <f t="shared" si="30"/>
        <v>4769400.1500000004</v>
      </c>
      <c r="U53" s="103">
        <f t="shared" si="31"/>
        <v>21.007611922548364</v>
      </c>
      <c r="V53" s="104">
        <f t="shared" si="22"/>
        <v>126</v>
      </c>
      <c r="W53" s="105">
        <f t="shared" si="22"/>
        <v>117</v>
      </c>
      <c r="X53" s="105">
        <f t="shared" si="22"/>
        <v>54867</v>
      </c>
      <c r="Y53" s="106">
        <f t="shared" si="32"/>
        <v>1.2372061559276171</v>
      </c>
      <c r="Z53" s="107">
        <f t="shared" si="33"/>
        <v>1477058.3</v>
      </c>
      <c r="AA53" s="108">
        <f t="shared" si="34"/>
        <v>26.920704612973189</v>
      </c>
      <c r="AE53" s="62"/>
      <c r="AI53" s="62"/>
      <c r="AM53" s="62"/>
    </row>
    <row r="54" spans="1:39" s="61" customFormat="1" x14ac:dyDescent="0.2">
      <c r="A54" s="69">
        <v>5511028</v>
      </c>
      <c r="B54" s="70">
        <v>2560</v>
      </c>
      <c r="C54" s="11" t="s">
        <v>106</v>
      </c>
      <c r="D54" s="90">
        <f t="shared" si="35"/>
        <v>14625</v>
      </c>
      <c r="E54" s="91">
        <f t="shared" si="35"/>
        <v>14921</v>
      </c>
      <c r="F54" s="91">
        <f t="shared" si="35"/>
        <v>3501054</v>
      </c>
      <c r="G54" s="92">
        <f t="shared" si="23"/>
        <v>0.64928780661499275</v>
      </c>
      <c r="H54" s="93">
        <f t="shared" si="24"/>
        <v>63710566.450000003</v>
      </c>
      <c r="I54" s="22">
        <f t="shared" si="25"/>
        <v>18.197538926848885</v>
      </c>
      <c r="J54" s="94">
        <f t="shared" si="36"/>
        <v>10969</v>
      </c>
      <c r="K54" s="95">
        <f t="shared" si="36"/>
        <v>11274</v>
      </c>
      <c r="L54" s="95">
        <f t="shared" si="36"/>
        <v>1842304</v>
      </c>
      <c r="M54" s="96">
        <f t="shared" si="26"/>
        <v>0.4538423970847531</v>
      </c>
      <c r="N54" s="97">
        <f t="shared" si="27"/>
        <v>25156192.100000001</v>
      </c>
      <c r="O54" s="98">
        <f t="shared" si="28"/>
        <v>13.654745416608769</v>
      </c>
      <c r="P54" s="99">
        <f t="shared" si="37"/>
        <v>2506</v>
      </c>
      <c r="Q54" s="100">
        <f t="shared" si="37"/>
        <v>2496</v>
      </c>
      <c r="R54" s="100">
        <f t="shared" si="37"/>
        <v>1044620</v>
      </c>
      <c r="S54" s="101">
        <f t="shared" si="29"/>
        <v>1.1443313085724616</v>
      </c>
      <c r="T54" s="102">
        <f t="shared" si="30"/>
        <v>22201448.099999998</v>
      </c>
      <c r="U54" s="103">
        <f t="shared" si="31"/>
        <v>21.253133292489132</v>
      </c>
      <c r="V54" s="104">
        <f t="shared" si="22"/>
        <v>1150</v>
      </c>
      <c r="W54" s="105">
        <f t="shared" si="22"/>
        <v>1151</v>
      </c>
      <c r="X54" s="105">
        <f t="shared" si="22"/>
        <v>614130</v>
      </c>
      <c r="Y54" s="106">
        <f t="shared" si="32"/>
        <v>1.4624493222124983</v>
      </c>
      <c r="Z54" s="107">
        <f t="shared" si="33"/>
        <v>16352926.249999998</v>
      </c>
      <c r="AA54" s="108">
        <f t="shared" si="34"/>
        <v>26.627792568348717</v>
      </c>
      <c r="AE54" s="62"/>
      <c r="AI54" s="62"/>
      <c r="AM54" s="62"/>
    </row>
    <row r="55" spans="1:39" s="61" customFormat="1" x14ac:dyDescent="0.2">
      <c r="A55" s="69">
        <v>5511029</v>
      </c>
      <c r="B55" s="70">
        <v>2560</v>
      </c>
      <c r="C55" s="11" t="s">
        <v>106</v>
      </c>
      <c r="D55" s="90">
        <f t="shared" si="35"/>
        <v>4719</v>
      </c>
      <c r="E55" s="91">
        <f t="shared" si="35"/>
        <v>4937</v>
      </c>
      <c r="F55" s="91">
        <f t="shared" si="35"/>
        <v>939324</v>
      </c>
      <c r="G55" s="92">
        <f t="shared" si="23"/>
        <v>0.53303446788709696</v>
      </c>
      <c r="H55" s="93">
        <f t="shared" si="24"/>
        <v>17120336.629999999</v>
      </c>
      <c r="I55" s="22">
        <f t="shared" si="25"/>
        <v>18.226231449425331</v>
      </c>
      <c r="J55" s="94">
        <f t="shared" si="36"/>
        <v>3105</v>
      </c>
      <c r="K55" s="95">
        <f t="shared" si="36"/>
        <v>3334</v>
      </c>
      <c r="L55" s="95">
        <f t="shared" si="36"/>
        <v>464479</v>
      </c>
      <c r="M55" s="96">
        <f t="shared" si="26"/>
        <v>0.39526175042070261</v>
      </c>
      <c r="N55" s="97">
        <f t="shared" si="27"/>
        <v>6324818.4100000001</v>
      </c>
      <c r="O55" s="98">
        <f t="shared" si="28"/>
        <v>13.617016937256583</v>
      </c>
      <c r="P55" s="99">
        <f t="shared" si="37"/>
        <v>1387</v>
      </c>
      <c r="Q55" s="100">
        <f t="shared" si="37"/>
        <v>1357</v>
      </c>
      <c r="R55" s="100">
        <f t="shared" si="37"/>
        <v>365301</v>
      </c>
      <c r="S55" s="101">
        <f t="shared" si="29"/>
        <v>0.72946403610367827</v>
      </c>
      <c r="T55" s="102">
        <f t="shared" si="30"/>
        <v>7887780.4700000007</v>
      </c>
      <c r="U55" s="103">
        <f t="shared" si="31"/>
        <v>21.592550992195481</v>
      </c>
      <c r="V55" s="104">
        <f t="shared" si="22"/>
        <v>227</v>
      </c>
      <c r="W55" s="105">
        <f t="shared" si="22"/>
        <v>246</v>
      </c>
      <c r="X55" s="105">
        <f t="shared" si="22"/>
        <v>109544</v>
      </c>
      <c r="Y55" s="106">
        <f t="shared" si="32"/>
        <v>1.269008659387761</v>
      </c>
      <c r="Z55" s="107">
        <f t="shared" si="33"/>
        <v>2907737.75</v>
      </c>
      <c r="AA55" s="108">
        <f t="shared" si="34"/>
        <v>26.544016559555978</v>
      </c>
      <c r="AE55" s="62"/>
      <c r="AI55" s="62"/>
      <c r="AM55" s="62"/>
    </row>
    <row r="56" spans="1:39" s="61" customFormat="1" x14ac:dyDescent="0.2">
      <c r="A56" s="69">
        <v>5511030</v>
      </c>
      <c r="B56" s="70">
        <v>2560</v>
      </c>
      <c r="C56" s="11" t="s">
        <v>106</v>
      </c>
      <c r="D56" s="90">
        <f t="shared" si="35"/>
        <v>20922</v>
      </c>
      <c r="E56" s="91">
        <f t="shared" si="35"/>
        <v>21959</v>
      </c>
      <c r="F56" s="91">
        <f t="shared" si="35"/>
        <v>4692173</v>
      </c>
      <c r="G56" s="92">
        <f t="shared" si="23"/>
        <v>0.59957876416831157</v>
      </c>
      <c r="H56" s="93">
        <f t="shared" si="24"/>
        <v>82239196.040000021</v>
      </c>
      <c r="I56" s="22">
        <f t="shared" si="25"/>
        <v>17.526889149227877</v>
      </c>
      <c r="J56" s="94">
        <f t="shared" si="36"/>
        <v>17543</v>
      </c>
      <c r="K56" s="95">
        <f t="shared" si="36"/>
        <v>18547</v>
      </c>
      <c r="L56" s="95">
        <f t="shared" si="36"/>
        <v>2807113</v>
      </c>
      <c r="M56" s="96">
        <f t="shared" si="26"/>
        <v>0.42619676076171825</v>
      </c>
      <c r="N56" s="97">
        <f t="shared" si="27"/>
        <v>37844571.890000001</v>
      </c>
      <c r="O56" s="98">
        <f t="shared" si="28"/>
        <v>13.481670274762719</v>
      </c>
      <c r="P56" s="99">
        <f t="shared" si="37"/>
        <v>2451</v>
      </c>
      <c r="Q56" s="100">
        <f t="shared" si="37"/>
        <v>2540</v>
      </c>
      <c r="R56" s="100">
        <f t="shared" si="37"/>
        <v>1261521</v>
      </c>
      <c r="S56" s="101">
        <f t="shared" si="29"/>
        <v>1.3849817342449287</v>
      </c>
      <c r="T56" s="102">
        <f t="shared" si="30"/>
        <v>27321847.599999994</v>
      </c>
      <c r="U56" s="103">
        <f t="shared" si="31"/>
        <v>21.657861898454321</v>
      </c>
      <c r="V56" s="104">
        <f t="shared" si="22"/>
        <v>928</v>
      </c>
      <c r="W56" s="105">
        <f t="shared" si="22"/>
        <v>872</v>
      </c>
      <c r="X56" s="105">
        <f t="shared" si="22"/>
        <v>623539</v>
      </c>
      <c r="Y56" s="106">
        <f t="shared" si="32"/>
        <v>1.8981400304414002</v>
      </c>
      <c r="Z56" s="107">
        <f t="shared" si="33"/>
        <v>17072776.550000004</v>
      </c>
      <c r="AA56" s="108">
        <f t="shared" si="34"/>
        <v>27.380447012937449</v>
      </c>
      <c r="AE56" s="62"/>
      <c r="AI56" s="62"/>
      <c r="AM56" s="62"/>
    </row>
    <row r="57" spans="1:39" s="61" customFormat="1" x14ac:dyDescent="0.2">
      <c r="A57" s="69">
        <v>5511031</v>
      </c>
      <c r="B57" s="70">
        <v>2560</v>
      </c>
      <c r="C57" s="11" t="s">
        <v>106</v>
      </c>
      <c r="D57" s="90">
        <f t="shared" si="35"/>
        <v>5901</v>
      </c>
      <c r="E57" s="91">
        <f t="shared" si="35"/>
        <v>6166</v>
      </c>
      <c r="F57" s="91">
        <f t="shared" si="35"/>
        <v>1014741</v>
      </c>
      <c r="G57" s="92">
        <f t="shared" si="23"/>
        <v>0.46077936997880553</v>
      </c>
      <c r="H57" s="93">
        <f t="shared" si="24"/>
        <v>17640478.93</v>
      </c>
      <c r="I57" s="22">
        <f t="shared" si="25"/>
        <v>17.384218169956668</v>
      </c>
      <c r="J57" s="94">
        <f t="shared" si="36"/>
        <v>4322</v>
      </c>
      <c r="K57" s="95">
        <f t="shared" si="36"/>
        <v>4556</v>
      </c>
      <c r="L57" s="95">
        <f t="shared" si="36"/>
        <v>545917</v>
      </c>
      <c r="M57" s="96">
        <f t="shared" si="26"/>
        <v>0.33693692581631679</v>
      </c>
      <c r="N57" s="97">
        <f t="shared" si="27"/>
        <v>6856312.1399999997</v>
      </c>
      <c r="O57" s="98">
        <f t="shared" si="28"/>
        <v>12.559257432906467</v>
      </c>
      <c r="P57" s="99">
        <f t="shared" si="37"/>
        <v>1194</v>
      </c>
      <c r="Q57" s="100">
        <f t="shared" si="37"/>
        <v>1225</v>
      </c>
      <c r="R57" s="100">
        <f t="shared" si="37"/>
        <v>334705</v>
      </c>
      <c r="S57" s="101">
        <f t="shared" si="29"/>
        <v>0.7581645307978504</v>
      </c>
      <c r="T57" s="102">
        <f t="shared" si="30"/>
        <v>7175725.8899999997</v>
      </c>
      <c r="U57" s="103">
        <f t="shared" si="31"/>
        <v>21.438956364559836</v>
      </c>
      <c r="V57" s="104">
        <f t="shared" si="22"/>
        <v>385</v>
      </c>
      <c r="W57" s="105">
        <f t="shared" si="22"/>
        <v>385</v>
      </c>
      <c r="X57" s="105">
        <f t="shared" si="22"/>
        <v>134119</v>
      </c>
      <c r="Y57" s="106">
        <f t="shared" si="32"/>
        <v>0.95441380537270948</v>
      </c>
      <c r="Z57" s="107">
        <f t="shared" si="33"/>
        <v>3608440.9000000004</v>
      </c>
      <c r="AA57" s="108">
        <f t="shared" si="34"/>
        <v>26.904770390474134</v>
      </c>
      <c r="AE57" s="62"/>
      <c r="AI57" s="62"/>
      <c r="AM57" s="62"/>
    </row>
    <row r="58" spans="1:39" s="61" customFormat="1" x14ac:dyDescent="0.2">
      <c r="A58" s="69">
        <v>5511032</v>
      </c>
      <c r="B58" s="70">
        <v>2560</v>
      </c>
      <c r="C58" s="11" t="s">
        <v>106</v>
      </c>
      <c r="D58" s="90">
        <f t="shared" si="35"/>
        <v>27714</v>
      </c>
      <c r="E58" s="91">
        <f t="shared" si="35"/>
        <v>29284</v>
      </c>
      <c r="F58" s="91">
        <f t="shared" si="35"/>
        <v>7423309</v>
      </c>
      <c r="G58" s="92">
        <f t="shared" si="23"/>
        <v>0.71363321087449838</v>
      </c>
      <c r="H58" s="93">
        <f t="shared" si="24"/>
        <v>140843685.99000001</v>
      </c>
      <c r="I58" s="22">
        <f t="shared" si="25"/>
        <v>18.97316762511166</v>
      </c>
      <c r="J58" s="94">
        <f t="shared" si="36"/>
        <v>21399</v>
      </c>
      <c r="K58" s="95">
        <f t="shared" si="36"/>
        <v>22499</v>
      </c>
      <c r="L58" s="95">
        <f t="shared" si="36"/>
        <v>3786169</v>
      </c>
      <c r="M58" s="96">
        <f t="shared" si="26"/>
        <v>0.4725985581768945</v>
      </c>
      <c r="N58" s="97">
        <f t="shared" si="27"/>
        <v>54334782.819999993</v>
      </c>
      <c r="O58" s="98">
        <f t="shared" si="28"/>
        <v>14.350860413256775</v>
      </c>
      <c r="P58" s="99">
        <f t="shared" si="37"/>
        <v>4589</v>
      </c>
      <c r="Q58" s="100">
        <f t="shared" si="37"/>
        <v>5064</v>
      </c>
      <c r="R58" s="100">
        <f t="shared" si="37"/>
        <v>2350183</v>
      </c>
      <c r="S58" s="101">
        <f t="shared" si="29"/>
        <v>1.3340635106695484</v>
      </c>
      <c r="T58" s="102">
        <f t="shared" si="30"/>
        <v>50812498.519999996</v>
      </c>
      <c r="U58" s="103">
        <f t="shared" si="31"/>
        <v>21.620656144649161</v>
      </c>
      <c r="V58" s="104">
        <f t="shared" si="22"/>
        <v>1726</v>
      </c>
      <c r="W58" s="105">
        <f t="shared" si="22"/>
        <v>1721</v>
      </c>
      <c r="X58" s="105">
        <f t="shared" si="22"/>
        <v>1286957</v>
      </c>
      <c r="Y58" s="106">
        <f t="shared" si="32"/>
        <v>2.0457845019095422</v>
      </c>
      <c r="Z58" s="107">
        <f t="shared" si="33"/>
        <v>35696404.649999999</v>
      </c>
      <c r="AA58" s="108">
        <f t="shared" si="34"/>
        <v>27.7370608730517</v>
      </c>
      <c r="AE58" s="62"/>
      <c r="AI58" s="62"/>
      <c r="AM58" s="62"/>
    </row>
    <row r="59" spans="1:39" s="61" customFormat="1" x14ac:dyDescent="0.2">
      <c r="A59" s="69">
        <v>5511033</v>
      </c>
      <c r="B59" s="70">
        <v>2560</v>
      </c>
      <c r="C59" s="11" t="s">
        <v>106</v>
      </c>
      <c r="D59" s="90">
        <f t="shared" si="35"/>
        <v>6969</v>
      </c>
      <c r="E59" s="91">
        <f t="shared" si="35"/>
        <v>7473</v>
      </c>
      <c r="F59" s="91">
        <f t="shared" si="35"/>
        <v>1187814</v>
      </c>
      <c r="G59" s="92">
        <f t="shared" si="23"/>
        <v>0.45066956536585645</v>
      </c>
      <c r="H59" s="93">
        <f t="shared" si="24"/>
        <v>18844766.27</v>
      </c>
      <c r="I59" s="22">
        <f t="shared" si="25"/>
        <v>15.865081797318435</v>
      </c>
      <c r="J59" s="94">
        <f t="shared" si="36"/>
        <v>5854</v>
      </c>
      <c r="K59" s="95">
        <f t="shared" si="36"/>
        <v>6369</v>
      </c>
      <c r="L59" s="95">
        <f t="shared" si="36"/>
        <v>848996</v>
      </c>
      <c r="M59" s="96">
        <f t="shared" si="26"/>
        <v>0.38059665194406683</v>
      </c>
      <c r="N59" s="97">
        <f t="shared" si="27"/>
        <v>11208973.92</v>
      </c>
      <c r="O59" s="98">
        <f t="shared" si="28"/>
        <v>13.202622768540722</v>
      </c>
      <c r="P59" s="99">
        <f t="shared" si="37"/>
        <v>881</v>
      </c>
      <c r="Q59" s="100">
        <f t="shared" si="37"/>
        <v>882</v>
      </c>
      <c r="R59" s="100">
        <f t="shared" si="37"/>
        <v>241764</v>
      </c>
      <c r="S59" s="101">
        <f t="shared" si="29"/>
        <v>0.75140910185782328</v>
      </c>
      <c r="T59" s="102">
        <f t="shared" si="30"/>
        <v>5034040</v>
      </c>
      <c r="U59" s="103">
        <f t="shared" si="31"/>
        <v>20.822124054863419</v>
      </c>
      <c r="V59" s="104">
        <f t="shared" si="22"/>
        <v>234</v>
      </c>
      <c r="W59" s="105">
        <f t="shared" si="22"/>
        <v>222</v>
      </c>
      <c r="X59" s="105">
        <f t="shared" si="22"/>
        <v>97054</v>
      </c>
      <c r="Y59" s="106">
        <f t="shared" si="32"/>
        <v>1.1662340783465512</v>
      </c>
      <c r="Z59" s="107">
        <f t="shared" si="33"/>
        <v>2601752.35</v>
      </c>
      <c r="AA59" s="108">
        <f t="shared" si="34"/>
        <v>26.807265542893649</v>
      </c>
      <c r="AE59" s="62"/>
      <c r="AI59" s="62"/>
      <c r="AM59" s="62"/>
    </row>
    <row r="60" spans="1:39" s="61" customFormat="1" x14ac:dyDescent="0.2">
      <c r="A60" s="69">
        <v>5511034</v>
      </c>
      <c r="B60" s="70">
        <v>2560</v>
      </c>
      <c r="C60" s="11" t="s">
        <v>106</v>
      </c>
      <c r="D60" s="90">
        <f t="shared" si="35"/>
        <v>2239</v>
      </c>
      <c r="E60" s="91">
        <f t="shared" si="35"/>
        <v>2330</v>
      </c>
      <c r="F60" s="91">
        <f t="shared" si="35"/>
        <v>507576</v>
      </c>
      <c r="G60" s="92">
        <f t="shared" si="23"/>
        <v>0.60871927252448754</v>
      </c>
      <c r="H60" s="93">
        <f t="shared" si="24"/>
        <v>9217040.2300000004</v>
      </c>
      <c r="I60" s="22">
        <f t="shared" si="25"/>
        <v>18.158936257821491</v>
      </c>
      <c r="J60" s="94">
        <f t="shared" si="36"/>
        <v>1528</v>
      </c>
      <c r="K60" s="95">
        <f t="shared" si="36"/>
        <v>1579</v>
      </c>
      <c r="L60" s="95">
        <f t="shared" si="36"/>
        <v>235285</v>
      </c>
      <c r="M60" s="96">
        <f t="shared" si="26"/>
        <v>0.41494460145231049</v>
      </c>
      <c r="N60" s="97">
        <f t="shared" si="27"/>
        <v>3256692.5800000005</v>
      </c>
      <c r="O60" s="98">
        <f t="shared" si="28"/>
        <v>13.841479822343118</v>
      </c>
      <c r="P60" s="99">
        <f t="shared" si="37"/>
        <v>549</v>
      </c>
      <c r="Q60" s="100">
        <f t="shared" si="37"/>
        <v>585</v>
      </c>
      <c r="R60" s="100">
        <f t="shared" si="37"/>
        <v>218995</v>
      </c>
      <c r="S60" s="101">
        <f t="shared" si="29"/>
        <v>1.0581768983595468</v>
      </c>
      <c r="T60" s="102">
        <f t="shared" si="30"/>
        <v>4548511.95</v>
      </c>
      <c r="U60" s="103">
        <f t="shared" si="31"/>
        <v>20.769935158336949</v>
      </c>
      <c r="V60" s="104">
        <f t="shared" si="22"/>
        <v>162</v>
      </c>
      <c r="W60" s="105">
        <f t="shared" si="22"/>
        <v>166</v>
      </c>
      <c r="X60" s="105">
        <f t="shared" si="22"/>
        <v>53296</v>
      </c>
      <c r="Y60" s="106">
        <f t="shared" si="32"/>
        <v>0.89034413631807552</v>
      </c>
      <c r="Z60" s="107">
        <f t="shared" si="33"/>
        <v>1411835.7</v>
      </c>
      <c r="AA60" s="108">
        <f t="shared" si="34"/>
        <v>26.490462698889221</v>
      </c>
      <c r="AE60" s="62"/>
      <c r="AI60" s="62"/>
      <c r="AM60" s="62"/>
    </row>
    <row r="61" spans="1:39" s="61" customFormat="1" x14ac:dyDescent="0.2">
      <c r="A61" s="69">
        <v>5511035</v>
      </c>
      <c r="B61" s="70">
        <v>2560</v>
      </c>
      <c r="C61" s="11" t="s">
        <v>106</v>
      </c>
      <c r="D61" s="90">
        <f t="shared" si="35"/>
        <v>3544</v>
      </c>
      <c r="E61" s="91">
        <f t="shared" si="35"/>
        <v>3744</v>
      </c>
      <c r="F61" s="91">
        <f t="shared" si="35"/>
        <v>753527</v>
      </c>
      <c r="G61" s="92">
        <f t="shared" si="23"/>
        <v>0.56653609611596467</v>
      </c>
      <c r="H61" s="93">
        <f t="shared" si="24"/>
        <v>13064557.759999998</v>
      </c>
      <c r="I61" s="22">
        <f t="shared" si="25"/>
        <v>17.337876094685392</v>
      </c>
      <c r="J61" s="94">
        <f t="shared" si="36"/>
        <v>2813</v>
      </c>
      <c r="K61" s="95">
        <f t="shared" si="36"/>
        <v>3000</v>
      </c>
      <c r="L61" s="95">
        <f t="shared" si="36"/>
        <v>455013</v>
      </c>
      <c r="M61" s="96">
        <f t="shared" si="26"/>
        <v>0.42890451020268694</v>
      </c>
      <c r="N61" s="97">
        <f t="shared" si="27"/>
        <v>6219192.9100000001</v>
      </c>
      <c r="O61" s="98">
        <f t="shared" si="28"/>
        <v>13.6681653271445</v>
      </c>
      <c r="P61" s="99">
        <f t="shared" si="37"/>
        <v>475</v>
      </c>
      <c r="Q61" s="100">
        <f t="shared" si="37"/>
        <v>496</v>
      </c>
      <c r="R61" s="100">
        <f t="shared" si="37"/>
        <v>167194</v>
      </c>
      <c r="S61" s="101">
        <f t="shared" si="29"/>
        <v>0.94349279799105568</v>
      </c>
      <c r="T61" s="102">
        <f t="shared" si="30"/>
        <v>3384608.8</v>
      </c>
      <c r="U61" s="103">
        <f t="shared" si="31"/>
        <v>20.243602043135517</v>
      </c>
      <c r="V61" s="104">
        <f t="shared" si="22"/>
        <v>256</v>
      </c>
      <c r="W61" s="105">
        <f t="shared" si="22"/>
        <v>248</v>
      </c>
      <c r="X61" s="105">
        <f t="shared" si="22"/>
        <v>131320</v>
      </c>
      <c r="Y61" s="106">
        <f t="shared" si="32"/>
        <v>1.4277016742770168</v>
      </c>
      <c r="Z61" s="107">
        <f t="shared" si="33"/>
        <v>3460756.05</v>
      </c>
      <c r="AA61" s="108">
        <f t="shared" si="34"/>
        <v>26.353609884252208</v>
      </c>
      <c r="AE61" s="62"/>
      <c r="AI61" s="62"/>
      <c r="AM61" s="62"/>
    </row>
    <row r="62" spans="1:39" s="61" customFormat="1" x14ac:dyDescent="0.2">
      <c r="A62" s="69">
        <v>5511036</v>
      </c>
      <c r="B62" s="70">
        <v>2560</v>
      </c>
      <c r="C62" s="11" t="s">
        <v>106</v>
      </c>
      <c r="D62" s="90">
        <f t="shared" si="35"/>
        <v>18089</v>
      </c>
      <c r="E62" s="91">
        <f t="shared" si="35"/>
        <v>18785</v>
      </c>
      <c r="F62" s="91">
        <f t="shared" si="35"/>
        <v>3874267</v>
      </c>
      <c r="G62" s="92">
        <f t="shared" si="23"/>
        <v>0.57571351830483819</v>
      </c>
      <c r="H62" s="93">
        <f t="shared" si="24"/>
        <v>69762965.810000002</v>
      </c>
      <c r="I62" s="22">
        <f t="shared" si="25"/>
        <v>18.006752195963777</v>
      </c>
      <c r="J62" s="94">
        <f t="shared" si="36"/>
        <v>13452</v>
      </c>
      <c r="K62" s="95">
        <f t="shared" si="36"/>
        <v>14158</v>
      </c>
      <c r="L62" s="95">
        <f t="shared" si="36"/>
        <v>2155303</v>
      </c>
      <c r="M62" s="96">
        <f t="shared" si="26"/>
        <v>0.42773920507261115</v>
      </c>
      <c r="N62" s="97">
        <f t="shared" si="27"/>
        <v>30185200.380000003</v>
      </c>
      <c r="O62" s="98">
        <f t="shared" si="28"/>
        <v>14.005084380247233</v>
      </c>
      <c r="P62" s="99">
        <f t="shared" si="37"/>
        <v>3453</v>
      </c>
      <c r="Q62" s="100">
        <f t="shared" si="37"/>
        <v>3453</v>
      </c>
      <c r="R62" s="100">
        <f t="shared" si="37"/>
        <v>1154379</v>
      </c>
      <c r="S62" s="101">
        <f t="shared" si="29"/>
        <v>0.91592302107756207</v>
      </c>
      <c r="T62" s="102">
        <f t="shared" si="30"/>
        <v>24290050.82</v>
      </c>
      <c r="U62" s="103">
        <f t="shared" si="31"/>
        <v>21.041660338588972</v>
      </c>
      <c r="V62" s="104">
        <f t="shared" si="22"/>
        <v>1184</v>
      </c>
      <c r="W62" s="105">
        <f t="shared" si="22"/>
        <v>1174</v>
      </c>
      <c r="X62" s="105">
        <f t="shared" si="22"/>
        <v>564585</v>
      </c>
      <c r="Y62" s="106">
        <f t="shared" si="32"/>
        <v>1.3119662588448535</v>
      </c>
      <c r="Z62" s="107">
        <f>+AF28+AL28+AR28+AX28</f>
        <v>15287714.609999999</v>
      </c>
      <c r="AA62" s="108">
        <f t="shared" si="34"/>
        <v>27.077790961502696</v>
      </c>
      <c r="AE62" s="62"/>
      <c r="AI62" s="62"/>
      <c r="AM62" s="62"/>
    </row>
    <row r="63" spans="1:39" s="61" customFormat="1" x14ac:dyDescent="0.2">
      <c r="A63" s="69">
        <v>5511037</v>
      </c>
      <c r="B63" s="70">
        <v>2560</v>
      </c>
      <c r="C63" s="11" t="s">
        <v>106</v>
      </c>
      <c r="D63" s="90">
        <f t="shared" si="35"/>
        <v>3284</v>
      </c>
      <c r="E63" s="91">
        <f t="shared" si="35"/>
        <v>3511</v>
      </c>
      <c r="F63" s="91">
        <f t="shared" si="35"/>
        <v>598115</v>
      </c>
      <c r="G63" s="92">
        <f t="shared" si="23"/>
        <v>0.48231677200197565</v>
      </c>
      <c r="H63" s="93">
        <f>+H29</f>
        <v>10181185.290000001</v>
      </c>
      <c r="I63" s="22">
        <f t="shared" si="25"/>
        <v>17.022119976927517</v>
      </c>
      <c r="J63" s="94">
        <f t="shared" si="36"/>
        <v>2487</v>
      </c>
      <c r="K63" s="95">
        <f t="shared" si="36"/>
        <v>2709</v>
      </c>
      <c r="L63" s="95">
        <f t="shared" si="36"/>
        <v>341406</v>
      </c>
      <c r="M63" s="96">
        <f t="shared" si="26"/>
        <v>0.36003037109683955</v>
      </c>
      <c r="N63" s="97">
        <f t="shared" si="27"/>
        <v>4484652.1899999995</v>
      </c>
      <c r="O63" s="98">
        <f>+N63/L63</f>
        <v>13.13583296720034</v>
      </c>
      <c r="P63" s="99">
        <f t="shared" si="37"/>
        <v>660</v>
      </c>
      <c r="Q63" s="100">
        <f t="shared" si="37"/>
        <v>667</v>
      </c>
      <c r="R63" s="100">
        <f t="shared" si="37"/>
        <v>185675</v>
      </c>
      <c r="S63" s="109">
        <f t="shared" si="29"/>
        <v>0.76668972138204416</v>
      </c>
      <c r="T63" s="102">
        <f t="shared" si="30"/>
        <v>3757502.5</v>
      </c>
      <c r="U63" s="103">
        <f t="shared" si="31"/>
        <v>20.236986670257171</v>
      </c>
      <c r="V63" s="104">
        <f t="shared" si="22"/>
        <v>137</v>
      </c>
      <c r="W63" s="105">
        <f t="shared" si="22"/>
        <v>135</v>
      </c>
      <c r="X63" s="105">
        <f t="shared" si="22"/>
        <v>71034</v>
      </c>
      <c r="Y63" s="106">
        <f t="shared" si="32"/>
        <v>1.4309830781627717</v>
      </c>
      <c r="Z63" s="107">
        <f>+AF29+AL29+AR29+AX29</f>
        <v>1939030.6</v>
      </c>
      <c r="AA63" s="108">
        <f>+Z63/X63</f>
        <v>27.297218233521978</v>
      </c>
      <c r="AE63" s="62"/>
      <c r="AI63" s="62"/>
      <c r="AM63" s="62"/>
    </row>
    <row r="64" spans="1:39" s="61" customFormat="1" ht="13.5" thickBot="1" x14ac:dyDescent="0.25">
      <c r="A64" s="69"/>
      <c r="B64" s="70"/>
      <c r="C64" s="110"/>
      <c r="D64" s="90"/>
      <c r="E64" s="91"/>
      <c r="F64" s="91"/>
      <c r="G64" s="92"/>
      <c r="H64" s="93"/>
      <c r="I64" s="32"/>
      <c r="J64" s="111"/>
      <c r="K64" s="112"/>
      <c r="L64" s="112"/>
      <c r="M64" s="113"/>
      <c r="N64" s="113"/>
      <c r="O64" s="98"/>
      <c r="P64" s="114"/>
      <c r="Q64" s="100"/>
      <c r="R64" s="100"/>
      <c r="S64" s="109"/>
      <c r="T64" s="109"/>
      <c r="U64" s="103"/>
      <c r="V64" s="115"/>
      <c r="W64" s="105"/>
      <c r="X64" s="105"/>
      <c r="Y64" s="116"/>
      <c r="Z64" s="107"/>
      <c r="AA64" s="108"/>
      <c r="AE64" s="62"/>
      <c r="AI64" s="62"/>
      <c r="AM64" s="62"/>
    </row>
    <row r="65" spans="1:51" s="61" customFormat="1" ht="13.5" thickBot="1" x14ac:dyDescent="0.25">
      <c r="A65" s="117" t="s">
        <v>21</v>
      </c>
      <c r="B65" s="118"/>
      <c r="C65" s="119"/>
      <c r="D65" s="120">
        <f>SUM(D37:D64)</f>
        <v>365987</v>
      </c>
      <c r="E65" s="121">
        <f>SUM(E37:E64)</f>
        <v>381757</v>
      </c>
      <c r="F65" s="121">
        <f>SUM(F37:F64)</f>
        <v>92253820</v>
      </c>
      <c r="G65" s="122">
        <f>+(F65/((D65+E65)/2)/$A$32)</f>
        <v>0.67603402175295801</v>
      </c>
      <c r="H65" s="123">
        <f>SUM(H37:H63)</f>
        <v>1727546065.8300004</v>
      </c>
      <c r="I65" s="43">
        <f>+H65/F65</f>
        <v>18.726011192056877</v>
      </c>
      <c r="J65" s="124">
        <f>SUM(J37:J63)</f>
        <v>286319</v>
      </c>
      <c r="K65" s="125">
        <f>SUM(K37:K63)</f>
        <v>300481</v>
      </c>
      <c r="L65" s="125">
        <f>SUM(L37:L63)</f>
        <v>49104734</v>
      </c>
      <c r="M65" s="126">
        <f>+(L65/((J65+K65)/2)/$A$32)</f>
        <v>0.4585327805324444</v>
      </c>
      <c r="N65" s="127">
        <f>SUM(N37:N63)</f>
        <v>686292847.74000001</v>
      </c>
      <c r="O65" s="128">
        <f>+N65/L65</f>
        <v>13.976103561420372</v>
      </c>
      <c r="P65" s="129">
        <f>SUM(P37:P63)</f>
        <v>56720</v>
      </c>
      <c r="Q65" s="130">
        <f>SUM(Q37:Q63)</f>
        <v>58596</v>
      </c>
      <c r="R65" s="130">
        <f>SUM(R37:R63)</f>
        <v>25588960</v>
      </c>
      <c r="S65" s="131">
        <f>+(R65/((P65+Q65)/2)/$A$32)</f>
        <v>1.2159065476781608</v>
      </c>
      <c r="T65" s="132">
        <f>SUM(T37:T63)</f>
        <v>555075538.6500001</v>
      </c>
      <c r="U65" s="133">
        <f>+T65/R65</f>
        <v>21.69199290045395</v>
      </c>
      <c r="V65" s="134">
        <f>SUM(V37:V63)</f>
        <v>22948</v>
      </c>
      <c r="W65" s="135">
        <f>SUM(W37:W63)</f>
        <v>22680</v>
      </c>
      <c r="X65" s="135">
        <f>SUM(X37:X63)</f>
        <v>17560126</v>
      </c>
      <c r="Y65" s="136">
        <f>+(X65/((V65+W65)/2)/$A$32)</f>
        <v>2.1087899643453731</v>
      </c>
      <c r="Z65" s="137">
        <f>SUM(Z37:Z63)</f>
        <v>486177679.44</v>
      </c>
      <c r="AA65" s="138">
        <f>+Z65/X65</f>
        <v>27.68645734318763</v>
      </c>
      <c r="AE65" s="62"/>
      <c r="AI65" s="62"/>
      <c r="AM65" s="62"/>
    </row>
    <row r="66" spans="1:51" x14ac:dyDescent="0.2">
      <c r="D66" s="49">
        <f>+J65+P65+V65</f>
        <v>365987</v>
      </c>
      <c r="E66" s="49">
        <f>+K65+Q65+W65</f>
        <v>381757</v>
      </c>
      <c r="F66" s="49">
        <f>+L65+R65+X65</f>
        <v>92253820</v>
      </c>
      <c r="G66" s="55"/>
      <c r="H66" s="55"/>
      <c r="I66" s="53"/>
      <c r="J66" s="53"/>
      <c r="K66" s="52"/>
      <c r="L66" s="52"/>
      <c r="M66" s="52"/>
      <c r="N66" s="52"/>
      <c r="O66" s="52"/>
      <c r="P66" s="52"/>
      <c r="Q66" s="52"/>
      <c r="R66" s="52"/>
      <c r="S66" s="52"/>
      <c r="T66" s="139"/>
      <c r="X66" s="139"/>
      <c r="AB66" s="139"/>
      <c r="AF66" s="139"/>
    </row>
    <row r="67" spans="1:51" ht="43.5" customHeight="1" x14ac:dyDescent="0.2">
      <c r="A67" s="140"/>
      <c r="B67" s="140"/>
      <c r="C67" s="141"/>
      <c r="D67" s="142"/>
      <c r="E67" s="142"/>
      <c r="F67" s="142"/>
      <c r="G67" s="143"/>
      <c r="H67" s="143"/>
      <c r="I67" s="144"/>
      <c r="J67" s="144"/>
      <c r="K67" s="145"/>
      <c r="L67" s="145"/>
      <c r="M67" s="145"/>
      <c r="N67" s="145"/>
      <c r="O67" s="145"/>
      <c r="P67" s="145"/>
      <c r="Q67" s="145"/>
      <c r="R67" s="145"/>
      <c r="S67" s="145"/>
      <c r="T67" s="146"/>
      <c r="U67" s="140"/>
      <c r="V67" s="140"/>
      <c r="W67" s="140"/>
      <c r="X67" s="146"/>
      <c r="Y67" s="140"/>
      <c r="Z67" s="140"/>
      <c r="AA67" s="140"/>
      <c r="AB67" s="146"/>
      <c r="AC67" s="140"/>
      <c r="AD67" s="140"/>
      <c r="AE67" s="140"/>
      <c r="AF67" s="146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</row>
    <row r="68" spans="1:51" ht="43.5" customHeight="1" x14ac:dyDescent="0.2">
      <c r="A68" s="140"/>
      <c r="B68" s="140"/>
      <c r="C68" s="141"/>
      <c r="D68" s="142"/>
      <c r="E68" s="142"/>
      <c r="F68" s="142"/>
      <c r="G68" s="143"/>
      <c r="H68" s="143"/>
      <c r="I68" s="144"/>
      <c r="J68" s="144"/>
      <c r="K68" s="145"/>
      <c r="L68" s="145"/>
      <c r="M68" s="145"/>
      <c r="N68" s="145"/>
      <c r="O68" s="145"/>
      <c r="P68" s="145"/>
      <c r="Q68" s="145"/>
      <c r="R68" s="145"/>
      <c r="S68" s="145"/>
      <c r="T68" s="146"/>
      <c r="U68" s="140"/>
      <c r="V68" s="140"/>
      <c r="W68" s="140"/>
      <c r="X68" s="146"/>
      <c r="Y68" s="140"/>
      <c r="Z68" s="140"/>
      <c r="AA68" s="140"/>
      <c r="AB68" s="146"/>
      <c r="AC68" s="140"/>
      <c r="AD68" s="140"/>
      <c r="AE68" s="140"/>
      <c r="AF68" s="146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</row>
    <row r="69" spans="1:51" ht="21" thickBot="1" x14ac:dyDescent="0.35">
      <c r="A69" s="147"/>
      <c r="B69" s="148"/>
      <c r="C69" s="149"/>
      <c r="D69" s="149"/>
      <c r="E69" s="148"/>
      <c r="F69" s="148"/>
      <c r="G69" s="148"/>
      <c r="H69" s="148"/>
      <c r="I69" s="150"/>
      <c r="J69" s="150"/>
      <c r="K69" s="150"/>
      <c r="L69" s="150"/>
      <c r="M69" s="148"/>
      <c r="N69" s="148"/>
      <c r="O69" s="148"/>
      <c r="P69" s="150"/>
      <c r="Q69" s="148"/>
      <c r="R69" s="148"/>
      <c r="S69" s="148"/>
      <c r="T69" s="150"/>
      <c r="U69" s="148"/>
      <c r="V69" s="148"/>
      <c r="W69" s="148"/>
      <c r="X69" s="150"/>
      <c r="Y69" s="148"/>
      <c r="Z69" s="148"/>
      <c r="AA69" s="148"/>
      <c r="AB69" s="150"/>
      <c r="AC69" s="148"/>
      <c r="AD69" s="148"/>
      <c r="AE69" s="148"/>
      <c r="AF69" s="150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</row>
    <row r="70" spans="1:51" ht="16.5" customHeight="1" thickBot="1" x14ac:dyDescent="0.25">
      <c r="A70" s="788" t="s">
        <v>0</v>
      </c>
      <c r="B70" s="790" t="s">
        <v>1</v>
      </c>
      <c r="C70" s="792" t="s">
        <v>2</v>
      </c>
      <c r="D70" s="794" t="s">
        <v>3</v>
      </c>
      <c r="E70" s="795"/>
      <c r="F70" s="795"/>
      <c r="G70" s="795"/>
      <c r="H70" s="795"/>
      <c r="I70" s="796"/>
      <c r="J70" s="797" t="s">
        <v>4</v>
      </c>
      <c r="K70" s="798"/>
      <c r="L70" s="798"/>
      <c r="M70" s="798"/>
      <c r="N70" s="798"/>
      <c r="O70" s="799"/>
      <c r="P70" s="784" t="s">
        <v>5</v>
      </c>
      <c r="Q70" s="785"/>
      <c r="R70" s="785"/>
      <c r="S70" s="785"/>
      <c r="T70" s="785"/>
      <c r="U70" s="786"/>
      <c r="V70" s="784" t="s">
        <v>6</v>
      </c>
      <c r="W70" s="785"/>
      <c r="X70" s="785"/>
      <c r="Y70" s="785"/>
      <c r="Z70" s="785"/>
      <c r="AA70" s="786"/>
      <c r="AB70" s="766" t="s">
        <v>7</v>
      </c>
      <c r="AC70" s="767"/>
      <c r="AD70" s="767"/>
      <c r="AE70" s="767"/>
      <c r="AF70" s="767"/>
      <c r="AG70" s="787"/>
      <c r="AH70" s="766" t="s">
        <v>8</v>
      </c>
      <c r="AI70" s="767"/>
      <c r="AJ70" s="767"/>
      <c r="AK70" s="767"/>
      <c r="AL70" s="767"/>
      <c r="AM70" s="787"/>
      <c r="AN70" s="766" t="s">
        <v>9</v>
      </c>
      <c r="AO70" s="767"/>
      <c r="AP70" s="767"/>
      <c r="AQ70" s="767"/>
      <c r="AR70" s="767"/>
      <c r="AS70" s="787"/>
      <c r="AT70" s="766" t="s">
        <v>10</v>
      </c>
      <c r="AU70" s="767"/>
      <c r="AV70" s="767"/>
      <c r="AW70" s="767"/>
      <c r="AX70" s="767"/>
      <c r="AY70" s="767"/>
    </row>
    <row r="71" spans="1:51" s="8" customFormat="1" ht="15" customHeight="1" thickBot="1" x14ac:dyDescent="0.25">
      <c r="A71" s="789"/>
      <c r="B71" s="791"/>
      <c r="C71" s="793"/>
      <c r="D71" s="2" t="s">
        <v>22</v>
      </c>
      <c r="E71" s="3" t="s">
        <v>11</v>
      </c>
      <c r="F71" s="4" t="s">
        <v>12</v>
      </c>
      <c r="G71" s="4" t="s">
        <v>13</v>
      </c>
      <c r="H71" s="4" t="s">
        <v>14</v>
      </c>
      <c r="I71" s="5" t="s">
        <v>15</v>
      </c>
      <c r="J71" s="2" t="s">
        <v>22</v>
      </c>
      <c r="K71" s="3" t="s">
        <v>11</v>
      </c>
      <c r="L71" s="4" t="s">
        <v>12</v>
      </c>
      <c r="M71" s="6" t="s">
        <v>13</v>
      </c>
      <c r="N71" s="4" t="s">
        <v>14</v>
      </c>
      <c r="O71" s="5" t="s">
        <v>15</v>
      </c>
      <c r="P71" s="2" t="s">
        <v>22</v>
      </c>
      <c r="Q71" s="3" t="s">
        <v>11</v>
      </c>
      <c r="R71" s="4" t="s">
        <v>12</v>
      </c>
      <c r="S71" s="6" t="s">
        <v>13</v>
      </c>
      <c r="T71" s="4" t="s">
        <v>14</v>
      </c>
      <c r="U71" s="5" t="s">
        <v>15</v>
      </c>
      <c r="V71" s="2" t="s">
        <v>22</v>
      </c>
      <c r="W71" s="3" t="s">
        <v>11</v>
      </c>
      <c r="X71" s="4" t="s">
        <v>12</v>
      </c>
      <c r="Y71" s="6" t="s">
        <v>13</v>
      </c>
      <c r="Z71" s="4" t="s">
        <v>14</v>
      </c>
      <c r="AA71" s="5" t="s">
        <v>15</v>
      </c>
      <c r="AB71" s="2" t="s">
        <v>22</v>
      </c>
      <c r="AC71" s="3" t="s">
        <v>11</v>
      </c>
      <c r="AD71" s="4" t="s">
        <v>12</v>
      </c>
      <c r="AE71" s="6" t="s">
        <v>13</v>
      </c>
      <c r="AF71" s="4" t="s">
        <v>14</v>
      </c>
      <c r="AG71" s="5" t="s">
        <v>15</v>
      </c>
      <c r="AH71" s="2" t="s">
        <v>22</v>
      </c>
      <c r="AI71" s="3" t="s">
        <v>11</v>
      </c>
      <c r="AJ71" s="4" t="s">
        <v>12</v>
      </c>
      <c r="AK71" s="6" t="s">
        <v>13</v>
      </c>
      <c r="AL71" s="4" t="s">
        <v>14</v>
      </c>
      <c r="AM71" s="5" t="s">
        <v>15</v>
      </c>
      <c r="AN71" s="2" t="s">
        <v>22</v>
      </c>
      <c r="AO71" s="3" t="s">
        <v>11</v>
      </c>
      <c r="AP71" s="4" t="s">
        <v>12</v>
      </c>
      <c r="AQ71" s="6" t="s">
        <v>13</v>
      </c>
      <c r="AR71" s="4" t="s">
        <v>14</v>
      </c>
      <c r="AS71" s="5" t="s">
        <v>15</v>
      </c>
      <c r="AT71" s="2" t="s">
        <v>22</v>
      </c>
      <c r="AU71" s="3" t="s">
        <v>11</v>
      </c>
      <c r="AV71" s="4" t="s">
        <v>12</v>
      </c>
      <c r="AW71" s="6" t="s">
        <v>13</v>
      </c>
      <c r="AX71" s="4" t="s">
        <v>14</v>
      </c>
      <c r="AY71" s="5" t="s">
        <v>15</v>
      </c>
    </row>
    <row r="72" spans="1:51" x14ac:dyDescent="0.2">
      <c r="A72" s="9">
        <v>5511011</v>
      </c>
      <c r="B72" s="10">
        <v>2559</v>
      </c>
      <c r="C72" s="11" t="s">
        <v>106</v>
      </c>
      <c r="D72" s="12">
        <v>100006</v>
      </c>
      <c r="E72" s="13">
        <v>105437</v>
      </c>
      <c r="F72" s="13">
        <v>33217619</v>
      </c>
      <c r="G72" s="14">
        <v>0.88596034269812807</v>
      </c>
      <c r="H72" s="13">
        <v>677192630.48000002</v>
      </c>
      <c r="I72" s="15">
        <v>20.386549393561292</v>
      </c>
      <c r="J72" s="12">
        <v>74938</v>
      </c>
      <c r="K72" s="13">
        <v>79037</v>
      </c>
      <c r="L72" s="13">
        <v>15374689</v>
      </c>
      <c r="M72" s="16">
        <v>0.54713343875873821</v>
      </c>
      <c r="N72" s="13">
        <v>226278898.27999997</v>
      </c>
      <c r="O72" s="15">
        <v>14.717624420240304</v>
      </c>
      <c r="P72" s="17">
        <v>620</v>
      </c>
      <c r="Q72" s="13">
        <v>634</v>
      </c>
      <c r="R72" s="13">
        <v>1594533</v>
      </c>
      <c r="S72" s="14">
        <v>6.9674378973585886</v>
      </c>
      <c r="T72" s="13">
        <v>35416731.850000001</v>
      </c>
      <c r="U72" s="15">
        <v>22.211350815567943</v>
      </c>
      <c r="V72" s="17">
        <v>15547</v>
      </c>
      <c r="W72" s="13">
        <v>16625</v>
      </c>
      <c r="X72" s="13">
        <v>6720066</v>
      </c>
      <c r="Y72" s="14">
        <v>1.144544307225376</v>
      </c>
      <c r="Z72" s="13">
        <v>148955349.36999997</v>
      </c>
      <c r="AA72" s="15">
        <v>22.165756909232734</v>
      </c>
      <c r="AB72" s="18">
        <v>131</v>
      </c>
      <c r="AC72" s="13">
        <v>117</v>
      </c>
      <c r="AD72" s="13">
        <v>315610</v>
      </c>
      <c r="AE72" s="14">
        <v>6.9732655766681386</v>
      </c>
      <c r="AF72" s="13">
        <v>9087195.0500000007</v>
      </c>
      <c r="AG72" s="15">
        <v>28.792481385253954</v>
      </c>
      <c r="AH72" s="17">
        <v>8570</v>
      </c>
      <c r="AI72" s="13">
        <v>8829</v>
      </c>
      <c r="AJ72" s="13">
        <v>8892293</v>
      </c>
      <c r="AK72" s="14">
        <v>2.8004421605083585</v>
      </c>
      <c r="AL72" s="13">
        <v>249328308.98000002</v>
      </c>
      <c r="AM72" s="15">
        <v>28.038696990753682</v>
      </c>
      <c r="AN72" s="17">
        <v>199</v>
      </c>
      <c r="AO72" s="13">
        <v>194</v>
      </c>
      <c r="AP72" s="13">
        <v>208195</v>
      </c>
      <c r="AQ72" s="14">
        <v>2.9027850395622017</v>
      </c>
      <c r="AR72" s="13">
        <v>5652411.9500000002</v>
      </c>
      <c r="AS72" s="15">
        <v>27.149604697519152</v>
      </c>
      <c r="AT72" s="17">
        <v>1</v>
      </c>
      <c r="AU72" s="13">
        <v>1</v>
      </c>
      <c r="AV72" s="13">
        <v>112233</v>
      </c>
      <c r="AW72" s="14">
        <v>307.48767123287672</v>
      </c>
      <c r="AX72" s="13">
        <v>2473735</v>
      </c>
      <c r="AY72" s="15">
        <v>22.041066353033422</v>
      </c>
    </row>
    <row r="73" spans="1:51" x14ac:dyDescent="0.2">
      <c r="A73" s="9">
        <v>5511012</v>
      </c>
      <c r="B73" s="10">
        <v>2559</v>
      </c>
      <c r="C73" s="11" t="s">
        <v>106</v>
      </c>
      <c r="D73" s="19">
        <v>2795</v>
      </c>
      <c r="E73" s="20">
        <v>2957</v>
      </c>
      <c r="F73" s="20">
        <v>612945</v>
      </c>
      <c r="G73" s="21">
        <v>0.58390172804694496</v>
      </c>
      <c r="H73" s="20">
        <v>10172368.229999999</v>
      </c>
      <c r="I73" s="22">
        <v>16.595890707975428</v>
      </c>
      <c r="J73" s="19">
        <v>2288</v>
      </c>
      <c r="K73" s="20">
        <v>2434</v>
      </c>
      <c r="L73" s="20">
        <v>405299</v>
      </c>
      <c r="M73" s="23">
        <v>0.47031267224823475</v>
      </c>
      <c r="N73" s="20">
        <v>5617056.6799999997</v>
      </c>
      <c r="O73" s="22">
        <v>13.859044014418984</v>
      </c>
      <c r="P73" s="24">
        <v>46</v>
      </c>
      <c r="Q73" s="20">
        <v>54</v>
      </c>
      <c r="R73" s="20">
        <v>61540</v>
      </c>
      <c r="S73" s="21">
        <v>3.3720547945205479</v>
      </c>
      <c r="T73" s="13">
        <v>1299377.05</v>
      </c>
      <c r="U73" s="22">
        <v>21.114349203769905</v>
      </c>
      <c r="V73" s="24">
        <v>346</v>
      </c>
      <c r="W73" s="20">
        <v>344</v>
      </c>
      <c r="X73" s="20">
        <v>89971</v>
      </c>
      <c r="Y73" s="21">
        <v>0.71448084177089544</v>
      </c>
      <c r="Z73" s="20">
        <v>1821879.6</v>
      </c>
      <c r="AA73" s="22">
        <v>20.249631547943228</v>
      </c>
      <c r="AB73" s="25">
        <v>5</v>
      </c>
      <c r="AC73" s="20">
        <v>5</v>
      </c>
      <c r="AD73" s="20">
        <v>1876</v>
      </c>
      <c r="AE73" s="21">
        <v>1.027945205479452</v>
      </c>
      <c r="AF73" s="20">
        <v>42476</v>
      </c>
      <c r="AG73" s="22">
        <v>22.64179104477612</v>
      </c>
      <c r="AH73" s="24">
        <v>106</v>
      </c>
      <c r="AI73" s="20">
        <v>116</v>
      </c>
      <c r="AJ73" s="20">
        <v>49765</v>
      </c>
      <c r="AK73" s="21">
        <v>1.2283105022831049</v>
      </c>
      <c r="AL73" s="20">
        <v>1268508.8999999999</v>
      </c>
      <c r="AM73" s="22">
        <v>25.489980910278305</v>
      </c>
      <c r="AN73" s="24">
        <v>4</v>
      </c>
      <c r="AO73" s="20">
        <v>4</v>
      </c>
      <c r="AP73" s="20">
        <v>4494</v>
      </c>
      <c r="AQ73" s="21">
        <v>3.0780821917808221</v>
      </c>
      <c r="AR73" s="20">
        <v>123070</v>
      </c>
      <c r="AS73" s="22">
        <v>27.385402759234534</v>
      </c>
      <c r="AT73" s="24">
        <v>0</v>
      </c>
      <c r="AU73" s="20">
        <v>0</v>
      </c>
      <c r="AV73" s="20">
        <v>0</v>
      </c>
      <c r="AW73" s="21" t="e">
        <v>#DIV/0!</v>
      </c>
      <c r="AX73" s="20">
        <v>0</v>
      </c>
      <c r="AY73" s="22" t="e">
        <v>#DIV/0!</v>
      </c>
    </row>
    <row r="74" spans="1:51" x14ac:dyDescent="0.2">
      <c r="A74" s="9">
        <v>5511013</v>
      </c>
      <c r="B74" s="10">
        <v>2559</v>
      </c>
      <c r="C74" s="11" t="s">
        <v>106</v>
      </c>
      <c r="D74" s="19">
        <v>13960</v>
      </c>
      <c r="E74" s="20">
        <v>15188</v>
      </c>
      <c r="F74" s="20">
        <v>2771625</v>
      </c>
      <c r="G74" s="21">
        <v>0.52103013247460761</v>
      </c>
      <c r="H74" s="20">
        <v>45478742.550000004</v>
      </c>
      <c r="I74" s="22">
        <v>16.408692572047087</v>
      </c>
      <c r="J74" s="19">
        <v>11784</v>
      </c>
      <c r="K74" s="20">
        <v>12902</v>
      </c>
      <c r="L74" s="20">
        <v>2031492</v>
      </c>
      <c r="M74" s="23">
        <v>0.45092210215096129</v>
      </c>
      <c r="N74" s="20">
        <v>27965824.299999997</v>
      </c>
      <c r="O74" s="22">
        <v>13.766150346641776</v>
      </c>
      <c r="P74" s="24">
        <v>54</v>
      </c>
      <c r="Q74" s="20">
        <v>53</v>
      </c>
      <c r="R74" s="20">
        <v>47007</v>
      </c>
      <c r="S74" s="21">
        <v>2.4072205863525795</v>
      </c>
      <c r="T74" s="13">
        <v>1002787.1499999999</v>
      </c>
      <c r="U74" s="22">
        <v>21.332719594953939</v>
      </c>
      <c r="V74" s="24">
        <v>1459</v>
      </c>
      <c r="W74" s="20">
        <v>1571</v>
      </c>
      <c r="X74" s="20">
        <v>385076</v>
      </c>
      <c r="Y74" s="21">
        <v>0.69637144536371454</v>
      </c>
      <c r="Z74" s="20">
        <v>7874483.9000000004</v>
      </c>
      <c r="AA74" s="22">
        <v>20.449168216144347</v>
      </c>
      <c r="AB74" s="25">
        <v>10</v>
      </c>
      <c r="AC74" s="20">
        <v>10</v>
      </c>
      <c r="AD74" s="20">
        <v>5422</v>
      </c>
      <c r="AE74" s="21">
        <v>1.4854794520547947</v>
      </c>
      <c r="AF74" s="20">
        <v>140048.75</v>
      </c>
      <c r="AG74" s="22">
        <v>25.829721504979712</v>
      </c>
      <c r="AH74" s="24">
        <v>630</v>
      </c>
      <c r="AI74" s="20">
        <v>631</v>
      </c>
      <c r="AJ74" s="20">
        <v>255360</v>
      </c>
      <c r="AK74" s="21">
        <v>1.109621631016914</v>
      </c>
      <c r="AL74" s="20">
        <v>7146254.2000000002</v>
      </c>
      <c r="AM74" s="22">
        <v>27.985018013784462</v>
      </c>
      <c r="AN74" s="24">
        <v>23</v>
      </c>
      <c r="AO74" s="20">
        <v>21</v>
      </c>
      <c r="AP74" s="20">
        <v>47268</v>
      </c>
      <c r="AQ74" s="21">
        <v>5.8864259028642589</v>
      </c>
      <c r="AR74" s="20">
        <v>1349344.25</v>
      </c>
      <c r="AS74" s="22">
        <v>28.546675340610985</v>
      </c>
      <c r="AT74" s="24">
        <v>0</v>
      </c>
      <c r="AU74" s="20">
        <v>0</v>
      </c>
      <c r="AV74" s="20">
        <v>0</v>
      </c>
      <c r="AW74" s="21" t="e">
        <v>#DIV/0!</v>
      </c>
      <c r="AX74" s="20">
        <v>0</v>
      </c>
      <c r="AY74" s="22" t="e">
        <v>#DIV/0!</v>
      </c>
    </row>
    <row r="75" spans="1:51" x14ac:dyDescent="0.2">
      <c r="A75" s="9">
        <v>5511014</v>
      </c>
      <c r="B75" s="10">
        <v>2559</v>
      </c>
      <c r="C75" s="11" t="s">
        <v>106</v>
      </c>
      <c r="D75" s="19">
        <v>17683</v>
      </c>
      <c r="E75" s="20">
        <v>18755</v>
      </c>
      <c r="F75" s="20">
        <v>4969943</v>
      </c>
      <c r="G75" s="21">
        <v>0.7473671547165498</v>
      </c>
      <c r="H75" s="20">
        <v>89263267.020000011</v>
      </c>
      <c r="I75" s="22">
        <v>17.960621886407957</v>
      </c>
      <c r="J75" s="19">
        <v>15777</v>
      </c>
      <c r="K75" s="20">
        <v>16611</v>
      </c>
      <c r="L75" s="20">
        <v>2905471</v>
      </c>
      <c r="M75" s="23">
        <v>0.49155208846164905</v>
      </c>
      <c r="N75" s="20">
        <v>39092777.030000001</v>
      </c>
      <c r="O75" s="22">
        <v>13.454884605628486</v>
      </c>
      <c r="P75" s="24">
        <v>310</v>
      </c>
      <c r="Q75" s="20">
        <v>326</v>
      </c>
      <c r="R75" s="20">
        <v>936829</v>
      </c>
      <c r="S75" s="21">
        <v>8.0712414922029811</v>
      </c>
      <c r="T75" s="13">
        <v>21622961.610000003</v>
      </c>
      <c r="U75" s="22">
        <v>23.081012233822825</v>
      </c>
      <c r="V75" s="24">
        <v>1076</v>
      </c>
      <c r="W75" s="20">
        <v>1269</v>
      </c>
      <c r="X75" s="20">
        <v>453114</v>
      </c>
      <c r="Y75" s="21">
        <v>1.0587703361859975</v>
      </c>
      <c r="Z75" s="20">
        <v>9657484.6799999978</v>
      </c>
      <c r="AA75" s="22">
        <v>21.313587044319966</v>
      </c>
      <c r="AB75" s="25">
        <v>19</v>
      </c>
      <c r="AC75" s="20">
        <v>24</v>
      </c>
      <c r="AD75" s="20">
        <v>96136</v>
      </c>
      <c r="AE75" s="21">
        <v>12.250525645109908</v>
      </c>
      <c r="AF75" s="20">
        <v>2594222.9</v>
      </c>
      <c r="AG75" s="22">
        <v>26.984926562369974</v>
      </c>
      <c r="AH75" s="24">
        <v>488</v>
      </c>
      <c r="AI75" s="20">
        <v>509</v>
      </c>
      <c r="AJ75" s="20">
        <v>561227</v>
      </c>
      <c r="AK75" s="21">
        <v>3.084469847899864</v>
      </c>
      <c r="AL75" s="20">
        <v>15847238.25</v>
      </c>
      <c r="AM75" s="22">
        <v>28.236770950079023</v>
      </c>
      <c r="AN75" s="24">
        <v>13</v>
      </c>
      <c r="AO75" s="20">
        <v>15</v>
      </c>
      <c r="AP75" s="20">
        <v>13667</v>
      </c>
      <c r="AQ75" s="21">
        <v>2.674559686888454</v>
      </c>
      <c r="AR75" s="20">
        <v>396097.55</v>
      </c>
      <c r="AS75" s="22">
        <v>28.982040681934585</v>
      </c>
      <c r="AT75" s="24">
        <v>0</v>
      </c>
      <c r="AU75" s="20">
        <v>1</v>
      </c>
      <c r="AV75" s="20">
        <v>3499</v>
      </c>
      <c r="AW75" s="21">
        <v>19.172602739726027</v>
      </c>
      <c r="AX75" s="20">
        <v>52476</v>
      </c>
      <c r="AY75" s="22">
        <v>14.997427836524722</v>
      </c>
    </row>
    <row r="76" spans="1:51" x14ac:dyDescent="0.2">
      <c r="A76" s="9">
        <v>5511015</v>
      </c>
      <c r="B76" s="10">
        <v>2559</v>
      </c>
      <c r="C76" s="11" t="s">
        <v>106</v>
      </c>
      <c r="D76" s="19">
        <v>4630</v>
      </c>
      <c r="E76" s="20">
        <v>4939</v>
      </c>
      <c r="F76" s="20">
        <v>1273760</v>
      </c>
      <c r="G76" s="21">
        <v>0.72938727655084845</v>
      </c>
      <c r="H76" s="20">
        <v>23908236.479999997</v>
      </c>
      <c r="I76" s="22">
        <v>18.769812586358494</v>
      </c>
      <c r="J76" s="19">
        <v>3318</v>
      </c>
      <c r="K76" s="20">
        <v>3510</v>
      </c>
      <c r="L76" s="20">
        <v>525549</v>
      </c>
      <c r="M76" s="23">
        <v>0.4217516912632111</v>
      </c>
      <c r="N76" s="20">
        <v>7380494.3799999999</v>
      </c>
      <c r="O76" s="22">
        <v>14.043399150221958</v>
      </c>
      <c r="P76" s="24">
        <v>68</v>
      </c>
      <c r="Q76" s="20">
        <v>76</v>
      </c>
      <c r="R76" s="20">
        <v>322930</v>
      </c>
      <c r="S76" s="21">
        <v>12.288051750380516</v>
      </c>
      <c r="T76" s="13">
        <v>7005546.6500000004</v>
      </c>
      <c r="U76" s="22">
        <v>21.693700337534452</v>
      </c>
      <c r="V76" s="24">
        <v>1048</v>
      </c>
      <c r="W76" s="20">
        <v>1151</v>
      </c>
      <c r="X76" s="20">
        <v>336589</v>
      </c>
      <c r="Y76" s="21">
        <v>0.83870999894098808</v>
      </c>
      <c r="Z76" s="20">
        <v>7145453.5</v>
      </c>
      <c r="AA76" s="22">
        <v>21.229016693950189</v>
      </c>
      <c r="AB76" s="25">
        <v>19</v>
      </c>
      <c r="AC76" s="20">
        <v>19</v>
      </c>
      <c r="AD76" s="20">
        <v>9673</v>
      </c>
      <c r="AE76" s="21">
        <v>1.3948089401586157</v>
      </c>
      <c r="AF76" s="20">
        <v>246601</v>
      </c>
      <c r="AG76" s="22">
        <v>25.493745477101211</v>
      </c>
      <c r="AH76" s="24">
        <v>172</v>
      </c>
      <c r="AI76" s="20">
        <v>178</v>
      </c>
      <c r="AJ76" s="20">
        <v>77626</v>
      </c>
      <c r="AK76" s="21">
        <v>1.2152798434442269</v>
      </c>
      <c r="AL76" s="20">
        <v>2092673.2</v>
      </c>
      <c r="AM76" s="22">
        <v>26.958405688815603</v>
      </c>
      <c r="AN76" s="24">
        <v>5</v>
      </c>
      <c r="AO76" s="20">
        <v>5</v>
      </c>
      <c r="AP76" s="20">
        <v>1393</v>
      </c>
      <c r="AQ76" s="21">
        <v>0.76328767123287677</v>
      </c>
      <c r="AR76" s="20">
        <v>37467.75</v>
      </c>
      <c r="AS76" s="22">
        <v>26.897164393395549</v>
      </c>
      <c r="AT76" s="24">
        <v>0</v>
      </c>
      <c r="AU76" s="20">
        <v>0</v>
      </c>
      <c r="AV76" s="20">
        <v>0</v>
      </c>
      <c r="AW76" s="21" t="e">
        <v>#DIV/0!</v>
      </c>
      <c r="AX76" s="20">
        <v>0</v>
      </c>
      <c r="AY76" s="22" t="e">
        <v>#DIV/0!</v>
      </c>
    </row>
    <row r="77" spans="1:51" x14ac:dyDescent="0.2">
      <c r="A77" s="9">
        <v>5511016</v>
      </c>
      <c r="B77" s="10">
        <v>2559</v>
      </c>
      <c r="C77" s="11" t="s">
        <v>106</v>
      </c>
      <c r="D77" s="19">
        <v>4766</v>
      </c>
      <c r="E77" s="20">
        <v>5119</v>
      </c>
      <c r="F77" s="20">
        <v>1229926</v>
      </c>
      <c r="G77" s="21">
        <v>0.68177243782956043</v>
      </c>
      <c r="H77" s="20">
        <v>23242375.959999997</v>
      </c>
      <c r="I77" s="22">
        <v>18.897377533282487</v>
      </c>
      <c r="J77" s="19">
        <v>3284</v>
      </c>
      <c r="K77" s="20">
        <v>3420</v>
      </c>
      <c r="L77" s="20">
        <v>529600</v>
      </c>
      <c r="M77" s="23">
        <v>0.43286363487756235</v>
      </c>
      <c r="N77" s="20">
        <v>7324702.4099999992</v>
      </c>
      <c r="O77" s="22">
        <v>13.830631438821751</v>
      </c>
      <c r="P77" s="24">
        <v>88</v>
      </c>
      <c r="Q77" s="20">
        <v>104</v>
      </c>
      <c r="R77" s="20">
        <v>258191</v>
      </c>
      <c r="S77" s="21">
        <v>7.3684646118721462</v>
      </c>
      <c r="T77" s="13">
        <v>5579375</v>
      </c>
      <c r="U77" s="22">
        <v>21.609486775294258</v>
      </c>
      <c r="V77" s="24">
        <v>1100</v>
      </c>
      <c r="W77" s="20">
        <v>1300</v>
      </c>
      <c r="X77" s="20">
        <v>264739</v>
      </c>
      <c r="Y77" s="21">
        <v>0.60442694063926938</v>
      </c>
      <c r="Z77" s="20">
        <v>5538696.75</v>
      </c>
      <c r="AA77" s="22">
        <v>20.921348006904914</v>
      </c>
      <c r="AB77" s="25">
        <v>11</v>
      </c>
      <c r="AC77" s="20">
        <v>11</v>
      </c>
      <c r="AD77" s="20">
        <v>10121</v>
      </c>
      <c r="AE77" s="21">
        <v>2.5207970112079701</v>
      </c>
      <c r="AF77" s="20">
        <v>261016.75</v>
      </c>
      <c r="AG77" s="22">
        <v>25.789620590850706</v>
      </c>
      <c r="AH77" s="24">
        <v>262</v>
      </c>
      <c r="AI77" s="20">
        <v>261</v>
      </c>
      <c r="AJ77" s="20">
        <v>141482</v>
      </c>
      <c r="AK77" s="21">
        <v>1.4823017889415648</v>
      </c>
      <c r="AL77" s="20">
        <v>3812264.3</v>
      </c>
      <c r="AM77" s="22">
        <v>26.945224834254532</v>
      </c>
      <c r="AN77" s="24">
        <v>21</v>
      </c>
      <c r="AO77" s="20">
        <v>23</v>
      </c>
      <c r="AP77" s="20">
        <v>25793</v>
      </c>
      <c r="AQ77" s="21">
        <v>3.2120797011207971</v>
      </c>
      <c r="AR77" s="20">
        <v>726320.75</v>
      </c>
      <c r="AS77" s="22">
        <v>28.159607257783119</v>
      </c>
      <c r="AT77" s="24">
        <v>0</v>
      </c>
      <c r="AU77" s="20">
        <v>0</v>
      </c>
      <c r="AV77" s="20">
        <v>0</v>
      </c>
      <c r="AW77" s="21" t="e">
        <v>#DIV/0!</v>
      </c>
      <c r="AX77" s="20">
        <v>0</v>
      </c>
      <c r="AY77" s="22" t="e">
        <v>#DIV/0!</v>
      </c>
    </row>
    <row r="78" spans="1:51" x14ac:dyDescent="0.2">
      <c r="A78" s="9">
        <v>5511017</v>
      </c>
      <c r="B78" s="10">
        <v>2559</v>
      </c>
      <c r="C78" s="11" t="s">
        <v>106</v>
      </c>
      <c r="D78" s="19">
        <v>3699</v>
      </c>
      <c r="E78" s="20">
        <v>3879</v>
      </c>
      <c r="F78" s="20">
        <v>835660</v>
      </c>
      <c r="G78" s="21">
        <v>0.60424371920158215</v>
      </c>
      <c r="H78" s="20">
        <v>14218162.370000001</v>
      </c>
      <c r="I78" s="22">
        <v>17.014290943685232</v>
      </c>
      <c r="J78" s="19">
        <v>2915</v>
      </c>
      <c r="K78" s="20">
        <v>2986</v>
      </c>
      <c r="L78" s="20">
        <v>549159</v>
      </c>
      <c r="M78" s="23">
        <v>0.50992889526502361</v>
      </c>
      <c r="N78" s="20">
        <v>7808400.9700000007</v>
      </c>
      <c r="O78" s="22">
        <v>14.21883456339603</v>
      </c>
      <c r="P78" s="24">
        <v>42</v>
      </c>
      <c r="Q78" s="20">
        <v>43</v>
      </c>
      <c r="R78" s="20">
        <v>48418</v>
      </c>
      <c r="S78" s="21">
        <v>3.1212248186946012</v>
      </c>
      <c r="T78" s="13">
        <v>1032723.5499999999</v>
      </c>
      <c r="U78" s="22">
        <v>21.329331033913007</v>
      </c>
      <c r="V78" s="24">
        <v>567</v>
      </c>
      <c r="W78" s="20">
        <v>664</v>
      </c>
      <c r="X78" s="20">
        <v>168983</v>
      </c>
      <c r="Y78" s="21">
        <v>0.75218054149093616</v>
      </c>
      <c r="Z78" s="20">
        <v>3591796.1</v>
      </c>
      <c r="AA78" s="22">
        <v>21.255369475035952</v>
      </c>
      <c r="AB78" s="25">
        <v>10</v>
      </c>
      <c r="AC78" s="20">
        <v>10</v>
      </c>
      <c r="AD78" s="20">
        <v>2286</v>
      </c>
      <c r="AE78" s="21">
        <v>0.62630136986301366</v>
      </c>
      <c r="AF78" s="20">
        <v>59829.5</v>
      </c>
      <c r="AG78" s="22">
        <v>26.172134733158355</v>
      </c>
      <c r="AH78" s="24">
        <v>159</v>
      </c>
      <c r="AI78" s="20">
        <v>173</v>
      </c>
      <c r="AJ78" s="20">
        <v>65017</v>
      </c>
      <c r="AK78" s="21">
        <v>1.07306486218848</v>
      </c>
      <c r="AL78" s="20">
        <v>1676395.5</v>
      </c>
      <c r="AM78" s="22">
        <v>25.783956503683651</v>
      </c>
      <c r="AN78" s="24">
        <v>6</v>
      </c>
      <c r="AO78" s="20">
        <v>3</v>
      </c>
      <c r="AP78" s="20">
        <v>1797</v>
      </c>
      <c r="AQ78" s="21">
        <v>1.0940639269406391</v>
      </c>
      <c r="AR78" s="20">
        <v>49016.75</v>
      </c>
      <c r="AS78" s="22">
        <v>27.276989426822482</v>
      </c>
      <c r="AT78" s="24">
        <v>0</v>
      </c>
      <c r="AU78" s="20">
        <v>0</v>
      </c>
      <c r="AV78" s="20">
        <v>0</v>
      </c>
      <c r="AW78" s="21" t="e">
        <v>#DIV/0!</v>
      </c>
      <c r="AX78" s="20">
        <v>0</v>
      </c>
      <c r="AY78" s="22" t="e">
        <v>#DIV/0!</v>
      </c>
    </row>
    <row r="79" spans="1:51" x14ac:dyDescent="0.2">
      <c r="A79" s="9">
        <v>5511018</v>
      </c>
      <c r="B79" s="10">
        <v>2559</v>
      </c>
      <c r="C79" s="11" t="s">
        <v>106</v>
      </c>
      <c r="D79" s="19">
        <v>6045</v>
      </c>
      <c r="E79" s="20">
        <v>6295</v>
      </c>
      <c r="F79" s="20">
        <v>1647201</v>
      </c>
      <c r="G79" s="21">
        <v>0.73142292577873491</v>
      </c>
      <c r="H79" s="20">
        <v>30861280.410000004</v>
      </c>
      <c r="I79" s="22">
        <v>18.735588680434265</v>
      </c>
      <c r="J79" s="19">
        <v>4689</v>
      </c>
      <c r="K79" s="20">
        <v>4577</v>
      </c>
      <c r="L79" s="20">
        <v>812173</v>
      </c>
      <c r="M79" s="23">
        <v>0.4802787625403227</v>
      </c>
      <c r="N79" s="20">
        <v>11828221.01</v>
      </c>
      <c r="O79" s="22">
        <v>14.563671791601051</v>
      </c>
      <c r="P79" s="24">
        <v>173</v>
      </c>
      <c r="Q79" s="20">
        <v>180</v>
      </c>
      <c r="R79" s="20">
        <v>317267</v>
      </c>
      <c r="S79" s="21">
        <v>4.9247855950948818</v>
      </c>
      <c r="T79" s="13">
        <v>6757245.8499999996</v>
      </c>
      <c r="U79" s="22">
        <v>21.298294023645699</v>
      </c>
      <c r="V79" s="24">
        <v>558</v>
      </c>
      <c r="W79" s="20">
        <v>878</v>
      </c>
      <c r="X79" s="20">
        <v>239618</v>
      </c>
      <c r="Y79" s="21">
        <v>0.9143282329148702</v>
      </c>
      <c r="Z79" s="20">
        <v>4970800.5500000007</v>
      </c>
      <c r="AA79" s="22">
        <v>20.744687586074505</v>
      </c>
      <c r="AB79" s="25">
        <v>7</v>
      </c>
      <c r="AC79" s="20">
        <v>9</v>
      </c>
      <c r="AD79" s="20">
        <v>5361</v>
      </c>
      <c r="AE79" s="21">
        <v>1.835958904109589</v>
      </c>
      <c r="AF79" s="20">
        <v>134767.75</v>
      </c>
      <c r="AG79" s="22">
        <v>25.138546912889385</v>
      </c>
      <c r="AH79" s="24">
        <v>603</v>
      </c>
      <c r="AI79" s="20">
        <v>635</v>
      </c>
      <c r="AJ79" s="20">
        <v>247331</v>
      </c>
      <c r="AK79" s="21">
        <v>1.0946998030406976</v>
      </c>
      <c r="AL79" s="20">
        <v>6453614.0499999989</v>
      </c>
      <c r="AM79" s="22">
        <v>26.093025338513971</v>
      </c>
      <c r="AN79" s="24">
        <v>15</v>
      </c>
      <c r="AO79" s="20">
        <v>16</v>
      </c>
      <c r="AP79" s="20">
        <v>25451</v>
      </c>
      <c r="AQ79" s="21">
        <v>4.4986301369863018</v>
      </c>
      <c r="AR79" s="20">
        <v>716631.2</v>
      </c>
      <c r="AS79" s="22">
        <v>28.157290479745392</v>
      </c>
      <c r="AT79" s="24">
        <v>0</v>
      </c>
      <c r="AU79" s="20">
        <v>0</v>
      </c>
      <c r="AV79" s="20">
        <v>0</v>
      </c>
      <c r="AW79" s="21" t="e">
        <v>#DIV/0!</v>
      </c>
      <c r="AX79" s="20">
        <v>0</v>
      </c>
      <c r="AY79" s="22" t="e">
        <v>#DIV/0!</v>
      </c>
    </row>
    <row r="80" spans="1:51" x14ac:dyDescent="0.2">
      <c r="A80" s="9">
        <v>5511019</v>
      </c>
      <c r="B80" s="10">
        <v>2559</v>
      </c>
      <c r="C80" s="11" t="s">
        <v>106</v>
      </c>
      <c r="D80" s="19">
        <v>5061</v>
      </c>
      <c r="E80" s="20">
        <v>5285</v>
      </c>
      <c r="F80" s="20">
        <v>1089489</v>
      </c>
      <c r="G80" s="21">
        <v>0.57701553641272252</v>
      </c>
      <c r="H80" s="20">
        <v>18751420.840000004</v>
      </c>
      <c r="I80" s="22">
        <v>17.211207125542344</v>
      </c>
      <c r="J80" s="19">
        <v>4130</v>
      </c>
      <c r="K80" s="20">
        <v>4257</v>
      </c>
      <c r="L80" s="20">
        <v>659061</v>
      </c>
      <c r="M80" s="23">
        <v>0.43058222853045569</v>
      </c>
      <c r="N80" s="20">
        <v>9074219.5399999991</v>
      </c>
      <c r="O80" s="22">
        <v>13.768406171811106</v>
      </c>
      <c r="P80" s="24">
        <v>116</v>
      </c>
      <c r="Q80" s="20">
        <v>116</v>
      </c>
      <c r="R80" s="20">
        <v>133401</v>
      </c>
      <c r="S80" s="21">
        <v>3.1507085498346714</v>
      </c>
      <c r="T80" s="13">
        <v>2833335.5</v>
      </c>
      <c r="U80" s="22">
        <v>21.239237337051446</v>
      </c>
      <c r="V80" s="24">
        <v>569</v>
      </c>
      <c r="W80" s="20">
        <v>651</v>
      </c>
      <c r="X80" s="20">
        <v>160188</v>
      </c>
      <c r="Y80" s="21">
        <v>0.7194610375028071</v>
      </c>
      <c r="Z80" s="20">
        <v>3198207.7</v>
      </c>
      <c r="AA80" s="22">
        <v>19.965338851849079</v>
      </c>
      <c r="AB80" s="25">
        <v>5</v>
      </c>
      <c r="AC80" s="20">
        <v>5</v>
      </c>
      <c r="AD80" s="20">
        <v>2311</v>
      </c>
      <c r="AE80" s="21">
        <v>1.2663013698630137</v>
      </c>
      <c r="AF80" s="20">
        <v>60759.75</v>
      </c>
      <c r="AG80" s="22">
        <v>26.291540458675897</v>
      </c>
      <c r="AH80" s="24">
        <v>217</v>
      </c>
      <c r="AI80" s="20">
        <v>234</v>
      </c>
      <c r="AJ80" s="20">
        <v>94997</v>
      </c>
      <c r="AK80" s="21">
        <v>1.1541718555417184</v>
      </c>
      <c r="AL80" s="20">
        <v>2470779.85</v>
      </c>
      <c r="AM80" s="22">
        <v>26.009030285166901</v>
      </c>
      <c r="AN80" s="24">
        <v>24</v>
      </c>
      <c r="AO80" s="20">
        <v>22</v>
      </c>
      <c r="AP80" s="20">
        <v>39531</v>
      </c>
      <c r="AQ80" s="21">
        <v>4.7088743299583085</v>
      </c>
      <c r="AR80" s="20">
        <v>1114118.5</v>
      </c>
      <c r="AS80" s="22">
        <v>28.183413017631732</v>
      </c>
      <c r="AT80" s="24">
        <v>0</v>
      </c>
      <c r="AU80" s="20">
        <v>0</v>
      </c>
      <c r="AV80" s="20">
        <v>0</v>
      </c>
      <c r="AW80" s="21" t="e">
        <v>#DIV/0!</v>
      </c>
      <c r="AX80" s="20">
        <v>0</v>
      </c>
      <c r="AY80" s="22" t="e">
        <v>#DIV/0!</v>
      </c>
    </row>
    <row r="81" spans="1:51" x14ac:dyDescent="0.2">
      <c r="A81" s="9">
        <v>5511020</v>
      </c>
      <c r="B81" s="10">
        <v>2559</v>
      </c>
      <c r="C81" s="11" t="s">
        <v>106</v>
      </c>
      <c r="D81" s="19">
        <v>14551</v>
      </c>
      <c r="E81" s="20">
        <v>15417</v>
      </c>
      <c r="F81" s="20">
        <v>3360206</v>
      </c>
      <c r="G81" s="21">
        <v>0.61439160675496785</v>
      </c>
      <c r="H81" s="20">
        <v>59661179.159999996</v>
      </c>
      <c r="I81" s="22">
        <v>17.755214757666643</v>
      </c>
      <c r="J81" s="19">
        <v>11533</v>
      </c>
      <c r="K81" s="20">
        <v>12392</v>
      </c>
      <c r="L81" s="20">
        <v>2042957</v>
      </c>
      <c r="M81" s="23">
        <v>0.4678906972416656</v>
      </c>
      <c r="N81" s="20">
        <v>28540527.260000005</v>
      </c>
      <c r="O81" s="22">
        <v>13.970204590698682</v>
      </c>
      <c r="P81" s="24">
        <v>197</v>
      </c>
      <c r="Q81" s="20">
        <v>198</v>
      </c>
      <c r="R81" s="20">
        <v>288820</v>
      </c>
      <c r="S81" s="21">
        <v>4.0065198543436793</v>
      </c>
      <c r="T81" s="13">
        <v>6224134.5</v>
      </c>
      <c r="U81" s="22">
        <v>21.550219860120489</v>
      </c>
      <c r="V81" s="24">
        <v>2057</v>
      </c>
      <c r="W81" s="20">
        <v>2116</v>
      </c>
      <c r="X81" s="20">
        <v>588547</v>
      </c>
      <c r="Y81" s="21">
        <v>0.77280495290993301</v>
      </c>
      <c r="Z81" s="20">
        <v>12616366.399999999</v>
      </c>
      <c r="AA81" s="22">
        <v>21.436463697886488</v>
      </c>
      <c r="AB81" s="25">
        <v>31</v>
      </c>
      <c r="AC81" s="20">
        <v>38</v>
      </c>
      <c r="AD81" s="20">
        <v>24741</v>
      </c>
      <c r="AE81" s="21">
        <v>1.9647409172126267</v>
      </c>
      <c r="AF81" s="20">
        <v>671852.35</v>
      </c>
      <c r="AG81" s="22">
        <v>27.155424194656643</v>
      </c>
      <c r="AH81" s="24">
        <v>689</v>
      </c>
      <c r="AI81" s="20">
        <v>639</v>
      </c>
      <c r="AJ81" s="20">
        <v>386852</v>
      </c>
      <c r="AK81" s="21">
        <v>1.5961874896847665</v>
      </c>
      <c r="AL81" s="20">
        <v>10825369.399999999</v>
      </c>
      <c r="AM81" s="22">
        <v>27.983232347254244</v>
      </c>
      <c r="AN81" s="24">
        <v>44</v>
      </c>
      <c r="AO81" s="20">
        <v>34</v>
      </c>
      <c r="AP81" s="20">
        <v>28289</v>
      </c>
      <c r="AQ81" s="21">
        <v>1.9872848612574641</v>
      </c>
      <c r="AR81" s="20">
        <v>782929.25</v>
      </c>
      <c r="AS81" s="22">
        <v>27.676102018452401</v>
      </c>
      <c r="AT81" s="24">
        <v>0</v>
      </c>
      <c r="AU81" s="20">
        <v>0</v>
      </c>
      <c r="AV81" s="20">
        <v>0</v>
      </c>
      <c r="AW81" s="21" t="e">
        <v>#DIV/0!</v>
      </c>
      <c r="AX81" s="20">
        <v>0</v>
      </c>
      <c r="AY81" s="22" t="e">
        <v>#DIV/0!</v>
      </c>
    </row>
    <row r="82" spans="1:51" x14ac:dyDescent="0.2">
      <c r="A82" s="9">
        <v>5511021</v>
      </c>
      <c r="B82" s="10">
        <v>2559</v>
      </c>
      <c r="C82" s="11" t="s">
        <v>106</v>
      </c>
      <c r="D82" s="19">
        <v>973</v>
      </c>
      <c r="E82" s="20">
        <v>1069</v>
      </c>
      <c r="F82" s="20">
        <v>192925</v>
      </c>
      <c r="G82" s="21">
        <v>0.51769015067151458</v>
      </c>
      <c r="H82" s="20">
        <v>3529279.3100000005</v>
      </c>
      <c r="I82" s="22">
        <v>18.293530180121813</v>
      </c>
      <c r="J82" s="19">
        <v>755</v>
      </c>
      <c r="K82" s="20">
        <v>806</v>
      </c>
      <c r="L82" s="20">
        <v>106973</v>
      </c>
      <c r="M82" s="23">
        <v>0.37549867050450625</v>
      </c>
      <c r="N82" s="20">
        <v>1438009.66</v>
      </c>
      <c r="O82" s="22">
        <v>13.442734708758284</v>
      </c>
      <c r="P82" s="24">
        <v>24</v>
      </c>
      <c r="Q82" s="20">
        <v>25</v>
      </c>
      <c r="R82" s="20">
        <v>17852</v>
      </c>
      <c r="S82" s="21">
        <v>1.9963097567794239</v>
      </c>
      <c r="T82" s="13">
        <v>376994.85000000003</v>
      </c>
      <c r="U82" s="22">
        <v>21.117793524535067</v>
      </c>
      <c r="V82" s="24">
        <v>130</v>
      </c>
      <c r="W82" s="20">
        <v>165</v>
      </c>
      <c r="X82" s="20">
        <v>29821</v>
      </c>
      <c r="Y82" s="21">
        <v>0.55390759229161834</v>
      </c>
      <c r="Z82" s="20">
        <v>641561.55000000005</v>
      </c>
      <c r="AA82" s="22">
        <v>21.513750377250933</v>
      </c>
      <c r="AB82" s="25">
        <v>4</v>
      </c>
      <c r="AC82" s="20">
        <v>4</v>
      </c>
      <c r="AD82" s="20">
        <v>997</v>
      </c>
      <c r="AE82" s="21">
        <v>0.68287671232876712</v>
      </c>
      <c r="AF82" s="20">
        <v>24757</v>
      </c>
      <c r="AG82" s="22">
        <v>24.831494483450353</v>
      </c>
      <c r="AH82" s="24">
        <v>51</v>
      </c>
      <c r="AI82" s="20">
        <v>60</v>
      </c>
      <c r="AJ82" s="20">
        <v>18397</v>
      </c>
      <c r="AK82" s="21">
        <v>0.90815747254103418</v>
      </c>
      <c r="AL82" s="20">
        <v>500425</v>
      </c>
      <c r="AM82" s="22">
        <v>27.20144588791651</v>
      </c>
      <c r="AN82" s="24">
        <v>9</v>
      </c>
      <c r="AO82" s="20">
        <v>9</v>
      </c>
      <c r="AP82" s="20">
        <v>18885</v>
      </c>
      <c r="AQ82" s="21">
        <v>5.7488584474885851</v>
      </c>
      <c r="AR82" s="20">
        <v>547531.25</v>
      </c>
      <c r="AS82" s="22">
        <v>28.992917659518135</v>
      </c>
      <c r="AT82" s="24">
        <v>0</v>
      </c>
      <c r="AU82" s="20">
        <v>0</v>
      </c>
      <c r="AV82" s="20">
        <v>0</v>
      </c>
      <c r="AW82" s="21" t="e">
        <v>#DIV/0!</v>
      </c>
      <c r="AX82" s="20">
        <v>0</v>
      </c>
      <c r="AY82" s="22" t="e">
        <v>#DIV/0!</v>
      </c>
    </row>
    <row r="83" spans="1:51" x14ac:dyDescent="0.2">
      <c r="A83" s="9">
        <v>5511022</v>
      </c>
      <c r="B83" s="10">
        <v>2559</v>
      </c>
      <c r="C83" s="11" t="s">
        <v>106</v>
      </c>
      <c r="D83" s="19">
        <v>37128</v>
      </c>
      <c r="E83" s="20">
        <v>38401</v>
      </c>
      <c r="F83" s="20">
        <v>8783067</v>
      </c>
      <c r="G83" s="21">
        <v>0.6371909401759317</v>
      </c>
      <c r="H83" s="20">
        <v>155259268.06999999</v>
      </c>
      <c r="I83" s="22">
        <v>17.677113025552462</v>
      </c>
      <c r="J83" s="19">
        <v>30140</v>
      </c>
      <c r="K83" s="20">
        <v>31182</v>
      </c>
      <c r="L83" s="20">
        <v>5069501</v>
      </c>
      <c r="M83" s="23">
        <v>0.45298730751170663</v>
      </c>
      <c r="N83" s="20">
        <v>68989183.480000004</v>
      </c>
      <c r="O83" s="22">
        <v>13.608673413813314</v>
      </c>
      <c r="P83" s="24">
        <v>324</v>
      </c>
      <c r="Q83" s="20">
        <v>331</v>
      </c>
      <c r="R83" s="20">
        <v>1108951</v>
      </c>
      <c r="S83" s="21">
        <v>9.277013489490745</v>
      </c>
      <c r="T83" s="13">
        <v>24284530.499999996</v>
      </c>
      <c r="U83" s="22">
        <v>21.898650616663854</v>
      </c>
      <c r="V83" s="24">
        <v>4529</v>
      </c>
      <c r="W83" s="20">
        <v>4801</v>
      </c>
      <c r="X83" s="20">
        <v>1384909</v>
      </c>
      <c r="Y83" s="21">
        <v>0.81334860297464362</v>
      </c>
      <c r="Z83" s="20">
        <v>28920002.250000004</v>
      </c>
      <c r="AA83" s="22">
        <v>20.882240096641731</v>
      </c>
      <c r="AB83" s="25">
        <v>44</v>
      </c>
      <c r="AC83" s="20">
        <v>45</v>
      </c>
      <c r="AD83" s="20">
        <v>42017</v>
      </c>
      <c r="AE83" s="21">
        <v>2.5868554717561953</v>
      </c>
      <c r="AF83" s="20">
        <v>1162077.45</v>
      </c>
      <c r="AG83" s="22">
        <v>27.657316086346</v>
      </c>
      <c r="AH83" s="24">
        <v>2026</v>
      </c>
      <c r="AI83" s="20">
        <v>1979</v>
      </c>
      <c r="AJ83" s="20">
        <v>1090788</v>
      </c>
      <c r="AK83" s="21">
        <v>1.4923646811348827</v>
      </c>
      <c r="AL83" s="20">
        <v>29444786.890000004</v>
      </c>
      <c r="AM83" s="22">
        <v>26.99405098882643</v>
      </c>
      <c r="AN83" s="24">
        <v>65</v>
      </c>
      <c r="AO83" s="20">
        <v>63</v>
      </c>
      <c r="AP83" s="20">
        <v>86901</v>
      </c>
      <c r="AQ83" s="21">
        <v>3.7200770547945203</v>
      </c>
      <c r="AR83" s="20">
        <v>2458687.5</v>
      </c>
      <c r="AS83" s="22">
        <v>28.292971312182829</v>
      </c>
      <c r="AT83" s="24">
        <v>0</v>
      </c>
      <c r="AU83" s="20">
        <v>0</v>
      </c>
      <c r="AV83" s="20">
        <v>0</v>
      </c>
      <c r="AW83" s="21" t="e">
        <v>#DIV/0!</v>
      </c>
      <c r="AX83" s="20">
        <v>0</v>
      </c>
      <c r="AY83" s="22" t="e">
        <v>#DIV/0!</v>
      </c>
    </row>
    <row r="84" spans="1:51" x14ac:dyDescent="0.2">
      <c r="A84" s="9">
        <v>5511023</v>
      </c>
      <c r="B84" s="10">
        <v>2559</v>
      </c>
      <c r="C84" s="11" t="s">
        <v>106</v>
      </c>
      <c r="D84" s="19">
        <v>5170</v>
      </c>
      <c r="E84" s="20">
        <v>5374</v>
      </c>
      <c r="F84" s="20">
        <v>1036086</v>
      </c>
      <c r="G84" s="21">
        <v>0.53842787951857318</v>
      </c>
      <c r="H84" s="20">
        <v>16622777.559999999</v>
      </c>
      <c r="I84" s="22">
        <v>16.043820262024578</v>
      </c>
      <c r="J84" s="19">
        <v>4428</v>
      </c>
      <c r="K84" s="20">
        <v>4632</v>
      </c>
      <c r="L84" s="20">
        <v>720540</v>
      </c>
      <c r="M84" s="23">
        <v>0.43577973328494962</v>
      </c>
      <c r="N84" s="20">
        <v>9647312.4099999983</v>
      </c>
      <c r="O84" s="22">
        <v>13.389003261442804</v>
      </c>
      <c r="P84" s="24">
        <v>53</v>
      </c>
      <c r="Q84" s="20">
        <v>54</v>
      </c>
      <c r="R84" s="20">
        <v>126769</v>
      </c>
      <c r="S84" s="21">
        <v>6.491819229292024</v>
      </c>
      <c r="T84" s="13">
        <v>2719843.3500000006</v>
      </c>
      <c r="U84" s="22">
        <v>21.45511402629981</v>
      </c>
      <c r="V84" s="24">
        <v>526</v>
      </c>
      <c r="W84" s="20">
        <v>527</v>
      </c>
      <c r="X84" s="20">
        <v>125294</v>
      </c>
      <c r="Y84" s="21">
        <v>0.65198714696431592</v>
      </c>
      <c r="Z84" s="20">
        <v>2567224.9000000004</v>
      </c>
      <c r="AA84" s="22">
        <v>20.48960764282408</v>
      </c>
      <c r="AB84" s="25">
        <v>5</v>
      </c>
      <c r="AC84" s="20">
        <v>5</v>
      </c>
      <c r="AD84" s="20">
        <v>3043</v>
      </c>
      <c r="AE84" s="21">
        <v>1.6673972602739726</v>
      </c>
      <c r="AF84" s="20">
        <v>80147.75</v>
      </c>
      <c r="AG84" s="22">
        <v>26.338399605652317</v>
      </c>
      <c r="AH84" s="24">
        <v>133</v>
      </c>
      <c r="AI84" s="20">
        <v>133</v>
      </c>
      <c r="AJ84" s="20">
        <v>44927</v>
      </c>
      <c r="AK84" s="21">
        <v>0.92547121227726847</v>
      </c>
      <c r="AL84" s="20">
        <v>1201723.8999999999</v>
      </c>
      <c r="AM84" s="22">
        <v>26.748367351481289</v>
      </c>
      <c r="AN84" s="24">
        <v>25</v>
      </c>
      <c r="AO84" s="20">
        <v>23</v>
      </c>
      <c r="AP84" s="20">
        <v>15513</v>
      </c>
      <c r="AQ84" s="21">
        <v>1.7708904109589041</v>
      </c>
      <c r="AR84" s="20">
        <v>406525.25</v>
      </c>
      <c r="AS84" s="22">
        <v>26.205456713723972</v>
      </c>
      <c r="AT84" s="24">
        <v>0</v>
      </c>
      <c r="AU84" s="20">
        <v>0</v>
      </c>
      <c r="AV84" s="20">
        <v>0</v>
      </c>
      <c r="AW84" s="21" t="e">
        <v>#DIV/0!</v>
      </c>
      <c r="AX84" s="20">
        <v>0</v>
      </c>
      <c r="AY84" s="22" t="e">
        <v>#DIV/0!</v>
      </c>
    </row>
    <row r="85" spans="1:51" x14ac:dyDescent="0.2">
      <c r="A85" s="9">
        <v>5511024</v>
      </c>
      <c r="B85" s="10">
        <v>2559</v>
      </c>
      <c r="C85" s="11" t="s">
        <v>106</v>
      </c>
      <c r="D85" s="19">
        <v>7624</v>
      </c>
      <c r="E85" s="20">
        <v>8027</v>
      </c>
      <c r="F85" s="20">
        <v>1380686</v>
      </c>
      <c r="G85" s="21">
        <v>0.48338142864520017</v>
      </c>
      <c r="H85" s="20">
        <v>22571061.18</v>
      </c>
      <c r="I85" s="22">
        <v>16.347714961982668</v>
      </c>
      <c r="J85" s="19">
        <v>6406</v>
      </c>
      <c r="K85" s="20">
        <v>6780</v>
      </c>
      <c r="L85" s="20">
        <v>894446</v>
      </c>
      <c r="M85" s="23">
        <v>0.37168769699702259</v>
      </c>
      <c r="N85" s="20">
        <v>11589084.529999999</v>
      </c>
      <c r="O85" s="22">
        <v>12.956717934900485</v>
      </c>
      <c r="P85" s="24">
        <v>98</v>
      </c>
      <c r="Q85" s="20">
        <v>99</v>
      </c>
      <c r="R85" s="20">
        <v>146969</v>
      </c>
      <c r="S85" s="21">
        <v>4.0878659342187609</v>
      </c>
      <c r="T85" s="13">
        <v>3134523.7</v>
      </c>
      <c r="U85" s="22">
        <v>21.327788173016078</v>
      </c>
      <c r="V85" s="24">
        <v>887</v>
      </c>
      <c r="W85" s="20">
        <v>909</v>
      </c>
      <c r="X85" s="20">
        <v>189871</v>
      </c>
      <c r="Y85" s="21">
        <v>0.57928120328278976</v>
      </c>
      <c r="Z85" s="20">
        <v>3782747.6500000004</v>
      </c>
      <c r="AA85" s="22">
        <v>19.92272463936041</v>
      </c>
      <c r="AB85" s="25">
        <v>12</v>
      </c>
      <c r="AC85" s="20">
        <v>12</v>
      </c>
      <c r="AD85" s="20">
        <v>5591</v>
      </c>
      <c r="AE85" s="21">
        <v>1.2764840182648403</v>
      </c>
      <c r="AF85" s="20">
        <v>140638.25</v>
      </c>
      <c r="AG85" s="22">
        <v>25.154399928456449</v>
      </c>
      <c r="AH85" s="24">
        <v>205</v>
      </c>
      <c r="AI85" s="20">
        <v>211</v>
      </c>
      <c r="AJ85" s="20">
        <v>109170</v>
      </c>
      <c r="AK85" s="21">
        <v>1.4379610115911488</v>
      </c>
      <c r="AL85" s="20">
        <v>2944851.55</v>
      </c>
      <c r="AM85" s="22">
        <v>26.974915727764035</v>
      </c>
      <c r="AN85" s="24">
        <v>16</v>
      </c>
      <c r="AO85" s="20">
        <v>16</v>
      </c>
      <c r="AP85" s="20">
        <v>34639</v>
      </c>
      <c r="AQ85" s="21">
        <v>5.9313356164383562</v>
      </c>
      <c r="AR85" s="20">
        <v>979215.5</v>
      </c>
      <c r="AS85" s="22">
        <v>28.269161927307369</v>
      </c>
      <c r="AT85" s="24">
        <v>0</v>
      </c>
      <c r="AU85" s="20">
        <v>0</v>
      </c>
      <c r="AV85" s="20">
        <v>0</v>
      </c>
      <c r="AW85" s="21" t="e">
        <v>#DIV/0!</v>
      </c>
      <c r="AX85" s="20">
        <v>0</v>
      </c>
      <c r="AY85" s="22" t="e">
        <v>#DIV/0!</v>
      </c>
    </row>
    <row r="86" spans="1:51" x14ac:dyDescent="0.2">
      <c r="A86" s="9">
        <v>5511025</v>
      </c>
      <c r="B86" s="10">
        <v>2559</v>
      </c>
      <c r="C86" s="11" t="s">
        <v>106</v>
      </c>
      <c r="D86" s="19">
        <v>11784</v>
      </c>
      <c r="E86" s="20">
        <v>12151</v>
      </c>
      <c r="F86" s="20">
        <v>2598954</v>
      </c>
      <c r="G86" s="21">
        <v>0.59497989703849752</v>
      </c>
      <c r="H86" s="20">
        <v>46648408.300000004</v>
      </c>
      <c r="I86" s="22">
        <v>17.948916487171378</v>
      </c>
      <c r="J86" s="19">
        <v>8963</v>
      </c>
      <c r="K86" s="20">
        <v>9135</v>
      </c>
      <c r="L86" s="20">
        <v>1469342</v>
      </c>
      <c r="M86" s="23">
        <v>0.4448662305832628</v>
      </c>
      <c r="N86" s="20">
        <v>20673431.750000004</v>
      </c>
      <c r="O86" s="22">
        <v>14.069856949573349</v>
      </c>
      <c r="P86" s="24">
        <v>129</v>
      </c>
      <c r="Q86" s="20">
        <v>136</v>
      </c>
      <c r="R86" s="20">
        <v>280398</v>
      </c>
      <c r="S86" s="21">
        <v>5.7978392349444299</v>
      </c>
      <c r="T86" s="13">
        <v>6021230.6899999995</v>
      </c>
      <c r="U86" s="22">
        <v>21.473871746588774</v>
      </c>
      <c r="V86" s="24">
        <v>1791</v>
      </c>
      <c r="W86" s="20">
        <v>1999</v>
      </c>
      <c r="X86" s="20">
        <v>433672</v>
      </c>
      <c r="Y86" s="21">
        <v>0.62698810857700504</v>
      </c>
      <c r="Z86" s="20">
        <v>8826002.2599999998</v>
      </c>
      <c r="AA86" s="22">
        <v>20.351791815012266</v>
      </c>
      <c r="AB86" s="25">
        <v>15</v>
      </c>
      <c r="AC86" s="20">
        <v>15</v>
      </c>
      <c r="AD86" s="20">
        <v>10592</v>
      </c>
      <c r="AE86" s="21">
        <v>1.9346118721461187</v>
      </c>
      <c r="AF86" s="20">
        <v>274997.25</v>
      </c>
      <c r="AG86" s="22">
        <v>25.962731306646525</v>
      </c>
      <c r="AH86" s="24">
        <v>858</v>
      </c>
      <c r="AI86" s="20">
        <v>839</v>
      </c>
      <c r="AJ86" s="20">
        <v>391912</v>
      </c>
      <c r="AK86" s="21">
        <v>1.265446678667431</v>
      </c>
      <c r="AL86" s="20">
        <v>10513022.050000001</v>
      </c>
      <c r="AM86" s="22">
        <v>26.824955729857724</v>
      </c>
      <c r="AN86" s="24">
        <v>28</v>
      </c>
      <c r="AO86" s="20">
        <v>27</v>
      </c>
      <c r="AP86" s="20">
        <v>13038</v>
      </c>
      <c r="AQ86" s="21">
        <v>1.2989290161892901</v>
      </c>
      <c r="AR86" s="20">
        <v>339724.3</v>
      </c>
      <c r="AS86" s="22">
        <v>26.05647338548857</v>
      </c>
      <c r="AT86" s="24">
        <v>0</v>
      </c>
      <c r="AU86" s="20">
        <v>0</v>
      </c>
      <c r="AV86" s="20">
        <v>0</v>
      </c>
      <c r="AW86" s="21" t="e">
        <v>#DIV/0!</v>
      </c>
      <c r="AX86" s="20">
        <v>0</v>
      </c>
      <c r="AY86" s="22" t="e">
        <v>#DIV/0!</v>
      </c>
    </row>
    <row r="87" spans="1:51" x14ac:dyDescent="0.2">
      <c r="A87" s="9">
        <v>5511026</v>
      </c>
      <c r="B87" s="10">
        <v>2559</v>
      </c>
      <c r="C87" s="11" t="s">
        <v>106</v>
      </c>
      <c r="D87" s="19">
        <v>5890</v>
      </c>
      <c r="E87" s="20">
        <v>6016</v>
      </c>
      <c r="F87" s="20">
        <v>1100047</v>
      </c>
      <c r="G87" s="21">
        <v>0.5062703506232612</v>
      </c>
      <c r="H87" s="20">
        <v>18368932.829999998</v>
      </c>
      <c r="I87" s="22">
        <v>16.698316371936833</v>
      </c>
      <c r="J87" s="19">
        <v>4973</v>
      </c>
      <c r="K87" s="20">
        <v>5112</v>
      </c>
      <c r="L87" s="20">
        <v>741507</v>
      </c>
      <c r="M87" s="23">
        <v>0.40288071936485087</v>
      </c>
      <c r="N87" s="20">
        <v>9879309.9799999986</v>
      </c>
      <c r="O87" s="22">
        <v>13.32328619959083</v>
      </c>
      <c r="P87" s="24">
        <v>101</v>
      </c>
      <c r="Q87" s="20">
        <v>100</v>
      </c>
      <c r="R87" s="20">
        <v>111131</v>
      </c>
      <c r="S87" s="21">
        <v>3.029537245280447</v>
      </c>
      <c r="T87" s="13">
        <v>2543395.25</v>
      </c>
      <c r="U87" s="22">
        <v>22.886460573557333</v>
      </c>
      <c r="V87" s="24">
        <v>614</v>
      </c>
      <c r="W87" s="20">
        <v>604</v>
      </c>
      <c r="X87" s="20">
        <v>138380</v>
      </c>
      <c r="Y87" s="21">
        <v>0.62253413410711467</v>
      </c>
      <c r="Z87" s="20">
        <v>2923907.9499999997</v>
      </c>
      <c r="AA87" s="22">
        <v>21.129555932938285</v>
      </c>
      <c r="AB87" s="25">
        <v>17</v>
      </c>
      <c r="AC87" s="20">
        <v>16</v>
      </c>
      <c r="AD87" s="20">
        <v>36946</v>
      </c>
      <c r="AE87" s="21">
        <v>6.1346616853466163</v>
      </c>
      <c r="AF87" s="20">
        <v>1055212</v>
      </c>
      <c r="AG87" s="22">
        <v>28.560926757971092</v>
      </c>
      <c r="AH87" s="24">
        <v>154</v>
      </c>
      <c r="AI87" s="20">
        <v>154</v>
      </c>
      <c r="AJ87" s="20">
        <v>55515</v>
      </c>
      <c r="AK87" s="21">
        <v>0.98763565201921366</v>
      </c>
      <c r="AL87" s="20">
        <v>1521401.9000000001</v>
      </c>
      <c r="AM87" s="22">
        <v>27.405240025218411</v>
      </c>
      <c r="AN87" s="24">
        <v>31</v>
      </c>
      <c r="AO87" s="20">
        <v>30</v>
      </c>
      <c r="AP87" s="20">
        <v>16568</v>
      </c>
      <c r="AQ87" s="21">
        <v>1.488255108915338</v>
      </c>
      <c r="AR87" s="20">
        <v>445705.75</v>
      </c>
      <c r="AS87" s="22">
        <v>26.901602486721391</v>
      </c>
      <c r="AT87" s="24">
        <v>0</v>
      </c>
      <c r="AU87" s="20">
        <v>0</v>
      </c>
      <c r="AV87" s="20">
        <v>0</v>
      </c>
      <c r="AW87" s="21" t="e">
        <v>#DIV/0!</v>
      </c>
      <c r="AX87" s="20">
        <v>0</v>
      </c>
      <c r="AY87" s="22" t="e">
        <v>#DIV/0!</v>
      </c>
    </row>
    <row r="88" spans="1:51" x14ac:dyDescent="0.2">
      <c r="A88" s="9">
        <v>5511027</v>
      </c>
      <c r="B88" s="10">
        <v>2559</v>
      </c>
      <c r="C88" s="11" t="s">
        <v>106</v>
      </c>
      <c r="D88" s="19">
        <v>3591</v>
      </c>
      <c r="E88" s="20">
        <v>3672</v>
      </c>
      <c r="F88" s="20">
        <v>699749</v>
      </c>
      <c r="G88" s="21">
        <v>0.52791423597554876</v>
      </c>
      <c r="H88" s="20">
        <v>11753724.469999999</v>
      </c>
      <c r="I88" s="22">
        <v>16.797057902190641</v>
      </c>
      <c r="J88" s="19">
        <v>2970</v>
      </c>
      <c r="K88" s="20">
        <v>3074</v>
      </c>
      <c r="L88" s="20">
        <v>432145</v>
      </c>
      <c r="M88" s="23">
        <v>0.39177991532415252</v>
      </c>
      <c r="N88" s="20">
        <v>5815894.9699999997</v>
      </c>
      <c r="O88" s="22">
        <v>13.458202617177104</v>
      </c>
      <c r="P88" s="24">
        <v>69</v>
      </c>
      <c r="Q88" s="20">
        <v>71</v>
      </c>
      <c r="R88" s="20">
        <v>98028</v>
      </c>
      <c r="S88" s="21">
        <v>3.8367123287671236</v>
      </c>
      <c r="T88" s="13">
        <v>2105623.1500000004</v>
      </c>
      <c r="U88" s="22">
        <v>21.479813420655326</v>
      </c>
      <c r="V88" s="24">
        <v>424</v>
      </c>
      <c r="W88" s="20">
        <v>401</v>
      </c>
      <c r="X88" s="20">
        <v>118631</v>
      </c>
      <c r="Y88" s="21">
        <v>0.7879186384391863</v>
      </c>
      <c r="Z88" s="20">
        <v>2477115.1</v>
      </c>
      <c r="AA88" s="22">
        <v>20.880841432677801</v>
      </c>
      <c r="AB88" s="25">
        <v>10</v>
      </c>
      <c r="AC88" s="20">
        <v>10</v>
      </c>
      <c r="AD88" s="20">
        <v>7207</v>
      </c>
      <c r="AE88" s="21">
        <v>1.9745205479452057</v>
      </c>
      <c r="AF88" s="20">
        <v>179924.25</v>
      </c>
      <c r="AG88" s="22">
        <v>24.96520743721382</v>
      </c>
      <c r="AH88" s="24">
        <v>103</v>
      </c>
      <c r="AI88" s="20">
        <v>101</v>
      </c>
      <c r="AJ88" s="20">
        <v>33062</v>
      </c>
      <c r="AK88" s="21">
        <v>0.88804727370400216</v>
      </c>
      <c r="AL88" s="20">
        <v>887162</v>
      </c>
      <c r="AM88" s="22">
        <v>26.833282922993163</v>
      </c>
      <c r="AN88" s="24">
        <v>15</v>
      </c>
      <c r="AO88" s="20">
        <v>15</v>
      </c>
      <c r="AP88" s="20">
        <v>10676</v>
      </c>
      <c r="AQ88" s="21">
        <v>1.9499543378995434</v>
      </c>
      <c r="AR88" s="20">
        <v>288005</v>
      </c>
      <c r="AS88" s="22">
        <v>26.976863994005246</v>
      </c>
      <c r="AT88" s="24">
        <v>0</v>
      </c>
      <c r="AU88" s="20">
        <v>0</v>
      </c>
      <c r="AV88" s="20">
        <v>0</v>
      </c>
      <c r="AW88" s="21" t="e">
        <v>#DIV/0!</v>
      </c>
      <c r="AX88" s="20">
        <v>0</v>
      </c>
      <c r="AY88" s="22" t="e">
        <v>#DIV/0!</v>
      </c>
    </row>
    <row r="89" spans="1:51" x14ac:dyDescent="0.2">
      <c r="A89" s="9">
        <v>5511028</v>
      </c>
      <c r="B89" s="10">
        <v>2559</v>
      </c>
      <c r="C89" s="11" t="s">
        <v>106</v>
      </c>
      <c r="D89" s="19">
        <v>14217</v>
      </c>
      <c r="E89" s="20">
        <v>14625</v>
      </c>
      <c r="F89" s="20">
        <v>3409463</v>
      </c>
      <c r="G89" s="21">
        <v>0.64773556067872862</v>
      </c>
      <c r="H89" s="20">
        <v>62147930.019999996</v>
      </c>
      <c r="I89" s="22">
        <v>18.228069939459672</v>
      </c>
      <c r="J89" s="19">
        <v>10569</v>
      </c>
      <c r="K89" s="20">
        <v>10969</v>
      </c>
      <c r="L89" s="20">
        <v>1785839</v>
      </c>
      <c r="M89" s="23">
        <v>0.45433276897029401</v>
      </c>
      <c r="N89" s="20">
        <v>24264915.699999999</v>
      </c>
      <c r="O89" s="22">
        <v>13.587403847715276</v>
      </c>
      <c r="P89" s="24">
        <v>236</v>
      </c>
      <c r="Q89" s="20">
        <v>233</v>
      </c>
      <c r="R89" s="20">
        <v>453535</v>
      </c>
      <c r="S89" s="21">
        <v>5.2987703361859975</v>
      </c>
      <c r="T89" s="13">
        <v>10048656.749999998</v>
      </c>
      <c r="U89" s="22">
        <v>22.156298301123392</v>
      </c>
      <c r="V89" s="24">
        <v>2263</v>
      </c>
      <c r="W89" s="20">
        <v>2273</v>
      </c>
      <c r="X89" s="20">
        <v>546539</v>
      </c>
      <c r="Y89" s="21">
        <v>0.6602147809910367</v>
      </c>
      <c r="Z89" s="20">
        <v>11201905.389999999</v>
      </c>
      <c r="AA89" s="22">
        <v>20.496076931380923</v>
      </c>
      <c r="AB89" s="25">
        <v>23</v>
      </c>
      <c r="AC89" s="20">
        <v>21</v>
      </c>
      <c r="AD89" s="20">
        <v>17413</v>
      </c>
      <c r="AE89" s="21">
        <v>2.1684931506849314</v>
      </c>
      <c r="AF89" s="20">
        <v>471189</v>
      </c>
      <c r="AG89" s="22">
        <v>27.059610635731925</v>
      </c>
      <c r="AH89" s="24">
        <v>1065</v>
      </c>
      <c r="AI89" s="20">
        <v>1069</v>
      </c>
      <c r="AJ89" s="20">
        <v>564725</v>
      </c>
      <c r="AK89" s="21">
        <v>1.4500391572838967</v>
      </c>
      <c r="AL89" s="20">
        <v>15070114.93</v>
      </c>
      <c r="AM89" s="22">
        <v>26.685758431094779</v>
      </c>
      <c r="AN89" s="24">
        <v>61</v>
      </c>
      <c r="AO89" s="20">
        <v>60</v>
      </c>
      <c r="AP89" s="20">
        <v>41412</v>
      </c>
      <c r="AQ89" s="21">
        <v>1.8753311445714933</v>
      </c>
      <c r="AR89" s="20">
        <v>1091148.25</v>
      </c>
      <c r="AS89" s="22">
        <v>26.348600647155415</v>
      </c>
      <c r="AT89" s="24">
        <v>0</v>
      </c>
      <c r="AU89" s="20">
        <v>0</v>
      </c>
      <c r="AV89" s="20">
        <v>0</v>
      </c>
      <c r="AW89" s="21" t="e">
        <v>#DIV/0!</v>
      </c>
      <c r="AX89" s="20">
        <v>0</v>
      </c>
      <c r="AY89" s="22" t="e">
        <v>#DIV/0!</v>
      </c>
    </row>
    <row r="90" spans="1:51" x14ac:dyDescent="0.2">
      <c r="A90" s="9">
        <v>5511029</v>
      </c>
      <c r="B90" s="10">
        <v>2559</v>
      </c>
      <c r="C90" s="11" t="s">
        <v>106</v>
      </c>
      <c r="D90" s="19">
        <v>4585</v>
      </c>
      <c r="E90" s="20">
        <v>4719</v>
      </c>
      <c r="F90" s="20">
        <v>926363</v>
      </c>
      <c r="G90" s="21">
        <v>0.54556767453091326</v>
      </c>
      <c r="H90" s="20">
        <v>16917772.830000002</v>
      </c>
      <c r="I90" s="22">
        <v>18.262573990973301</v>
      </c>
      <c r="J90" s="19">
        <v>2970</v>
      </c>
      <c r="K90" s="20">
        <v>3105</v>
      </c>
      <c r="L90" s="20">
        <v>458409</v>
      </c>
      <c r="M90" s="23">
        <v>0.41346998139692204</v>
      </c>
      <c r="N90" s="20">
        <v>6298137.46</v>
      </c>
      <c r="O90" s="22">
        <v>13.739122617575134</v>
      </c>
      <c r="P90" s="24">
        <v>113</v>
      </c>
      <c r="Q90" s="20">
        <v>115</v>
      </c>
      <c r="R90" s="20">
        <v>155374</v>
      </c>
      <c r="S90" s="21">
        <v>3.7340543138668592</v>
      </c>
      <c r="T90" s="13">
        <v>3349513.95</v>
      </c>
      <c r="U90" s="22">
        <v>21.557750653262453</v>
      </c>
      <c r="V90" s="24">
        <v>1284</v>
      </c>
      <c r="W90" s="20">
        <v>1272</v>
      </c>
      <c r="X90" s="20">
        <v>216332</v>
      </c>
      <c r="Y90" s="21">
        <v>0.46376401483482327</v>
      </c>
      <c r="Z90" s="20">
        <v>4729261.47</v>
      </c>
      <c r="AA90" s="22">
        <v>21.861127664885451</v>
      </c>
      <c r="AB90" s="25">
        <v>13</v>
      </c>
      <c r="AC90" s="20">
        <v>12</v>
      </c>
      <c r="AD90" s="20">
        <v>5558</v>
      </c>
      <c r="AE90" s="21">
        <v>1.2181917808219178</v>
      </c>
      <c r="AF90" s="20">
        <v>143660.25</v>
      </c>
      <c r="AG90" s="22">
        <v>25.847472112270601</v>
      </c>
      <c r="AH90" s="24">
        <v>186</v>
      </c>
      <c r="AI90" s="20">
        <v>196</v>
      </c>
      <c r="AJ90" s="20">
        <v>82786</v>
      </c>
      <c r="AK90" s="21">
        <v>1.1874919314351289</v>
      </c>
      <c r="AL90" s="20">
        <v>2195997.7000000002</v>
      </c>
      <c r="AM90" s="22">
        <v>26.526196458338369</v>
      </c>
      <c r="AN90" s="24">
        <v>19</v>
      </c>
      <c r="AO90" s="20">
        <v>19</v>
      </c>
      <c r="AP90" s="20">
        <v>7904</v>
      </c>
      <c r="AQ90" s="21">
        <v>1.1397260273972603</v>
      </c>
      <c r="AR90" s="20">
        <v>201202</v>
      </c>
      <c r="AS90" s="22">
        <v>25.455718623481783</v>
      </c>
      <c r="AT90" s="24">
        <v>0</v>
      </c>
      <c r="AU90" s="20">
        <v>0</v>
      </c>
      <c r="AV90" s="20">
        <v>0</v>
      </c>
      <c r="AW90" s="21" t="e">
        <v>#DIV/0!</v>
      </c>
      <c r="AX90" s="20">
        <v>0</v>
      </c>
      <c r="AY90" s="22" t="e">
        <v>#DIV/0!</v>
      </c>
    </row>
    <row r="91" spans="1:51" x14ac:dyDescent="0.2">
      <c r="A91" s="9">
        <v>5511030</v>
      </c>
      <c r="B91" s="10">
        <v>2559</v>
      </c>
      <c r="C91" s="11" t="s">
        <v>106</v>
      </c>
      <c r="D91" s="19">
        <v>20028</v>
      </c>
      <c r="E91" s="20">
        <v>20922</v>
      </c>
      <c r="F91" s="20">
        <v>4575165</v>
      </c>
      <c r="G91" s="21">
        <v>0.61219529329118372</v>
      </c>
      <c r="H91" s="20">
        <v>80478043.520000011</v>
      </c>
      <c r="I91" s="22">
        <v>17.590194784231826</v>
      </c>
      <c r="J91" s="19">
        <v>16817</v>
      </c>
      <c r="K91" s="20">
        <v>17543</v>
      </c>
      <c r="L91" s="20">
        <v>2695619</v>
      </c>
      <c r="M91" s="23">
        <v>0.42987529302948635</v>
      </c>
      <c r="N91" s="20">
        <v>36210785.939999998</v>
      </c>
      <c r="O91" s="22">
        <v>13.433198808882114</v>
      </c>
      <c r="P91" s="24">
        <v>248</v>
      </c>
      <c r="Q91" s="20">
        <v>255</v>
      </c>
      <c r="R91" s="20">
        <v>692267</v>
      </c>
      <c r="S91" s="21">
        <v>7.541240229853754</v>
      </c>
      <c r="T91" s="13">
        <v>15617388.800000001</v>
      </c>
      <c r="U91" s="22">
        <v>22.559776502418867</v>
      </c>
      <c r="V91" s="24">
        <v>2011</v>
      </c>
      <c r="W91" s="20">
        <v>2196</v>
      </c>
      <c r="X91" s="20">
        <v>546672</v>
      </c>
      <c r="Y91" s="21">
        <v>0.71201878148291664</v>
      </c>
      <c r="Z91" s="20">
        <v>11179083.380000001</v>
      </c>
      <c r="AA91" s="22">
        <v>20.449343262504758</v>
      </c>
      <c r="AB91" s="25">
        <v>22</v>
      </c>
      <c r="AC91" s="20">
        <v>22</v>
      </c>
      <c r="AD91" s="20">
        <v>23072</v>
      </c>
      <c r="AE91" s="21">
        <v>2.8732254047322541</v>
      </c>
      <c r="AF91" s="20">
        <v>634353.75</v>
      </c>
      <c r="AG91" s="22">
        <v>27.49452799930652</v>
      </c>
      <c r="AH91" s="24">
        <v>877</v>
      </c>
      <c r="AI91" s="20">
        <v>856</v>
      </c>
      <c r="AJ91" s="20">
        <v>497234</v>
      </c>
      <c r="AK91" s="21">
        <v>1.5721695689634732</v>
      </c>
      <c r="AL91" s="20">
        <v>13407969.699999999</v>
      </c>
      <c r="AM91" s="22">
        <v>26.965110390681247</v>
      </c>
      <c r="AN91" s="24">
        <v>53</v>
      </c>
      <c r="AO91" s="20">
        <v>50</v>
      </c>
      <c r="AP91" s="20">
        <v>120301</v>
      </c>
      <c r="AQ91" s="21">
        <v>6.3998404043090833</v>
      </c>
      <c r="AR91" s="20">
        <v>3428461.9499999997</v>
      </c>
      <c r="AS91" s="22">
        <v>28.49903118012319</v>
      </c>
      <c r="AT91" s="24">
        <v>0</v>
      </c>
      <c r="AU91" s="20">
        <v>0</v>
      </c>
      <c r="AV91" s="20">
        <v>0</v>
      </c>
      <c r="AW91" s="21" t="e">
        <v>#DIV/0!</v>
      </c>
      <c r="AX91" s="20">
        <v>0</v>
      </c>
      <c r="AY91" s="22" t="e">
        <v>#DIV/0!</v>
      </c>
    </row>
    <row r="92" spans="1:51" x14ac:dyDescent="0.2">
      <c r="A92" s="9">
        <v>5511031</v>
      </c>
      <c r="B92" s="10">
        <v>2559</v>
      </c>
      <c r="C92" s="11" t="s">
        <v>106</v>
      </c>
      <c r="D92" s="19">
        <v>5689</v>
      </c>
      <c r="E92" s="20">
        <v>5901</v>
      </c>
      <c r="F92" s="20">
        <v>984502</v>
      </c>
      <c r="G92" s="21">
        <v>0.4654470670275509</v>
      </c>
      <c r="H92" s="20">
        <v>17158055.73</v>
      </c>
      <c r="I92" s="22">
        <v>17.428157312021714</v>
      </c>
      <c r="J92" s="19">
        <v>4169</v>
      </c>
      <c r="K92" s="20">
        <v>4322</v>
      </c>
      <c r="L92" s="20">
        <v>527841</v>
      </c>
      <c r="M92" s="23">
        <v>0.34062883665702443</v>
      </c>
      <c r="N92" s="20">
        <v>6707489.21</v>
      </c>
      <c r="O92" s="22">
        <v>12.707404710888317</v>
      </c>
      <c r="P92" s="24">
        <v>96</v>
      </c>
      <c r="Q92" s="20">
        <v>97</v>
      </c>
      <c r="R92" s="20">
        <v>121969</v>
      </c>
      <c r="S92" s="21">
        <v>3.4628149620271134</v>
      </c>
      <c r="T92" s="13">
        <v>2763652.25</v>
      </c>
      <c r="U92" s="22">
        <v>22.658644819585305</v>
      </c>
      <c r="V92" s="24">
        <v>1037</v>
      </c>
      <c r="W92" s="20">
        <v>1097</v>
      </c>
      <c r="X92" s="20">
        <v>200376</v>
      </c>
      <c r="Y92" s="21">
        <v>0.51450360118627314</v>
      </c>
      <c r="Z92" s="20">
        <v>4111428.2699999996</v>
      </c>
      <c r="AA92" s="22">
        <v>20.518566445083241</v>
      </c>
      <c r="AB92" s="25">
        <v>24</v>
      </c>
      <c r="AC92" s="20">
        <v>20</v>
      </c>
      <c r="AD92" s="20">
        <v>10247</v>
      </c>
      <c r="AE92" s="21">
        <v>1.2760896637608965</v>
      </c>
      <c r="AF92" s="20">
        <v>265637.75</v>
      </c>
      <c r="AG92" s="22">
        <v>25.923465404508637</v>
      </c>
      <c r="AH92" s="24">
        <v>354</v>
      </c>
      <c r="AI92" s="20">
        <v>356</v>
      </c>
      <c r="AJ92" s="20">
        <v>111424</v>
      </c>
      <c r="AK92" s="21">
        <v>0.85991896584989391</v>
      </c>
      <c r="AL92" s="20">
        <v>2967218.25</v>
      </c>
      <c r="AM92" s="22">
        <v>26.629974242533027</v>
      </c>
      <c r="AN92" s="24">
        <v>9</v>
      </c>
      <c r="AO92" s="20">
        <v>9</v>
      </c>
      <c r="AP92" s="20">
        <v>12645</v>
      </c>
      <c r="AQ92" s="21">
        <v>3.8493150684931505</v>
      </c>
      <c r="AR92" s="20">
        <v>342630</v>
      </c>
      <c r="AS92" s="22">
        <v>27.09608540925267</v>
      </c>
      <c r="AT92" s="24">
        <v>0</v>
      </c>
      <c r="AU92" s="20">
        <v>0</v>
      </c>
      <c r="AV92" s="20">
        <v>0</v>
      </c>
      <c r="AW92" s="21" t="e">
        <v>#DIV/0!</v>
      </c>
      <c r="AX92" s="20">
        <v>0</v>
      </c>
      <c r="AY92" s="22" t="e">
        <v>#DIV/0!</v>
      </c>
    </row>
    <row r="93" spans="1:51" x14ac:dyDescent="0.2">
      <c r="A93" s="9">
        <v>5511032</v>
      </c>
      <c r="B93" s="10">
        <v>2559</v>
      </c>
      <c r="C93" s="11" t="s">
        <v>106</v>
      </c>
      <c r="D93" s="19">
        <v>25883</v>
      </c>
      <c r="E93" s="20">
        <v>27714</v>
      </c>
      <c r="F93" s="20">
        <v>7068860</v>
      </c>
      <c r="G93" s="21">
        <v>0.7226799905228799</v>
      </c>
      <c r="H93" s="20">
        <v>134612668.87</v>
      </c>
      <c r="I93" s="22">
        <v>19.043052043752457</v>
      </c>
      <c r="J93" s="19">
        <v>19802</v>
      </c>
      <c r="K93" s="20">
        <v>21399</v>
      </c>
      <c r="L93" s="20">
        <v>3605749</v>
      </c>
      <c r="M93" s="23">
        <v>0.47954002978382293</v>
      </c>
      <c r="N93" s="20">
        <v>51736413.430000007</v>
      </c>
      <c r="O93" s="22">
        <v>14.348312494851973</v>
      </c>
      <c r="P93" s="24">
        <v>384</v>
      </c>
      <c r="Q93" s="20">
        <v>381</v>
      </c>
      <c r="R93" s="20">
        <v>950079</v>
      </c>
      <c r="S93" s="21">
        <v>6.8051141552511423</v>
      </c>
      <c r="T93" s="13">
        <v>21175409.350000001</v>
      </c>
      <c r="U93" s="22">
        <v>22.288051151535822</v>
      </c>
      <c r="V93" s="24">
        <v>3829</v>
      </c>
      <c r="W93" s="20">
        <v>4208</v>
      </c>
      <c r="X93" s="20">
        <v>1155534</v>
      </c>
      <c r="Y93" s="21">
        <v>0.78781798565197603</v>
      </c>
      <c r="Z93" s="20">
        <v>24062355.09</v>
      </c>
      <c r="AA93" s="22">
        <v>20.823580344671814</v>
      </c>
      <c r="AB93" s="25">
        <v>46</v>
      </c>
      <c r="AC93" s="20">
        <v>45</v>
      </c>
      <c r="AD93" s="20">
        <v>24138</v>
      </c>
      <c r="AE93" s="21">
        <v>1.4534397109739576</v>
      </c>
      <c r="AF93" s="20">
        <v>650962</v>
      </c>
      <c r="AG93" s="22">
        <v>26.968348661860965</v>
      </c>
      <c r="AH93" s="24">
        <v>1773</v>
      </c>
      <c r="AI93" s="20">
        <v>1634</v>
      </c>
      <c r="AJ93" s="20">
        <v>1281321</v>
      </c>
      <c r="AK93" s="21">
        <v>2.060738769093446</v>
      </c>
      <c r="AL93" s="20">
        <v>35522782.75</v>
      </c>
      <c r="AM93" s="22">
        <v>27.723562440637437</v>
      </c>
      <c r="AN93" s="24">
        <v>49</v>
      </c>
      <c r="AO93" s="20">
        <v>47</v>
      </c>
      <c r="AP93" s="20">
        <v>52039</v>
      </c>
      <c r="AQ93" s="21">
        <v>2.9702625570776253</v>
      </c>
      <c r="AR93" s="20">
        <v>1464746.25</v>
      </c>
      <c r="AS93" s="22">
        <v>28.147086800284402</v>
      </c>
      <c r="AT93" s="24">
        <v>0</v>
      </c>
      <c r="AU93" s="20">
        <v>0</v>
      </c>
      <c r="AV93" s="20">
        <v>0</v>
      </c>
      <c r="AW93" s="21" t="e">
        <v>#DIV/0!</v>
      </c>
      <c r="AX93" s="20">
        <v>0</v>
      </c>
      <c r="AY93" s="22" t="e">
        <v>#DIV/0!</v>
      </c>
    </row>
    <row r="94" spans="1:51" x14ac:dyDescent="0.2">
      <c r="A94" s="9">
        <v>5511033</v>
      </c>
      <c r="B94" s="10">
        <v>2559</v>
      </c>
      <c r="C94" s="11" t="s">
        <v>106</v>
      </c>
      <c r="D94" s="19">
        <v>6439</v>
      </c>
      <c r="E94" s="20">
        <v>6969</v>
      </c>
      <c r="F94" s="20">
        <v>1167415</v>
      </c>
      <c r="G94" s="21">
        <v>0.47708789681891001</v>
      </c>
      <c r="H94" s="20">
        <v>18889639.930000003</v>
      </c>
      <c r="I94" s="22">
        <v>16.180741150319299</v>
      </c>
      <c r="J94" s="19">
        <v>5290</v>
      </c>
      <c r="K94" s="20">
        <v>5854</v>
      </c>
      <c r="L94" s="20">
        <v>811410</v>
      </c>
      <c r="M94" s="23">
        <v>0.39896645654888929</v>
      </c>
      <c r="N94" s="20">
        <v>10740486.630000001</v>
      </c>
      <c r="O94" s="22">
        <v>13.236818168373572</v>
      </c>
      <c r="P94" s="24">
        <v>72</v>
      </c>
      <c r="Q94" s="20">
        <v>75</v>
      </c>
      <c r="R94" s="20">
        <v>53671</v>
      </c>
      <c r="S94" s="21">
        <v>2.0005964029447396</v>
      </c>
      <c r="T94" s="13">
        <v>1136947.6000000001</v>
      </c>
      <c r="U94" s="22">
        <v>21.183648525274357</v>
      </c>
      <c r="V94" s="24">
        <v>840</v>
      </c>
      <c r="W94" s="20">
        <v>806</v>
      </c>
      <c r="X94" s="20">
        <v>189376</v>
      </c>
      <c r="Y94" s="21">
        <v>0.63042327601990711</v>
      </c>
      <c r="Z94" s="20">
        <v>3941996.1500000004</v>
      </c>
      <c r="AA94" s="22">
        <v>20.815711336177763</v>
      </c>
      <c r="AB94" s="25">
        <v>10</v>
      </c>
      <c r="AC94" s="20">
        <v>12</v>
      </c>
      <c r="AD94" s="20">
        <v>4985</v>
      </c>
      <c r="AE94" s="21">
        <v>1.2415940224159403</v>
      </c>
      <c r="AF94" s="20">
        <v>138261.95000000001</v>
      </c>
      <c r="AG94" s="22">
        <v>27.735596790371115</v>
      </c>
      <c r="AH94" s="24">
        <v>220</v>
      </c>
      <c r="AI94" s="20">
        <v>215</v>
      </c>
      <c r="AJ94" s="20">
        <v>85021</v>
      </c>
      <c r="AK94" s="21">
        <v>1.0709620532199653</v>
      </c>
      <c r="AL94" s="20">
        <v>2262730.85</v>
      </c>
      <c r="AM94" s="22">
        <v>26.613787770080336</v>
      </c>
      <c r="AN94" s="24">
        <v>7</v>
      </c>
      <c r="AO94" s="20">
        <v>7</v>
      </c>
      <c r="AP94" s="20">
        <v>22952</v>
      </c>
      <c r="AQ94" s="21">
        <v>8.9831702544031309</v>
      </c>
      <c r="AR94" s="20">
        <v>669216.75</v>
      </c>
      <c r="AS94" s="22">
        <v>29.157230306727083</v>
      </c>
      <c r="AT94" s="24">
        <v>0</v>
      </c>
      <c r="AU94" s="20">
        <v>0</v>
      </c>
      <c r="AV94" s="20">
        <v>0</v>
      </c>
      <c r="AW94" s="21" t="e">
        <v>#DIV/0!</v>
      </c>
      <c r="AX94" s="20">
        <v>0</v>
      </c>
      <c r="AY94" s="22" t="e">
        <v>#DIV/0!</v>
      </c>
    </row>
    <row r="95" spans="1:51" x14ac:dyDescent="0.2">
      <c r="A95" s="9">
        <v>5511034</v>
      </c>
      <c r="B95" s="10">
        <v>2559</v>
      </c>
      <c r="C95" s="11" t="s">
        <v>106</v>
      </c>
      <c r="D95" s="19">
        <v>2111</v>
      </c>
      <c r="E95" s="20">
        <v>2239</v>
      </c>
      <c r="F95" s="20">
        <v>485173</v>
      </c>
      <c r="G95" s="21">
        <v>0.61114533144386718</v>
      </c>
      <c r="H95" s="20">
        <v>8716103.3200000003</v>
      </c>
      <c r="I95" s="22">
        <v>17.964938939306187</v>
      </c>
      <c r="J95" s="19">
        <v>1455</v>
      </c>
      <c r="K95" s="20">
        <v>1528</v>
      </c>
      <c r="L95" s="20">
        <v>236338</v>
      </c>
      <c r="M95" s="23">
        <v>0.43412763651559749</v>
      </c>
      <c r="N95" s="20">
        <v>3299094.4699999993</v>
      </c>
      <c r="O95" s="22">
        <v>13.95922141170696</v>
      </c>
      <c r="P95" s="24">
        <v>58</v>
      </c>
      <c r="Q95" s="20">
        <v>59</v>
      </c>
      <c r="R95" s="20">
        <v>96393</v>
      </c>
      <c r="S95" s="21">
        <v>4.5143659992975067</v>
      </c>
      <c r="T95" s="13">
        <v>2072482.7500000005</v>
      </c>
      <c r="U95" s="22">
        <v>21.500344942060114</v>
      </c>
      <c r="V95" s="24">
        <v>457</v>
      </c>
      <c r="W95" s="20">
        <v>490</v>
      </c>
      <c r="X95" s="20">
        <v>107638</v>
      </c>
      <c r="Y95" s="21">
        <v>0.62280597705804919</v>
      </c>
      <c r="Z95" s="20">
        <v>2169247.35</v>
      </c>
      <c r="AA95" s="22">
        <v>20.153174064921313</v>
      </c>
      <c r="AB95" s="25">
        <v>13</v>
      </c>
      <c r="AC95" s="20">
        <v>13</v>
      </c>
      <c r="AD95" s="20">
        <v>4750</v>
      </c>
      <c r="AE95" s="21">
        <v>1.0010537407797682</v>
      </c>
      <c r="AF95" s="20">
        <v>121148.75</v>
      </c>
      <c r="AG95" s="22">
        <v>25.504999999999999</v>
      </c>
      <c r="AH95" s="24">
        <v>127</v>
      </c>
      <c r="AI95" s="20">
        <v>148</v>
      </c>
      <c r="AJ95" s="20">
        <v>39854</v>
      </c>
      <c r="AK95" s="21">
        <v>0.79410211706102118</v>
      </c>
      <c r="AL95" s="20">
        <v>1049831</v>
      </c>
      <c r="AM95" s="22">
        <v>26.341923019019422</v>
      </c>
      <c r="AN95" s="24">
        <v>1</v>
      </c>
      <c r="AO95" s="20">
        <v>1</v>
      </c>
      <c r="AP95" s="20">
        <v>200</v>
      </c>
      <c r="AQ95" s="21">
        <v>0.54794520547945202</v>
      </c>
      <c r="AR95" s="20">
        <v>4299</v>
      </c>
      <c r="AS95" s="22">
        <v>21.495000000000001</v>
      </c>
      <c r="AT95" s="24">
        <v>0</v>
      </c>
      <c r="AU95" s="20">
        <v>0</v>
      </c>
      <c r="AV95" s="20">
        <v>0</v>
      </c>
      <c r="AW95" s="21" t="e">
        <v>#DIV/0!</v>
      </c>
      <c r="AX95" s="20">
        <v>0</v>
      </c>
      <c r="AY95" s="22" t="e">
        <v>#DIV/0!</v>
      </c>
    </row>
    <row r="96" spans="1:51" x14ac:dyDescent="0.2">
      <c r="A96" s="9">
        <v>5511035</v>
      </c>
      <c r="B96" s="10">
        <v>2559</v>
      </c>
      <c r="C96" s="11" t="s">
        <v>106</v>
      </c>
      <c r="D96" s="19">
        <v>3303</v>
      </c>
      <c r="E96" s="20">
        <v>3544</v>
      </c>
      <c r="F96" s="20">
        <v>717979</v>
      </c>
      <c r="G96" s="21">
        <v>0.57457740716362138</v>
      </c>
      <c r="H96" s="20">
        <v>12497539.689999999</v>
      </c>
      <c r="I96" s="22">
        <v>17.406553241807906</v>
      </c>
      <c r="J96" s="19">
        <v>2607</v>
      </c>
      <c r="K96" s="20">
        <v>2813</v>
      </c>
      <c r="L96" s="20">
        <v>432173</v>
      </c>
      <c r="M96" s="23">
        <v>0.43691351160086939</v>
      </c>
      <c r="N96" s="20">
        <v>5940490.0100000016</v>
      </c>
      <c r="O96" s="22">
        <v>13.745629666823243</v>
      </c>
      <c r="P96" s="24">
        <v>72</v>
      </c>
      <c r="Q96" s="20">
        <v>78</v>
      </c>
      <c r="R96" s="20">
        <v>53199</v>
      </c>
      <c r="S96" s="21">
        <v>1.9433424657534248</v>
      </c>
      <c r="T96" s="13">
        <v>1126018.3</v>
      </c>
      <c r="U96" s="22">
        <v>21.166155378860505</v>
      </c>
      <c r="V96" s="24">
        <v>387</v>
      </c>
      <c r="W96" s="20">
        <v>397</v>
      </c>
      <c r="X96" s="20">
        <v>104403</v>
      </c>
      <c r="Y96" s="21">
        <v>0.72968269499580651</v>
      </c>
      <c r="Z96" s="20">
        <v>2080962.45</v>
      </c>
      <c r="AA96" s="22">
        <v>19.932017758110398</v>
      </c>
      <c r="AB96" s="25">
        <v>5</v>
      </c>
      <c r="AC96" s="20">
        <v>10</v>
      </c>
      <c r="AD96" s="20">
        <v>2606</v>
      </c>
      <c r="AE96" s="21">
        <v>0.95196347031963469</v>
      </c>
      <c r="AF96" s="20">
        <v>63297.049999999996</v>
      </c>
      <c r="AG96" s="22">
        <v>24.288967766692245</v>
      </c>
      <c r="AH96" s="24">
        <v>231</v>
      </c>
      <c r="AI96" s="20">
        <v>244</v>
      </c>
      <c r="AJ96" s="20">
        <v>123579</v>
      </c>
      <c r="AK96" s="21">
        <v>1.4255688536409516</v>
      </c>
      <c r="AL96" s="20">
        <v>3231630.08</v>
      </c>
      <c r="AM96" s="22">
        <v>26.150317448757477</v>
      </c>
      <c r="AN96" s="24">
        <v>1</v>
      </c>
      <c r="AO96" s="20">
        <v>2</v>
      </c>
      <c r="AP96" s="20">
        <v>2019</v>
      </c>
      <c r="AQ96" s="21">
        <v>3.6876712328767125</v>
      </c>
      <c r="AR96" s="20">
        <v>55141.8</v>
      </c>
      <c r="AS96" s="22">
        <v>27.311441307578011</v>
      </c>
      <c r="AT96" s="24">
        <v>0</v>
      </c>
      <c r="AU96" s="20">
        <v>0</v>
      </c>
      <c r="AV96" s="20">
        <v>0</v>
      </c>
      <c r="AW96" s="21" t="e">
        <v>#DIV/0!</v>
      </c>
      <c r="AX96" s="20">
        <v>0</v>
      </c>
      <c r="AY96" s="22" t="e">
        <v>#DIV/0!</v>
      </c>
    </row>
    <row r="97" spans="1:51" x14ac:dyDescent="0.2">
      <c r="A97" s="9">
        <v>5511036</v>
      </c>
      <c r="B97" s="10">
        <v>2559</v>
      </c>
      <c r="C97" s="11" t="s">
        <v>106</v>
      </c>
      <c r="D97" s="19">
        <v>17493</v>
      </c>
      <c r="E97" s="20">
        <v>18089</v>
      </c>
      <c r="F97" s="20">
        <v>3797971</v>
      </c>
      <c r="G97" s="21">
        <v>0.58486875386431336</v>
      </c>
      <c r="H97" s="20">
        <v>68627415.5</v>
      </c>
      <c r="I97" s="22">
        <v>18.069494343163758</v>
      </c>
      <c r="J97" s="19">
        <v>12925</v>
      </c>
      <c r="K97" s="20">
        <v>13452</v>
      </c>
      <c r="L97" s="20">
        <v>2084277</v>
      </c>
      <c r="M97" s="23">
        <v>0.43297933390495352</v>
      </c>
      <c r="N97" s="20">
        <v>29179807.789999999</v>
      </c>
      <c r="O97" s="22">
        <v>13.999966314458202</v>
      </c>
      <c r="P97" s="24">
        <v>261</v>
      </c>
      <c r="Q97" s="20">
        <v>266</v>
      </c>
      <c r="R97" s="20">
        <v>392612</v>
      </c>
      <c r="S97" s="21">
        <v>4.0821605884952303</v>
      </c>
      <c r="T97" s="13">
        <v>8448803.0099999998</v>
      </c>
      <c r="U97" s="22">
        <v>21.519472176092428</v>
      </c>
      <c r="V97" s="24">
        <v>3145</v>
      </c>
      <c r="W97" s="20">
        <v>3187</v>
      </c>
      <c r="X97" s="20">
        <v>752936</v>
      </c>
      <c r="Y97" s="21">
        <v>0.65155980927491586</v>
      </c>
      <c r="Z97" s="20">
        <v>15605613.900000002</v>
      </c>
      <c r="AA97" s="22">
        <v>20.726348454583128</v>
      </c>
      <c r="AB97" s="25">
        <v>27</v>
      </c>
      <c r="AC97" s="20">
        <v>27</v>
      </c>
      <c r="AD97" s="20">
        <v>16640</v>
      </c>
      <c r="AE97" s="21">
        <v>1.6884830035514968</v>
      </c>
      <c r="AF97" s="20">
        <v>420928.25</v>
      </c>
      <c r="AG97" s="22">
        <v>25.296168870192307</v>
      </c>
      <c r="AH97" s="24">
        <v>1107</v>
      </c>
      <c r="AI97" s="20">
        <v>1131</v>
      </c>
      <c r="AJ97" s="20">
        <v>531884</v>
      </c>
      <c r="AK97" s="21">
        <v>1.3022488278428637</v>
      </c>
      <c r="AL97" s="20">
        <v>14427878.049999999</v>
      </c>
      <c r="AM97" s="22">
        <v>27.125986211279148</v>
      </c>
      <c r="AN97" s="24">
        <v>28</v>
      </c>
      <c r="AO97" s="20">
        <v>26</v>
      </c>
      <c r="AP97" s="20">
        <v>19622</v>
      </c>
      <c r="AQ97" s="21">
        <v>1.9910705225773719</v>
      </c>
      <c r="AR97" s="20">
        <v>544384.5</v>
      </c>
      <c r="AS97" s="22">
        <v>27.743578636224647</v>
      </c>
      <c r="AT97" s="24">
        <v>0</v>
      </c>
      <c r="AU97" s="20">
        <v>0</v>
      </c>
      <c r="AV97" s="20">
        <v>0</v>
      </c>
      <c r="AW97" s="21" t="e">
        <v>#DIV/0!</v>
      </c>
      <c r="AX97" s="20">
        <v>0</v>
      </c>
      <c r="AY97" s="22" t="e">
        <v>#DIV/0!</v>
      </c>
    </row>
    <row r="98" spans="1:51" x14ac:dyDescent="0.2">
      <c r="A98" s="9">
        <v>5511037</v>
      </c>
      <c r="B98" s="10">
        <v>2559</v>
      </c>
      <c r="C98" s="11" t="s">
        <v>106</v>
      </c>
      <c r="D98" s="19">
        <v>2897</v>
      </c>
      <c r="E98" s="20">
        <v>3284</v>
      </c>
      <c r="F98" s="20">
        <v>567964</v>
      </c>
      <c r="G98" s="21">
        <v>0.50349967753588665</v>
      </c>
      <c r="H98" s="20">
        <v>9682570.4000000004</v>
      </c>
      <c r="I98" s="22">
        <v>17.04785937136861</v>
      </c>
      <c r="J98" s="19">
        <v>2230</v>
      </c>
      <c r="K98" s="20">
        <v>2487</v>
      </c>
      <c r="L98" s="20">
        <v>320247</v>
      </c>
      <c r="M98" s="23">
        <v>0.37201146537879604</v>
      </c>
      <c r="N98" s="20">
        <v>4209704</v>
      </c>
      <c r="O98" s="22">
        <v>13.145178565294913</v>
      </c>
      <c r="P98" s="24">
        <v>47</v>
      </c>
      <c r="Q98" s="20">
        <v>46</v>
      </c>
      <c r="R98" s="20">
        <v>51986</v>
      </c>
      <c r="S98" s="21">
        <v>3.0629547797908381</v>
      </c>
      <c r="T98" s="20">
        <v>1092019.75</v>
      </c>
      <c r="U98" s="22">
        <v>21.006035278728888</v>
      </c>
      <c r="V98" s="24">
        <v>487</v>
      </c>
      <c r="W98" s="20">
        <v>614</v>
      </c>
      <c r="X98" s="20">
        <v>134464</v>
      </c>
      <c r="Y98" s="21">
        <v>0.66919985567292506</v>
      </c>
      <c r="Z98" s="20">
        <v>2702924.4499999997</v>
      </c>
      <c r="AA98" s="22">
        <v>20.101472884935742</v>
      </c>
      <c r="AB98" s="25">
        <v>17</v>
      </c>
      <c r="AC98" s="20">
        <v>17</v>
      </c>
      <c r="AD98" s="20">
        <v>4651</v>
      </c>
      <c r="AE98" s="21">
        <v>0.74955680902497979</v>
      </c>
      <c r="AF98" s="20">
        <v>128740.25</v>
      </c>
      <c r="AG98" s="22">
        <v>27.680122554289401</v>
      </c>
      <c r="AH98" s="24">
        <v>110</v>
      </c>
      <c r="AI98" s="20">
        <v>115</v>
      </c>
      <c r="AJ98" s="20">
        <v>48373</v>
      </c>
      <c r="AK98" s="21">
        <v>1.1780334855403349</v>
      </c>
      <c r="AL98" s="20">
        <v>1312624.2</v>
      </c>
      <c r="AM98" s="22">
        <v>27.135472267587289</v>
      </c>
      <c r="AN98" s="24">
        <v>6</v>
      </c>
      <c r="AO98" s="20">
        <v>5</v>
      </c>
      <c r="AP98" s="20">
        <v>8243</v>
      </c>
      <c r="AQ98" s="21">
        <v>4.1061021170610212</v>
      </c>
      <c r="AR98" s="20">
        <v>236557.75</v>
      </c>
      <c r="AS98" s="22">
        <v>28.698016498847508</v>
      </c>
      <c r="AT98" s="24">
        <v>0</v>
      </c>
      <c r="AU98" s="20">
        <v>0</v>
      </c>
      <c r="AV98" s="20">
        <v>0</v>
      </c>
      <c r="AW98" s="21" t="e">
        <v>#DIV/0!</v>
      </c>
      <c r="AX98" s="20">
        <v>0</v>
      </c>
      <c r="AY98" s="22" t="e">
        <v>#DIV/0!</v>
      </c>
    </row>
    <row r="99" spans="1:51" ht="13.5" thickBot="1" x14ac:dyDescent="0.25">
      <c r="A99" s="26"/>
      <c r="B99" s="27"/>
      <c r="C99" s="28"/>
      <c r="D99" s="29"/>
      <c r="E99" s="30"/>
      <c r="F99" s="30"/>
      <c r="G99" s="31"/>
      <c r="H99" s="30"/>
      <c r="I99" s="32"/>
      <c r="J99" s="33"/>
      <c r="K99" s="30"/>
      <c r="L99" s="30"/>
      <c r="M99" s="34"/>
      <c r="N99" s="30"/>
      <c r="O99" s="32"/>
      <c r="P99" s="33"/>
      <c r="Q99" s="30"/>
      <c r="R99" s="30"/>
      <c r="S99" s="34"/>
      <c r="T99" s="30"/>
      <c r="U99" s="32"/>
      <c r="V99" s="33"/>
      <c r="W99" s="30"/>
      <c r="X99" s="30"/>
      <c r="Y99" s="34"/>
      <c r="Z99" s="30"/>
      <c r="AA99" s="32"/>
      <c r="AB99" s="35"/>
      <c r="AC99" s="30"/>
      <c r="AD99" s="30"/>
      <c r="AE99" s="34"/>
      <c r="AF99" s="30"/>
      <c r="AG99" s="32"/>
      <c r="AH99" s="33"/>
      <c r="AI99" s="30"/>
      <c r="AJ99" s="30"/>
      <c r="AK99" s="34"/>
      <c r="AL99" s="30"/>
      <c r="AM99" s="32"/>
      <c r="AN99" s="33"/>
      <c r="AO99" s="30"/>
      <c r="AP99" s="30"/>
      <c r="AQ99" s="34"/>
      <c r="AR99" s="30"/>
      <c r="AS99" s="32"/>
      <c r="AT99" s="33"/>
      <c r="AU99" s="30"/>
      <c r="AV99" s="30"/>
      <c r="AW99" s="34"/>
      <c r="AX99" s="30"/>
      <c r="AY99" s="32"/>
    </row>
    <row r="100" spans="1:51" ht="13.5" thickBot="1" x14ac:dyDescent="0.25">
      <c r="A100" s="36"/>
      <c r="B100" s="37"/>
      <c r="C100" s="38"/>
      <c r="D100" s="39">
        <v>348001</v>
      </c>
      <c r="E100" s="40">
        <v>365987</v>
      </c>
      <c r="F100" s="41">
        <v>90500743</v>
      </c>
      <c r="G100" s="42">
        <v>0.69454176007409196</v>
      </c>
      <c r="H100" s="41">
        <v>1697230855.0299997</v>
      </c>
      <c r="I100" s="43">
        <v>18.753778132296656</v>
      </c>
      <c r="J100" s="44">
        <v>272125</v>
      </c>
      <c r="K100" s="41">
        <v>286319</v>
      </c>
      <c r="L100" s="41">
        <v>48227806</v>
      </c>
      <c r="M100" s="45">
        <v>0.47321119160548153</v>
      </c>
      <c r="N100" s="41">
        <v>677530673.28000009</v>
      </c>
      <c r="O100" s="43">
        <v>14.048548534013761</v>
      </c>
      <c r="P100" s="44">
        <v>4099</v>
      </c>
      <c r="Q100" s="41">
        <v>4205</v>
      </c>
      <c r="R100" s="41">
        <v>8920119</v>
      </c>
      <c r="S100" s="45">
        <v>5.8860024546678273</v>
      </c>
      <c r="T100" s="41">
        <v>196791252.70999998</v>
      </c>
      <c r="U100" s="43">
        <v>22.06150531287755</v>
      </c>
      <c r="V100" s="44">
        <v>48968</v>
      </c>
      <c r="W100" s="41">
        <v>52515</v>
      </c>
      <c r="X100" s="41">
        <v>15781739</v>
      </c>
      <c r="Y100" s="45">
        <v>0.85211594249067146</v>
      </c>
      <c r="Z100" s="41">
        <v>337293858.1099999</v>
      </c>
      <c r="AA100" s="43">
        <v>21.372413908885445</v>
      </c>
      <c r="AB100" s="46">
        <v>555</v>
      </c>
      <c r="AC100" s="41">
        <v>554</v>
      </c>
      <c r="AD100" s="41">
        <v>693990</v>
      </c>
      <c r="AE100" s="45">
        <v>3.4289314080314242</v>
      </c>
      <c r="AF100" s="41">
        <v>19254702.75</v>
      </c>
      <c r="AG100" s="43">
        <v>27.744928241040938</v>
      </c>
      <c r="AH100" s="44">
        <v>21476</v>
      </c>
      <c r="AI100" s="41">
        <v>21646</v>
      </c>
      <c r="AJ100" s="41">
        <v>15881922</v>
      </c>
      <c r="AK100" s="45">
        <v>2.0180935517134246</v>
      </c>
      <c r="AL100" s="41">
        <v>439383557.43000001</v>
      </c>
      <c r="AM100" s="43">
        <v>27.665641314067656</v>
      </c>
      <c r="AN100" s="44">
        <v>777</v>
      </c>
      <c r="AO100" s="41">
        <v>746</v>
      </c>
      <c r="AP100" s="41">
        <v>879435</v>
      </c>
      <c r="AQ100" s="45">
        <v>3.16403277597388</v>
      </c>
      <c r="AR100" s="41">
        <v>24450590.75</v>
      </c>
      <c r="AS100" s="43">
        <v>27.802612757054245</v>
      </c>
      <c r="AT100" s="44">
        <v>1</v>
      </c>
      <c r="AU100" s="41">
        <v>2</v>
      </c>
      <c r="AV100" s="41">
        <v>115732</v>
      </c>
      <c r="AW100" s="45">
        <v>211.38264840182649</v>
      </c>
      <c r="AX100" s="41">
        <v>2526211</v>
      </c>
      <c r="AY100" s="43">
        <v>21.828111498980402</v>
      </c>
    </row>
    <row r="101" spans="1:51" x14ac:dyDescent="0.2">
      <c r="A101" s="47"/>
      <c r="B101" s="47"/>
      <c r="D101" s="49"/>
      <c r="E101" s="50"/>
      <c r="F101" s="50"/>
      <c r="G101" s="51"/>
      <c r="H101" s="52"/>
      <c r="I101" s="53"/>
      <c r="J101" s="53"/>
      <c r="K101" s="52"/>
      <c r="L101" s="52"/>
      <c r="M101" s="52"/>
      <c r="N101" s="52"/>
      <c r="O101" s="52"/>
      <c r="P101" s="52"/>
      <c r="Q101" s="52"/>
      <c r="R101" s="52"/>
      <c r="S101" s="51"/>
      <c r="T101" s="52"/>
      <c r="U101" s="54"/>
      <c r="V101" s="52"/>
      <c r="W101" s="52"/>
      <c r="X101" s="52"/>
      <c r="Y101" s="52"/>
      <c r="Z101" s="53"/>
      <c r="AA101" s="53"/>
      <c r="AB101" s="52"/>
      <c r="AC101" s="52"/>
      <c r="AD101" s="50"/>
      <c r="AE101" s="51"/>
      <c r="AF101" s="52"/>
      <c r="AG101" s="55"/>
      <c r="AH101" s="53"/>
      <c r="AI101" s="53"/>
    </row>
    <row r="102" spans="1:51" x14ac:dyDescent="0.2">
      <c r="A102" s="47"/>
      <c r="B102" s="47"/>
      <c r="D102" s="49"/>
      <c r="E102" s="50"/>
      <c r="F102" s="50"/>
      <c r="G102" s="51"/>
      <c r="H102" s="52"/>
      <c r="I102" s="53"/>
      <c r="J102" s="53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3"/>
      <c r="AA102" s="53"/>
      <c r="AB102" s="52"/>
      <c r="AC102" s="52"/>
      <c r="AD102" s="53"/>
      <c r="AE102" s="53"/>
      <c r="AF102" s="52"/>
      <c r="AG102" s="52"/>
      <c r="AH102" s="53"/>
      <c r="AI102" s="53"/>
    </row>
    <row r="103" spans="1:51" ht="24" thickBot="1" x14ac:dyDescent="0.4">
      <c r="A103" s="151">
        <v>2559</v>
      </c>
      <c r="B103" s="152" t="s">
        <v>152</v>
      </c>
      <c r="C103" s="153"/>
      <c r="D103" s="153"/>
      <c r="E103" s="154"/>
      <c r="G103" s="55"/>
      <c r="H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AB103" s="55"/>
      <c r="AC103" s="55"/>
      <c r="AD103" s="55"/>
      <c r="AE103" s="55"/>
      <c r="AF103" s="55"/>
      <c r="AG103" s="55"/>
    </row>
    <row r="104" spans="1:51" s="61" customFormat="1" ht="24.75" customHeight="1" thickBot="1" x14ac:dyDescent="0.25">
      <c r="A104" s="60"/>
      <c r="B104" s="768" t="s">
        <v>1</v>
      </c>
      <c r="C104" s="770" t="s">
        <v>2</v>
      </c>
      <c r="D104" s="772" t="s">
        <v>3</v>
      </c>
      <c r="E104" s="773"/>
      <c r="F104" s="773"/>
      <c r="G104" s="773"/>
      <c r="H104" s="773"/>
      <c r="I104" s="774"/>
      <c r="J104" s="775" t="s">
        <v>18</v>
      </c>
      <c r="K104" s="776"/>
      <c r="L104" s="776"/>
      <c r="M104" s="776"/>
      <c r="N104" s="776"/>
      <c r="O104" s="777"/>
      <c r="P104" s="778" t="s">
        <v>19</v>
      </c>
      <c r="Q104" s="779"/>
      <c r="R104" s="779"/>
      <c r="S104" s="779"/>
      <c r="T104" s="779"/>
      <c r="U104" s="780"/>
      <c r="V104" s="781" t="s">
        <v>20</v>
      </c>
      <c r="W104" s="782"/>
      <c r="X104" s="782"/>
      <c r="Y104" s="782"/>
      <c r="Z104" s="782"/>
      <c r="AA104" s="783"/>
      <c r="AE104" s="62"/>
      <c r="AI104" s="62"/>
      <c r="AM104" s="62"/>
    </row>
    <row r="105" spans="1:51" s="61" customFormat="1" ht="13.5" thickBot="1" x14ac:dyDescent="0.25">
      <c r="A105" s="63" t="s">
        <v>0</v>
      </c>
      <c r="B105" s="769"/>
      <c r="C105" s="771"/>
      <c r="D105" s="155" t="s">
        <v>22</v>
      </c>
      <c r="E105" s="65" t="s">
        <v>11</v>
      </c>
      <c r="F105" s="66" t="s">
        <v>12</v>
      </c>
      <c r="G105" s="67" t="s">
        <v>13</v>
      </c>
      <c r="H105" s="67" t="s">
        <v>14</v>
      </c>
      <c r="I105" s="68" t="s">
        <v>15</v>
      </c>
      <c r="J105" s="155" t="s">
        <v>22</v>
      </c>
      <c r="K105" s="65" t="s">
        <v>11</v>
      </c>
      <c r="L105" s="66" t="s">
        <v>12</v>
      </c>
      <c r="M105" s="67" t="s">
        <v>13</v>
      </c>
      <c r="N105" s="67" t="s">
        <v>14</v>
      </c>
      <c r="O105" s="68" t="s">
        <v>15</v>
      </c>
      <c r="P105" s="155" t="s">
        <v>22</v>
      </c>
      <c r="Q105" s="65" t="s">
        <v>11</v>
      </c>
      <c r="R105" s="66" t="s">
        <v>12</v>
      </c>
      <c r="S105" s="67" t="s">
        <v>13</v>
      </c>
      <c r="T105" s="67" t="s">
        <v>14</v>
      </c>
      <c r="U105" s="68" t="s">
        <v>15</v>
      </c>
      <c r="V105" s="155" t="s">
        <v>22</v>
      </c>
      <c r="W105" s="65" t="s">
        <v>11</v>
      </c>
      <c r="X105" s="66" t="s">
        <v>12</v>
      </c>
      <c r="Y105" s="67" t="s">
        <v>13</v>
      </c>
      <c r="Z105" s="67" t="s">
        <v>14</v>
      </c>
      <c r="AA105" s="68" t="s">
        <v>15</v>
      </c>
      <c r="AE105" s="62"/>
      <c r="AI105" s="62"/>
      <c r="AM105" s="62"/>
    </row>
    <row r="106" spans="1:51" s="61" customFormat="1" x14ac:dyDescent="0.2">
      <c r="A106" s="69">
        <v>5511011</v>
      </c>
      <c r="B106" s="10">
        <v>2559</v>
      </c>
      <c r="C106" s="11" t="s">
        <v>106</v>
      </c>
      <c r="D106" s="71">
        <v>100006</v>
      </c>
      <c r="E106" s="72">
        <v>105437</v>
      </c>
      <c r="F106" s="72">
        <v>33217619</v>
      </c>
      <c r="G106" s="73">
        <v>0.88596034269812807</v>
      </c>
      <c r="H106" s="74">
        <v>677192630.48000002</v>
      </c>
      <c r="I106" s="15">
        <v>20.386549393561292</v>
      </c>
      <c r="J106" s="75">
        <v>74938</v>
      </c>
      <c r="K106" s="76">
        <v>79037</v>
      </c>
      <c r="L106" s="76">
        <v>15374689</v>
      </c>
      <c r="M106" s="77">
        <v>0.54713343875873821</v>
      </c>
      <c r="N106" s="78">
        <v>226278898.27999997</v>
      </c>
      <c r="O106" s="79">
        <v>14.717624420240304</v>
      </c>
      <c r="P106" s="80">
        <v>16167</v>
      </c>
      <c r="Q106" s="81">
        <v>17259</v>
      </c>
      <c r="R106" s="81">
        <v>8314599</v>
      </c>
      <c r="S106" s="82">
        <v>1.3629942731808311</v>
      </c>
      <c r="T106" s="83">
        <v>184372081.21999997</v>
      </c>
      <c r="U106" s="84">
        <v>22.174500684879689</v>
      </c>
      <c r="V106" s="85">
        <v>8901</v>
      </c>
      <c r="W106" s="86">
        <v>9141</v>
      </c>
      <c r="X106" s="86">
        <v>9528331</v>
      </c>
      <c r="Y106" s="87">
        <v>2.8938051699762957</v>
      </c>
      <c r="Z106" s="88">
        <v>266541650.98000002</v>
      </c>
      <c r="AA106" s="89">
        <v>27.973592749874037</v>
      </c>
      <c r="AE106" s="62"/>
      <c r="AI106" s="62"/>
      <c r="AM106" s="62"/>
    </row>
    <row r="107" spans="1:51" s="61" customFormat="1" x14ac:dyDescent="0.2">
      <c r="A107" s="69">
        <v>5511012</v>
      </c>
      <c r="B107" s="10">
        <v>2559</v>
      </c>
      <c r="C107" s="11" t="s">
        <v>106</v>
      </c>
      <c r="D107" s="90">
        <v>2795</v>
      </c>
      <c r="E107" s="91">
        <v>2957</v>
      </c>
      <c r="F107" s="91">
        <v>612945</v>
      </c>
      <c r="G107" s="92">
        <v>0.58390172804694496</v>
      </c>
      <c r="H107" s="93">
        <v>10172368.229999999</v>
      </c>
      <c r="I107" s="22">
        <v>16.595890707975428</v>
      </c>
      <c r="J107" s="94">
        <v>2288</v>
      </c>
      <c r="K107" s="95">
        <v>2434</v>
      </c>
      <c r="L107" s="95">
        <v>405299</v>
      </c>
      <c r="M107" s="96">
        <v>0.47031267224823475</v>
      </c>
      <c r="N107" s="97">
        <v>5617056.6799999997</v>
      </c>
      <c r="O107" s="98">
        <v>13.859044014418984</v>
      </c>
      <c r="P107" s="99">
        <v>392</v>
      </c>
      <c r="Q107" s="100">
        <v>398</v>
      </c>
      <c r="R107" s="100">
        <v>151511</v>
      </c>
      <c r="S107" s="101">
        <v>1.0508826079417375</v>
      </c>
      <c r="T107" s="102">
        <v>3121256.6500000004</v>
      </c>
      <c r="U107" s="103">
        <v>20.600858353518888</v>
      </c>
      <c r="V107" s="104">
        <v>115</v>
      </c>
      <c r="W107" s="105">
        <v>125</v>
      </c>
      <c r="X107" s="105">
        <v>56135</v>
      </c>
      <c r="Y107" s="106">
        <v>1.2816210045662102</v>
      </c>
      <c r="Z107" s="107">
        <v>1434054.9</v>
      </c>
      <c r="AA107" s="108">
        <v>25.546537810635076</v>
      </c>
      <c r="AE107" s="62"/>
      <c r="AI107" s="62"/>
      <c r="AM107" s="62"/>
    </row>
    <row r="108" spans="1:51" s="61" customFormat="1" x14ac:dyDescent="0.2">
      <c r="A108" s="69">
        <v>5511013</v>
      </c>
      <c r="B108" s="10">
        <v>2559</v>
      </c>
      <c r="C108" s="11" t="s">
        <v>106</v>
      </c>
      <c r="D108" s="90">
        <v>13960</v>
      </c>
      <c r="E108" s="91">
        <v>15188</v>
      </c>
      <c r="F108" s="91">
        <v>2771625</v>
      </c>
      <c r="G108" s="92">
        <v>0.52103013247460761</v>
      </c>
      <c r="H108" s="93">
        <v>45478742.550000004</v>
      </c>
      <c r="I108" s="22">
        <v>16.408692572047087</v>
      </c>
      <c r="J108" s="94">
        <v>11784</v>
      </c>
      <c r="K108" s="95">
        <v>12902</v>
      </c>
      <c r="L108" s="95">
        <v>2031492</v>
      </c>
      <c r="M108" s="96">
        <v>0.45092210215096129</v>
      </c>
      <c r="N108" s="97">
        <v>27965824.299999997</v>
      </c>
      <c r="O108" s="98">
        <v>13.766150346641776</v>
      </c>
      <c r="P108" s="99">
        <v>1513</v>
      </c>
      <c r="Q108" s="100">
        <v>1624</v>
      </c>
      <c r="R108" s="100">
        <v>432083</v>
      </c>
      <c r="S108" s="101">
        <v>0.75472683525399453</v>
      </c>
      <c r="T108" s="102">
        <v>8877271.0500000007</v>
      </c>
      <c r="U108" s="103">
        <v>20.545291182481144</v>
      </c>
      <c r="V108" s="104">
        <v>663</v>
      </c>
      <c r="W108" s="105">
        <v>662</v>
      </c>
      <c r="X108" s="105">
        <v>308050</v>
      </c>
      <c r="Y108" s="106">
        <v>1.2739209097958129</v>
      </c>
      <c r="Z108" s="107">
        <v>8635647.1999999993</v>
      </c>
      <c r="AA108" s="108">
        <v>28.033264729751661</v>
      </c>
      <c r="AE108" s="62"/>
      <c r="AI108" s="62"/>
      <c r="AM108" s="62"/>
    </row>
    <row r="109" spans="1:51" s="61" customFormat="1" x14ac:dyDescent="0.2">
      <c r="A109" s="69">
        <v>5511014</v>
      </c>
      <c r="B109" s="10">
        <v>2559</v>
      </c>
      <c r="C109" s="11" t="s">
        <v>106</v>
      </c>
      <c r="D109" s="90">
        <v>17683</v>
      </c>
      <c r="E109" s="91">
        <v>18755</v>
      </c>
      <c r="F109" s="91">
        <v>4969943</v>
      </c>
      <c r="G109" s="92">
        <v>0.7473671547165498</v>
      </c>
      <c r="H109" s="93">
        <v>89263267.020000011</v>
      </c>
      <c r="I109" s="22">
        <v>17.960621886407957</v>
      </c>
      <c r="J109" s="94">
        <v>15777</v>
      </c>
      <c r="K109" s="95">
        <v>16611</v>
      </c>
      <c r="L109" s="95">
        <v>2905471</v>
      </c>
      <c r="M109" s="96">
        <v>0.49155208846164905</v>
      </c>
      <c r="N109" s="97">
        <v>39092777.030000001</v>
      </c>
      <c r="O109" s="98">
        <v>13.454884605628486</v>
      </c>
      <c r="P109" s="99">
        <v>1386</v>
      </c>
      <c r="Q109" s="100">
        <v>1595</v>
      </c>
      <c r="R109" s="100">
        <v>1389943</v>
      </c>
      <c r="S109" s="101">
        <v>2.5548896435415163</v>
      </c>
      <c r="T109" s="102">
        <v>31280446.289999999</v>
      </c>
      <c r="U109" s="103">
        <v>22.504841054633175</v>
      </c>
      <c r="V109" s="104">
        <v>520</v>
      </c>
      <c r="W109" s="105">
        <v>549</v>
      </c>
      <c r="X109" s="105">
        <v>674529</v>
      </c>
      <c r="Y109" s="106">
        <v>3.4574829888386276</v>
      </c>
      <c r="Z109" s="107">
        <v>18890034.699999999</v>
      </c>
      <c r="AA109" s="108">
        <v>28.00477770414615</v>
      </c>
      <c r="AE109" s="62"/>
      <c r="AI109" s="62"/>
      <c r="AM109" s="62"/>
    </row>
    <row r="110" spans="1:51" s="61" customFormat="1" x14ac:dyDescent="0.2">
      <c r="A110" s="69">
        <v>5511015</v>
      </c>
      <c r="B110" s="10">
        <v>2559</v>
      </c>
      <c r="C110" s="11" t="s">
        <v>106</v>
      </c>
      <c r="D110" s="90">
        <v>4630</v>
      </c>
      <c r="E110" s="91">
        <v>4939</v>
      </c>
      <c r="F110" s="91">
        <v>1273760</v>
      </c>
      <c r="G110" s="92">
        <v>0.72938727655084845</v>
      </c>
      <c r="H110" s="93">
        <v>23908236.479999997</v>
      </c>
      <c r="I110" s="22">
        <v>18.769812586358494</v>
      </c>
      <c r="J110" s="94">
        <v>3318</v>
      </c>
      <c r="K110" s="95">
        <v>3510</v>
      </c>
      <c r="L110" s="95">
        <v>525549</v>
      </c>
      <c r="M110" s="96">
        <v>0.4217516912632111</v>
      </c>
      <c r="N110" s="97">
        <v>7380494.3799999999</v>
      </c>
      <c r="O110" s="98">
        <v>14.043399150221958</v>
      </c>
      <c r="P110" s="99">
        <v>1116</v>
      </c>
      <c r="Q110" s="100">
        <v>1227</v>
      </c>
      <c r="R110" s="100">
        <v>659519</v>
      </c>
      <c r="S110" s="101">
        <v>1.5423827314238274</v>
      </c>
      <c r="T110" s="102">
        <v>14151000.15</v>
      </c>
      <c r="U110" s="103">
        <v>21.456546589256718</v>
      </c>
      <c r="V110" s="104">
        <v>196</v>
      </c>
      <c r="W110" s="105">
        <v>202</v>
      </c>
      <c r="X110" s="105">
        <v>88692</v>
      </c>
      <c r="Y110" s="106">
        <v>1.221064225235768</v>
      </c>
      <c r="Z110" s="107">
        <v>2376741.9500000002</v>
      </c>
      <c r="AA110" s="108">
        <v>26.797703851531143</v>
      </c>
      <c r="AE110" s="62"/>
      <c r="AI110" s="62"/>
      <c r="AM110" s="62"/>
    </row>
    <row r="111" spans="1:51" s="61" customFormat="1" x14ac:dyDescent="0.2">
      <c r="A111" s="69">
        <v>5511016</v>
      </c>
      <c r="B111" s="10">
        <v>2559</v>
      </c>
      <c r="C111" s="11" t="s">
        <v>106</v>
      </c>
      <c r="D111" s="90">
        <v>4766</v>
      </c>
      <c r="E111" s="91">
        <v>5119</v>
      </c>
      <c r="F111" s="91">
        <v>1229926</v>
      </c>
      <c r="G111" s="92">
        <v>0.68177243782956043</v>
      </c>
      <c r="H111" s="93">
        <v>23242375.959999997</v>
      </c>
      <c r="I111" s="22">
        <v>18.897377533282487</v>
      </c>
      <c r="J111" s="94">
        <v>3284</v>
      </c>
      <c r="K111" s="95">
        <v>3420</v>
      </c>
      <c r="L111" s="95">
        <v>529600</v>
      </c>
      <c r="M111" s="96">
        <v>0.43286363487756235</v>
      </c>
      <c r="N111" s="97">
        <v>7324702.4099999992</v>
      </c>
      <c r="O111" s="98">
        <v>13.830631438821751</v>
      </c>
      <c r="P111" s="99">
        <v>1188</v>
      </c>
      <c r="Q111" s="100">
        <v>1404</v>
      </c>
      <c r="R111" s="100">
        <v>522930</v>
      </c>
      <c r="S111" s="101">
        <v>1.105466768138001</v>
      </c>
      <c r="T111" s="102">
        <v>11118071.75</v>
      </c>
      <c r="U111" s="103">
        <v>21.261109039450787</v>
      </c>
      <c r="V111" s="104">
        <v>294</v>
      </c>
      <c r="W111" s="105">
        <v>295</v>
      </c>
      <c r="X111" s="105">
        <v>177396</v>
      </c>
      <c r="Y111" s="106">
        <v>1.6503104867781475</v>
      </c>
      <c r="Z111" s="107">
        <v>4799601.8</v>
      </c>
      <c r="AA111" s="108">
        <v>27.055862589911836</v>
      </c>
      <c r="AE111" s="62"/>
      <c r="AI111" s="62"/>
      <c r="AM111" s="62"/>
    </row>
    <row r="112" spans="1:51" s="61" customFormat="1" x14ac:dyDescent="0.2">
      <c r="A112" s="69">
        <v>5511017</v>
      </c>
      <c r="B112" s="10">
        <v>2559</v>
      </c>
      <c r="C112" s="11" t="s">
        <v>106</v>
      </c>
      <c r="D112" s="90">
        <v>3699</v>
      </c>
      <c r="E112" s="91">
        <v>3879</v>
      </c>
      <c r="F112" s="91">
        <v>835660</v>
      </c>
      <c r="G112" s="92">
        <v>0.60424371920158215</v>
      </c>
      <c r="H112" s="93">
        <v>14218162.370000001</v>
      </c>
      <c r="I112" s="22">
        <v>17.014290943685232</v>
      </c>
      <c r="J112" s="94">
        <v>2915</v>
      </c>
      <c r="K112" s="95">
        <v>2986</v>
      </c>
      <c r="L112" s="95">
        <v>549159</v>
      </c>
      <c r="M112" s="96">
        <v>0.50992889526502361</v>
      </c>
      <c r="N112" s="97">
        <v>7808400.9700000007</v>
      </c>
      <c r="O112" s="98">
        <v>14.21883456339603</v>
      </c>
      <c r="P112" s="99">
        <v>609</v>
      </c>
      <c r="Q112" s="100">
        <v>707</v>
      </c>
      <c r="R112" s="100">
        <v>217401</v>
      </c>
      <c r="S112" s="101">
        <v>0.90519631927384769</v>
      </c>
      <c r="T112" s="102">
        <v>4624519.6500000004</v>
      </c>
      <c r="U112" s="103">
        <v>21.271841665861704</v>
      </c>
      <c r="V112" s="104">
        <v>175</v>
      </c>
      <c r="W112" s="105">
        <v>186</v>
      </c>
      <c r="X112" s="105">
        <v>69100</v>
      </c>
      <c r="Y112" s="106">
        <v>1.0488369445603916</v>
      </c>
      <c r="Z112" s="107">
        <v>1785241.75</v>
      </c>
      <c r="AA112" s="108">
        <v>25.835625904486253</v>
      </c>
      <c r="AE112" s="62"/>
      <c r="AI112" s="62"/>
      <c r="AM112" s="62"/>
    </row>
    <row r="113" spans="1:39" s="61" customFormat="1" x14ac:dyDescent="0.2">
      <c r="A113" s="69">
        <v>5511018</v>
      </c>
      <c r="B113" s="10">
        <v>2559</v>
      </c>
      <c r="C113" s="11" t="s">
        <v>106</v>
      </c>
      <c r="D113" s="90">
        <v>6045</v>
      </c>
      <c r="E113" s="91">
        <v>6295</v>
      </c>
      <c r="F113" s="91">
        <v>1647201</v>
      </c>
      <c r="G113" s="92">
        <v>0.73142292577873491</v>
      </c>
      <c r="H113" s="93">
        <v>30861280.410000004</v>
      </c>
      <c r="I113" s="22">
        <v>18.735588680434265</v>
      </c>
      <c r="J113" s="94">
        <v>4689</v>
      </c>
      <c r="K113" s="95">
        <v>4577</v>
      </c>
      <c r="L113" s="95">
        <v>812173</v>
      </c>
      <c r="M113" s="96">
        <v>0.4802787625403227</v>
      </c>
      <c r="N113" s="97">
        <v>11828221.01</v>
      </c>
      <c r="O113" s="98">
        <v>14.563671791601051</v>
      </c>
      <c r="P113" s="99">
        <v>731</v>
      </c>
      <c r="Q113" s="100">
        <v>1058</v>
      </c>
      <c r="R113" s="100">
        <v>556885</v>
      </c>
      <c r="S113" s="101">
        <v>1.7056593949325021</v>
      </c>
      <c r="T113" s="102">
        <v>11728046.4</v>
      </c>
      <c r="U113" s="103">
        <v>21.06008673244925</v>
      </c>
      <c r="V113" s="104">
        <v>625</v>
      </c>
      <c r="W113" s="105">
        <v>660</v>
      </c>
      <c r="X113" s="105">
        <v>278143</v>
      </c>
      <c r="Y113" s="106">
        <v>1.1860476520441341</v>
      </c>
      <c r="Z113" s="107">
        <v>7305012.9999999991</v>
      </c>
      <c r="AA113" s="108">
        <v>26.26351552978144</v>
      </c>
      <c r="AE113" s="62"/>
      <c r="AI113" s="62"/>
      <c r="AM113" s="62"/>
    </row>
    <row r="114" spans="1:39" s="61" customFormat="1" x14ac:dyDescent="0.2">
      <c r="A114" s="69">
        <v>5511019</v>
      </c>
      <c r="B114" s="10">
        <v>2559</v>
      </c>
      <c r="C114" s="11" t="s">
        <v>106</v>
      </c>
      <c r="D114" s="90">
        <v>5061</v>
      </c>
      <c r="E114" s="91">
        <v>5285</v>
      </c>
      <c r="F114" s="91">
        <v>1089489</v>
      </c>
      <c r="G114" s="92">
        <v>0.57701553641272252</v>
      </c>
      <c r="H114" s="93">
        <v>18751420.840000004</v>
      </c>
      <c r="I114" s="22">
        <v>17.211207125542344</v>
      </c>
      <c r="J114" s="94">
        <v>4130</v>
      </c>
      <c r="K114" s="95">
        <v>4257</v>
      </c>
      <c r="L114" s="95">
        <v>659061</v>
      </c>
      <c r="M114" s="96">
        <v>0.43058222853045569</v>
      </c>
      <c r="N114" s="97">
        <v>9074219.5399999991</v>
      </c>
      <c r="O114" s="98">
        <v>13.768406171811106</v>
      </c>
      <c r="P114" s="99">
        <v>685</v>
      </c>
      <c r="Q114" s="100">
        <v>767</v>
      </c>
      <c r="R114" s="100">
        <v>293589</v>
      </c>
      <c r="S114" s="101">
        <v>1.1079248273519755</v>
      </c>
      <c r="T114" s="102">
        <v>6031543.2000000002</v>
      </c>
      <c r="U114" s="103">
        <v>20.544172976507976</v>
      </c>
      <c r="V114" s="104">
        <v>246</v>
      </c>
      <c r="W114" s="105">
        <v>261</v>
      </c>
      <c r="X114" s="105">
        <v>136839</v>
      </c>
      <c r="Y114" s="106">
        <v>1.4789008673097186</v>
      </c>
      <c r="Z114" s="107">
        <v>3645658.1</v>
      </c>
      <c r="AA114" s="108">
        <v>26.641952221223484</v>
      </c>
      <c r="AE114" s="62"/>
      <c r="AI114" s="62"/>
      <c r="AM114" s="62"/>
    </row>
    <row r="115" spans="1:39" s="61" customFormat="1" x14ac:dyDescent="0.2">
      <c r="A115" s="69">
        <v>5511020</v>
      </c>
      <c r="B115" s="10">
        <v>2559</v>
      </c>
      <c r="C115" s="11" t="s">
        <v>106</v>
      </c>
      <c r="D115" s="90">
        <v>14551</v>
      </c>
      <c r="E115" s="91">
        <v>15417</v>
      </c>
      <c r="F115" s="91">
        <v>3360206</v>
      </c>
      <c r="G115" s="92">
        <v>0.61439160675496785</v>
      </c>
      <c r="H115" s="93">
        <v>59661179.159999996</v>
      </c>
      <c r="I115" s="22">
        <v>17.755214757666643</v>
      </c>
      <c r="J115" s="94">
        <v>11533</v>
      </c>
      <c r="K115" s="95">
        <v>12392</v>
      </c>
      <c r="L115" s="95">
        <v>2042957</v>
      </c>
      <c r="M115" s="96">
        <v>0.4678906972416656</v>
      </c>
      <c r="N115" s="97">
        <v>28540527.260000005</v>
      </c>
      <c r="O115" s="98">
        <v>13.970204590698682</v>
      </c>
      <c r="P115" s="99">
        <v>2254</v>
      </c>
      <c r="Q115" s="100">
        <v>2314</v>
      </c>
      <c r="R115" s="100">
        <v>877367</v>
      </c>
      <c r="S115" s="101">
        <v>1.0524278482834728</v>
      </c>
      <c r="T115" s="102">
        <v>18840500.899999999</v>
      </c>
      <c r="U115" s="103">
        <v>21.473911031529564</v>
      </c>
      <c r="V115" s="104">
        <v>764</v>
      </c>
      <c r="W115" s="105">
        <v>711</v>
      </c>
      <c r="X115" s="105">
        <v>439882</v>
      </c>
      <c r="Y115" s="106">
        <v>1.6341100534014397</v>
      </c>
      <c r="Z115" s="107">
        <v>12280150.999999998</v>
      </c>
      <c r="AA115" s="108">
        <v>27.916920901514494</v>
      </c>
      <c r="AE115" s="62"/>
      <c r="AI115" s="62"/>
      <c r="AM115" s="62"/>
    </row>
    <row r="116" spans="1:39" s="61" customFormat="1" x14ac:dyDescent="0.2">
      <c r="A116" s="69">
        <v>5511021</v>
      </c>
      <c r="B116" s="10">
        <v>2559</v>
      </c>
      <c r="C116" s="11" t="s">
        <v>106</v>
      </c>
      <c r="D116" s="90">
        <v>973</v>
      </c>
      <c r="E116" s="91">
        <v>1069</v>
      </c>
      <c r="F116" s="91">
        <v>192925</v>
      </c>
      <c r="G116" s="92">
        <v>0.51769015067151458</v>
      </c>
      <c r="H116" s="93">
        <v>3529279.3100000005</v>
      </c>
      <c r="I116" s="22">
        <v>18.293530180121813</v>
      </c>
      <c r="J116" s="94">
        <v>755</v>
      </c>
      <c r="K116" s="95">
        <v>806</v>
      </c>
      <c r="L116" s="95">
        <v>106973</v>
      </c>
      <c r="M116" s="96">
        <v>0.37549867050450625</v>
      </c>
      <c r="N116" s="97">
        <v>1438009.66</v>
      </c>
      <c r="O116" s="98">
        <v>13.442734708758284</v>
      </c>
      <c r="P116" s="99">
        <v>154</v>
      </c>
      <c r="Q116" s="100">
        <v>190</v>
      </c>
      <c r="R116" s="100">
        <v>47673</v>
      </c>
      <c r="S116" s="101">
        <v>0.75936604014017206</v>
      </c>
      <c r="T116" s="102">
        <v>1018556.4000000001</v>
      </c>
      <c r="U116" s="103">
        <v>21.365477314203012</v>
      </c>
      <c r="V116" s="104">
        <v>64</v>
      </c>
      <c r="W116" s="105">
        <v>73</v>
      </c>
      <c r="X116" s="105">
        <v>38279</v>
      </c>
      <c r="Y116" s="106">
        <v>1.5310068993100689</v>
      </c>
      <c r="Z116" s="107">
        <v>1072713.25</v>
      </c>
      <c r="AA116" s="108">
        <v>28.023544240967631</v>
      </c>
      <c r="AE116" s="62"/>
      <c r="AI116" s="62"/>
      <c r="AM116" s="62"/>
    </row>
    <row r="117" spans="1:39" s="61" customFormat="1" x14ac:dyDescent="0.2">
      <c r="A117" s="69">
        <v>5511022</v>
      </c>
      <c r="B117" s="10">
        <v>2559</v>
      </c>
      <c r="C117" s="11" t="s">
        <v>106</v>
      </c>
      <c r="D117" s="90">
        <v>37128</v>
      </c>
      <c r="E117" s="91">
        <v>38401</v>
      </c>
      <c r="F117" s="91">
        <v>8783067</v>
      </c>
      <c r="G117" s="92">
        <v>0.6371909401759317</v>
      </c>
      <c r="H117" s="93">
        <v>155259268.06999999</v>
      </c>
      <c r="I117" s="22">
        <v>17.677113025552462</v>
      </c>
      <c r="J117" s="94">
        <v>30140</v>
      </c>
      <c r="K117" s="95">
        <v>31182</v>
      </c>
      <c r="L117" s="95">
        <v>5069501</v>
      </c>
      <c r="M117" s="96">
        <v>0.45298730751170663</v>
      </c>
      <c r="N117" s="97">
        <v>68989183.480000004</v>
      </c>
      <c r="O117" s="98">
        <v>13.608673413813314</v>
      </c>
      <c r="P117" s="99">
        <v>4853</v>
      </c>
      <c r="Q117" s="100">
        <v>5132</v>
      </c>
      <c r="R117" s="100">
        <v>2493860</v>
      </c>
      <c r="S117" s="101">
        <v>1.3685514573229707</v>
      </c>
      <c r="T117" s="102">
        <v>53204532.75</v>
      </c>
      <c r="U117" s="103">
        <v>21.334209919562447</v>
      </c>
      <c r="V117" s="104">
        <v>2135</v>
      </c>
      <c r="W117" s="105">
        <v>2087</v>
      </c>
      <c r="X117" s="105">
        <v>1219706</v>
      </c>
      <c r="Y117" s="106">
        <v>1.5829750231987696</v>
      </c>
      <c r="Z117" s="107">
        <v>33065551.840000004</v>
      </c>
      <c r="AA117" s="108">
        <v>27.109444275915674</v>
      </c>
      <c r="AE117" s="62"/>
      <c r="AI117" s="62"/>
      <c r="AM117" s="62"/>
    </row>
    <row r="118" spans="1:39" s="61" customFormat="1" x14ac:dyDescent="0.2">
      <c r="A118" s="69">
        <v>5511023</v>
      </c>
      <c r="B118" s="10">
        <v>2559</v>
      </c>
      <c r="C118" s="11" t="s">
        <v>106</v>
      </c>
      <c r="D118" s="90">
        <v>5170</v>
      </c>
      <c r="E118" s="91">
        <v>5374</v>
      </c>
      <c r="F118" s="91">
        <v>1036086</v>
      </c>
      <c r="G118" s="92">
        <v>0.53842787951857318</v>
      </c>
      <c r="H118" s="93">
        <v>16622777.559999999</v>
      </c>
      <c r="I118" s="22">
        <v>16.043820262024578</v>
      </c>
      <c r="J118" s="94">
        <v>4428</v>
      </c>
      <c r="K118" s="95">
        <v>4632</v>
      </c>
      <c r="L118" s="95">
        <v>720540</v>
      </c>
      <c r="M118" s="96">
        <v>0.43577973328494962</v>
      </c>
      <c r="N118" s="97">
        <v>9647312.4099999983</v>
      </c>
      <c r="O118" s="98">
        <v>13.389003261442804</v>
      </c>
      <c r="P118" s="99">
        <v>579</v>
      </c>
      <c r="Q118" s="100">
        <v>581</v>
      </c>
      <c r="R118" s="100">
        <v>252063</v>
      </c>
      <c r="S118" s="101">
        <v>1.1906613131790269</v>
      </c>
      <c r="T118" s="102">
        <v>5287068.2500000009</v>
      </c>
      <c r="U118" s="103">
        <v>20.975185767050306</v>
      </c>
      <c r="V118" s="104">
        <v>163</v>
      </c>
      <c r="W118" s="105">
        <v>161</v>
      </c>
      <c r="X118" s="105">
        <v>63483</v>
      </c>
      <c r="Y118" s="106">
        <v>1.073617453069508</v>
      </c>
      <c r="Z118" s="107">
        <v>1688396.9</v>
      </c>
      <c r="AA118" s="108">
        <v>26.596047760817854</v>
      </c>
      <c r="AE118" s="62"/>
      <c r="AI118" s="62"/>
      <c r="AM118" s="62"/>
    </row>
    <row r="119" spans="1:39" s="61" customFormat="1" x14ac:dyDescent="0.2">
      <c r="A119" s="69">
        <v>5511024</v>
      </c>
      <c r="B119" s="10">
        <v>2559</v>
      </c>
      <c r="C119" s="11" t="s">
        <v>106</v>
      </c>
      <c r="D119" s="90">
        <v>7624</v>
      </c>
      <c r="E119" s="91">
        <v>8027</v>
      </c>
      <c r="F119" s="91">
        <v>1380686</v>
      </c>
      <c r="G119" s="92">
        <v>0.48338142864520017</v>
      </c>
      <c r="H119" s="93">
        <v>22571061.18</v>
      </c>
      <c r="I119" s="22">
        <v>16.347714961982668</v>
      </c>
      <c r="J119" s="94">
        <v>6406</v>
      </c>
      <c r="K119" s="95">
        <v>6780</v>
      </c>
      <c r="L119" s="95">
        <v>894446</v>
      </c>
      <c r="M119" s="96">
        <v>0.37168769699702259</v>
      </c>
      <c r="N119" s="97">
        <v>11589084.529999999</v>
      </c>
      <c r="O119" s="98">
        <v>12.956717934900485</v>
      </c>
      <c r="P119" s="99">
        <v>985</v>
      </c>
      <c r="Q119" s="100">
        <v>1008</v>
      </c>
      <c r="R119" s="100">
        <v>336840</v>
      </c>
      <c r="S119" s="101">
        <v>0.92609063228147837</v>
      </c>
      <c r="T119" s="102">
        <v>6917271.3500000006</v>
      </c>
      <c r="U119" s="103">
        <v>20.535777668922933</v>
      </c>
      <c r="V119" s="104">
        <v>233</v>
      </c>
      <c r="W119" s="105">
        <v>239</v>
      </c>
      <c r="X119" s="105">
        <v>149400</v>
      </c>
      <c r="Y119" s="106">
        <v>1.7343858834455537</v>
      </c>
      <c r="Z119" s="107">
        <v>4064705.3</v>
      </c>
      <c r="AA119" s="108">
        <v>27.206862784471216</v>
      </c>
      <c r="AE119" s="62"/>
      <c r="AI119" s="62"/>
      <c r="AM119" s="62"/>
    </row>
    <row r="120" spans="1:39" s="61" customFormat="1" x14ac:dyDescent="0.2">
      <c r="A120" s="69">
        <v>5511025</v>
      </c>
      <c r="B120" s="10">
        <v>2559</v>
      </c>
      <c r="C120" s="11" t="s">
        <v>106</v>
      </c>
      <c r="D120" s="90">
        <v>11784</v>
      </c>
      <c r="E120" s="91">
        <v>12151</v>
      </c>
      <c r="F120" s="91">
        <v>2598954</v>
      </c>
      <c r="G120" s="92">
        <v>0.59497989703849752</v>
      </c>
      <c r="H120" s="93">
        <v>46648408.300000004</v>
      </c>
      <c r="I120" s="22">
        <v>17.948916487171378</v>
      </c>
      <c r="J120" s="94">
        <v>8963</v>
      </c>
      <c r="K120" s="95">
        <v>9135</v>
      </c>
      <c r="L120" s="95">
        <v>1469342</v>
      </c>
      <c r="M120" s="96">
        <v>0.4448662305832628</v>
      </c>
      <c r="N120" s="97">
        <v>20673431.750000004</v>
      </c>
      <c r="O120" s="98">
        <v>14.069856949573349</v>
      </c>
      <c r="P120" s="99">
        <v>1920</v>
      </c>
      <c r="Q120" s="100">
        <v>2135</v>
      </c>
      <c r="R120" s="100">
        <v>714070</v>
      </c>
      <c r="S120" s="101">
        <v>0.96491056196476532</v>
      </c>
      <c r="T120" s="102">
        <v>14847232.949999999</v>
      </c>
      <c r="U120" s="103">
        <v>20.792405436441804</v>
      </c>
      <c r="V120" s="104">
        <v>901</v>
      </c>
      <c r="W120" s="105">
        <v>881</v>
      </c>
      <c r="X120" s="105">
        <v>415542</v>
      </c>
      <c r="Y120" s="106">
        <v>1.2777454914441215</v>
      </c>
      <c r="Z120" s="107">
        <v>11127743.600000001</v>
      </c>
      <c r="AA120" s="108">
        <v>26.778866155527002</v>
      </c>
      <c r="AE120" s="62"/>
      <c r="AI120" s="62"/>
      <c r="AM120" s="62"/>
    </row>
    <row r="121" spans="1:39" s="61" customFormat="1" x14ac:dyDescent="0.2">
      <c r="A121" s="69">
        <v>5511026</v>
      </c>
      <c r="B121" s="10">
        <v>2559</v>
      </c>
      <c r="C121" s="11" t="s">
        <v>106</v>
      </c>
      <c r="D121" s="90">
        <v>5890</v>
      </c>
      <c r="E121" s="91">
        <v>6016</v>
      </c>
      <c r="F121" s="91">
        <v>1100047</v>
      </c>
      <c r="G121" s="92">
        <v>0.5062703506232612</v>
      </c>
      <c r="H121" s="93">
        <v>18368932.829999998</v>
      </c>
      <c r="I121" s="22">
        <v>16.698316371936833</v>
      </c>
      <c r="J121" s="94">
        <v>4973</v>
      </c>
      <c r="K121" s="95">
        <v>5112</v>
      </c>
      <c r="L121" s="95">
        <v>741507</v>
      </c>
      <c r="M121" s="96">
        <v>0.40288071936485087</v>
      </c>
      <c r="N121" s="97">
        <v>9879309.9799999986</v>
      </c>
      <c r="O121" s="98">
        <v>13.32328619959083</v>
      </c>
      <c r="P121" s="99">
        <v>715</v>
      </c>
      <c r="Q121" s="100">
        <v>704</v>
      </c>
      <c r="R121" s="100">
        <v>249511</v>
      </c>
      <c r="S121" s="101">
        <v>0.96348383484414069</v>
      </c>
      <c r="T121" s="102">
        <v>5467303.1999999993</v>
      </c>
      <c r="U121" s="103">
        <v>21.912072814425013</v>
      </c>
      <c r="V121" s="104">
        <v>202</v>
      </c>
      <c r="W121" s="105">
        <v>200</v>
      </c>
      <c r="X121" s="105">
        <v>109029</v>
      </c>
      <c r="Y121" s="106">
        <v>1.4861173584134124</v>
      </c>
      <c r="Z121" s="107">
        <v>3022319.6500000004</v>
      </c>
      <c r="AA121" s="108">
        <v>27.720328077850851</v>
      </c>
      <c r="AE121" s="62"/>
      <c r="AI121" s="62"/>
      <c r="AM121" s="62"/>
    </row>
    <row r="122" spans="1:39" s="61" customFormat="1" x14ac:dyDescent="0.2">
      <c r="A122" s="69">
        <v>5511027</v>
      </c>
      <c r="B122" s="10">
        <v>2559</v>
      </c>
      <c r="C122" s="11" t="s">
        <v>106</v>
      </c>
      <c r="D122" s="90">
        <v>3591</v>
      </c>
      <c r="E122" s="91">
        <v>3672</v>
      </c>
      <c r="F122" s="91">
        <v>699749</v>
      </c>
      <c r="G122" s="92">
        <v>0.52791423597554876</v>
      </c>
      <c r="H122" s="93">
        <v>11753724.469999999</v>
      </c>
      <c r="I122" s="22">
        <v>16.797057902190641</v>
      </c>
      <c r="J122" s="94">
        <v>2970</v>
      </c>
      <c r="K122" s="95">
        <v>3074</v>
      </c>
      <c r="L122" s="95">
        <v>432145</v>
      </c>
      <c r="M122" s="96">
        <v>0.39177991532415252</v>
      </c>
      <c r="N122" s="97">
        <v>5815894.9699999997</v>
      </c>
      <c r="O122" s="98">
        <v>13.458202617177104</v>
      </c>
      <c r="P122" s="99">
        <v>493</v>
      </c>
      <c r="Q122" s="100">
        <v>472</v>
      </c>
      <c r="R122" s="100">
        <v>216659</v>
      </c>
      <c r="S122" s="101">
        <v>1.2302306764142239</v>
      </c>
      <c r="T122" s="102">
        <v>4582738.25</v>
      </c>
      <c r="U122" s="103">
        <v>21.151848065393082</v>
      </c>
      <c r="V122" s="104">
        <v>128</v>
      </c>
      <c r="W122" s="105">
        <v>126</v>
      </c>
      <c r="X122" s="105">
        <v>50945</v>
      </c>
      <c r="Y122" s="106">
        <v>1.0990184446122317</v>
      </c>
      <c r="Z122" s="107">
        <v>1355091.25</v>
      </c>
      <c r="AA122" s="108">
        <v>26.599101972715673</v>
      </c>
      <c r="AE122" s="62"/>
      <c r="AI122" s="62"/>
      <c r="AM122" s="62"/>
    </row>
    <row r="123" spans="1:39" s="61" customFormat="1" x14ac:dyDescent="0.2">
      <c r="A123" s="69">
        <v>5511028</v>
      </c>
      <c r="B123" s="10">
        <v>2559</v>
      </c>
      <c r="C123" s="11" t="s">
        <v>106</v>
      </c>
      <c r="D123" s="90">
        <v>14217</v>
      </c>
      <c r="E123" s="91">
        <v>14625</v>
      </c>
      <c r="F123" s="91">
        <v>3409463</v>
      </c>
      <c r="G123" s="92">
        <v>0.64773556067872862</v>
      </c>
      <c r="H123" s="93">
        <v>62147930.019999996</v>
      </c>
      <c r="I123" s="22">
        <v>18.228069939459672</v>
      </c>
      <c r="J123" s="94">
        <v>10569</v>
      </c>
      <c r="K123" s="95">
        <v>10969</v>
      </c>
      <c r="L123" s="95">
        <v>1785839</v>
      </c>
      <c r="M123" s="96">
        <v>0.45433276897029401</v>
      </c>
      <c r="N123" s="97">
        <v>24264915.699999999</v>
      </c>
      <c r="O123" s="98">
        <v>13.587403847715276</v>
      </c>
      <c r="P123" s="99">
        <v>2499</v>
      </c>
      <c r="Q123" s="100">
        <v>2506</v>
      </c>
      <c r="R123" s="100">
        <v>1000074</v>
      </c>
      <c r="S123" s="101">
        <v>1.094876630219096</v>
      </c>
      <c r="T123" s="102">
        <v>21250562.139999997</v>
      </c>
      <c r="U123" s="103">
        <v>21.248989714761105</v>
      </c>
      <c r="V123" s="104">
        <v>1149</v>
      </c>
      <c r="W123" s="105">
        <v>1150</v>
      </c>
      <c r="X123" s="105">
        <v>623550</v>
      </c>
      <c r="Y123" s="106">
        <v>1.4861732617516847</v>
      </c>
      <c r="Z123" s="107">
        <v>16632452.18</v>
      </c>
      <c r="AA123" s="108">
        <v>26.673806719589447</v>
      </c>
      <c r="AE123" s="62"/>
      <c r="AI123" s="62"/>
      <c r="AM123" s="62"/>
    </row>
    <row r="124" spans="1:39" s="61" customFormat="1" x14ac:dyDescent="0.2">
      <c r="A124" s="69">
        <v>5511029</v>
      </c>
      <c r="B124" s="10">
        <v>2559</v>
      </c>
      <c r="C124" s="11" t="s">
        <v>106</v>
      </c>
      <c r="D124" s="90">
        <v>4585</v>
      </c>
      <c r="E124" s="91">
        <v>4719</v>
      </c>
      <c r="F124" s="91">
        <v>926363</v>
      </c>
      <c r="G124" s="92">
        <v>0.54556767453091326</v>
      </c>
      <c r="H124" s="93">
        <v>16917772.830000002</v>
      </c>
      <c r="I124" s="22">
        <v>18.262573990973301</v>
      </c>
      <c r="J124" s="94">
        <v>2970</v>
      </c>
      <c r="K124" s="95">
        <v>3105</v>
      </c>
      <c r="L124" s="95">
        <v>458409</v>
      </c>
      <c r="M124" s="96">
        <v>0.41346998139692204</v>
      </c>
      <c r="N124" s="97">
        <v>6298137.46</v>
      </c>
      <c r="O124" s="98">
        <v>13.739122617575134</v>
      </c>
      <c r="P124" s="99">
        <v>1397</v>
      </c>
      <c r="Q124" s="100">
        <v>1387</v>
      </c>
      <c r="R124" s="100">
        <v>371706</v>
      </c>
      <c r="S124" s="101">
        <v>0.73158951346244683</v>
      </c>
      <c r="T124" s="102">
        <v>8078775.4199999999</v>
      </c>
      <c r="U124" s="103">
        <v>21.734315345999256</v>
      </c>
      <c r="V124" s="104">
        <v>218</v>
      </c>
      <c r="W124" s="105">
        <v>227</v>
      </c>
      <c r="X124" s="105">
        <v>96248</v>
      </c>
      <c r="Y124" s="106">
        <v>1.1851377558873326</v>
      </c>
      <c r="Z124" s="107">
        <v>2540859.9500000002</v>
      </c>
      <c r="AA124" s="108">
        <v>26.399093487656888</v>
      </c>
      <c r="AE124" s="62"/>
      <c r="AI124" s="62"/>
      <c r="AM124" s="62"/>
    </row>
    <row r="125" spans="1:39" s="61" customFormat="1" x14ac:dyDescent="0.2">
      <c r="A125" s="69">
        <v>5511030</v>
      </c>
      <c r="B125" s="10">
        <v>2559</v>
      </c>
      <c r="C125" s="11" t="s">
        <v>106</v>
      </c>
      <c r="D125" s="90">
        <v>20028</v>
      </c>
      <c r="E125" s="91">
        <v>20922</v>
      </c>
      <c r="F125" s="91">
        <v>4575165</v>
      </c>
      <c r="G125" s="92">
        <v>0.61219529329118372</v>
      </c>
      <c r="H125" s="93">
        <v>80478043.520000011</v>
      </c>
      <c r="I125" s="22">
        <v>17.590194784231826</v>
      </c>
      <c r="J125" s="94">
        <v>16817</v>
      </c>
      <c r="K125" s="95">
        <v>17543</v>
      </c>
      <c r="L125" s="95">
        <v>2695619</v>
      </c>
      <c r="M125" s="96">
        <v>0.42987529302948635</v>
      </c>
      <c r="N125" s="97">
        <v>36210785.939999998</v>
      </c>
      <c r="O125" s="98">
        <v>13.433198808882114</v>
      </c>
      <c r="P125" s="99">
        <v>2259</v>
      </c>
      <c r="Q125" s="100">
        <v>2451</v>
      </c>
      <c r="R125" s="100">
        <v>1238939</v>
      </c>
      <c r="S125" s="101">
        <v>1.4413390338248553</v>
      </c>
      <c r="T125" s="102">
        <v>26796472.18</v>
      </c>
      <c r="U125" s="103">
        <v>21.628564586311352</v>
      </c>
      <c r="V125" s="104">
        <v>952</v>
      </c>
      <c r="W125" s="105">
        <v>928</v>
      </c>
      <c r="X125" s="105">
        <v>640607</v>
      </c>
      <c r="Y125" s="106">
        <v>1.8671145438647625</v>
      </c>
      <c r="Z125" s="107">
        <v>17470785.399999999</v>
      </c>
      <c r="AA125" s="108">
        <v>27.272236176001822</v>
      </c>
      <c r="AE125" s="62"/>
      <c r="AI125" s="62"/>
      <c r="AM125" s="62"/>
    </row>
    <row r="126" spans="1:39" s="61" customFormat="1" x14ac:dyDescent="0.2">
      <c r="A126" s="69">
        <v>5511031</v>
      </c>
      <c r="B126" s="10">
        <v>2559</v>
      </c>
      <c r="C126" s="11" t="s">
        <v>106</v>
      </c>
      <c r="D126" s="90">
        <v>5689</v>
      </c>
      <c r="E126" s="91">
        <v>5901</v>
      </c>
      <c r="F126" s="91">
        <v>984502</v>
      </c>
      <c r="G126" s="92">
        <v>0.4654470670275509</v>
      </c>
      <c r="H126" s="93">
        <v>17158055.73</v>
      </c>
      <c r="I126" s="22">
        <v>17.428157312021714</v>
      </c>
      <c r="J126" s="94">
        <v>4169</v>
      </c>
      <c r="K126" s="95">
        <v>4322</v>
      </c>
      <c r="L126" s="95">
        <v>527841</v>
      </c>
      <c r="M126" s="96">
        <v>0.34062883665702443</v>
      </c>
      <c r="N126" s="97">
        <v>6707489.21</v>
      </c>
      <c r="O126" s="98">
        <v>12.707404710888317</v>
      </c>
      <c r="P126" s="99">
        <v>1133</v>
      </c>
      <c r="Q126" s="100">
        <v>1194</v>
      </c>
      <c r="R126" s="100">
        <v>322345</v>
      </c>
      <c r="S126" s="101">
        <v>0.75903479699301235</v>
      </c>
      <c r="T126" s="102">
        <v>6875080.5199999996</v>
      </c>
      <c r="U126" s="103">
        <v>21.328329957033613</v>
      </c>
      <c r="V126" s="104">
        <v>387</v>
      </c>
      <c r="W126" s="105">
        <v>385</v>
      </c>
      <c r="X126" s="105">
        <v>134316</v>
      </c>
      <c r="Y126" s="106">
        <v>0.95333948470437935</v>
      </c>
      <c r="Z126" s="107">
        <v>3575486</v>
      </c>
      <c r="AA126" s="108">
        <v>26.619955924833974</v>
      </c>
      <c r="AE126" s="62"/>
      <c r="AI126" s="62"/>
      <c r="AM126" s="62"/>
    </row>
    <row r="127" spans="1:39" s="61" customFormat="1" x14ac:dyDescent="0.2">
      <c r="A127" s="69">
        <v>5511032</v>
      </c>
      <c r="B127" s="10">
        <v>2559</v>
      </c>
      <c r="C127" s="11" t="s">
        <v>106</v>
      </c>
      <c r="D127" s="90">
        <v>25883</v>
      </c>
      <c r="E127" s="91">
        <v>27714</v>
      </c>
      <c r="F127" s="91">
        <v>7068860</v>
      </c>
      <c r="G127" s="92">
        <v>0.7226799905228799</v>
      </c>
      <c r="H127" s="93">
        <v>134612668.87</v>
      </c>
      <c r="I127" s="22">
        <v>19.043052043752457</v>
      </c>
      <c r="J127" s="94">
        <v>19802</v>
      </c>
      <c r="K127" s="95">
        <v>21399</v>
      </c>
      <c r="L127" s="95">
        <v>3605749</v>
      </c>
      <c r="M127" s="96">
        <v>0.47954002978382293</v>
      </c>
      <c r="N127" s="97">
        <v>51736413.430000007</v>
      </c>
      <c r="O127" s="98">
        <v>14.348312494851973</v>
      </c>
      <c r="P127" s="99">
        <v>4213</v>
      </c>
      <c r="Q127" s="100">
        <v>4589</v>
      </c>
      <c r="R127" s="100">
        <v>2105613</v>
      </c>
      <c r="S127" s="101">
        <v>1.3107936241140712</v>
      </c>
      <c r="T127" s="102">
        <v>45237764.439999998</v>
      </c>
      <c r="U127" s="103">
        <v>21.48436794415688</v>
      </c>
      <c r="V127" s="104">
        <v>1868</v>
      </c>
      <c r="W127" s="105">
        <v>1726</v>
      </c>
      <c r="X127" s="105">
        <v>1357498</v>
      </c>
      <c r="Y127" s="106">
        <v>2.0696564289035759</v>
      </c>
      <c r="Z127" s="107">
        <v>37638491</v>
      </c>
      <c r="AA127" s="108">
        <v>27.726369394282717</v>
      </c>
      <c r="AE127" s="62"/>
      <c r="AI127" s="62"/>
      <c r="AM127" s="62"/>
    </row>
    <row r="128" spans="1:39" s="61" customFormat="1" x14ac:dyDescent="0.2">
      <c r="A128" s="69">
        <v>5511033</v>
      </c>
      <c r="B128" s="10">
        <v>2559</v>
      </c>
      <c r="C128" s="11" t="s">
        <v>106</v>
      </c>
      <c r="D128" s="90">
        <v>6439</v>
      </c>
      <c r="E128" s="91">
        <v>6969</v>
      </c>
      <c r="F128" s="91">
        <v>1167415</v>
      </c>
      <c r="G128" s="92">
        <v>0.47708789681891001</v>
      </c>
      <c r="H128" s="93">
        <v>18889639.930000003</v>
      </c>
      <c r="I128" s="22">
        <v>16.180741150319299</v>
      </c>
      <c r="J128" s="94">
        <v>5290</v>
      </c>
      <c r="K128" s="95">
        <v>5854</v>
      </c>
      <c r="L128" s="95">
        <v>811410</v>
      </c>
      <c r="M128" s="96">
        <v>0.39896645654888929</v>
      </c>
      <c r="N128" s="97">
        <v>10740486.630000001</v>
      </c>
      <c r="O128" s="98">
        <v>13.236818168373572</v>
      </c>
      <c r="P128" s="99">
        <v>912</v>
      </c>
      <c r="Q128" s="100">
        <v>881</v>
      </c>
      <c r="R128" s="100">
        <v>243047</v>
      </c>
      <c r="S128" s="101">
        <v>0.74275760377113442</v>
      </c>
      <c r="T128" s="102">
        <v>5078943.75</v>
      </c>
      <c r="U128" s="103">
        <v>20.896961287323027</v>
      </c>
      <c r="V128" s="104">
        <v>237</v>
      </c>
      <c r="W128" s="105">
        <v>234</v>
      </c>
      <c r="X128" s="105">
        <v>112958</v>
      </c>
      <c r="Y128" s="106">
        <v>1.3141145333449671</v>
      </c>
      <c r="Z128" s="107">
        <v>3070209.5500000003</v>
      </c>
      <c r="AA128" s="108">
        <v>27.180098355140853</v>
      </c>
      <c r="AE128" s="62"/>
      <c r="AI128" s="62"/>
      <c r="AM128" s="62"/>
    </row>
    <row r="129" spans="1:39" s="61" customFormat="1" x14ac:dyDescent="0.2">
      <c r="A129" s="69">
        <v>5511034</v>
      </c>
      <c r="B129" s="10">
        <v>2559</v>
      </c>
      <c r="C129" s="11" t="s">
        <v>106</v>
      </c>
      <c r="D129" s="90">
        <v>2111</v>
      </c>
      <c r="E129" s="91">
        <v>2239</v>
      </c>
      <c r="F129" s="91">
        <v>485173</v>
      </c>
      <c r="G129" s="92">
        <v>0.61114533144386718</v>
      </c>
      <c r="H129" s="93">
        <v>8716103.3200000003</v>
      </c>
      <c r="I129" s="22">
        <v>17.964938939306187</v>
      </c>
      <c r="J129" s="94">
        <v>1455</v>
      </c>
      <c r="K129" s="95">
        <v>1528</v>
      </c>
      <c r="L129" s="95">
        <v>236338</v>
      </c>
      <c r="M129" s="96">
        <v>0.43412763651559749</v>
      </c>
      <c r="N129" s="97">
        <v>3299094.4699999993</v>
      </c>
      <c r="O129" s="98">
        <v>13.95922141170696</v>
      </c>
      <c r="P129" s="99">
        <v>515</v>
      </c>
      <c r="Q129" s="100">
        <v>549</v>
      </c>
      <c r="R129" s="100">
        <v>204031</v>
      </c>
      <c r="S129" s="101">
        <v>1.0507312802554329</v>
      </c>
      <c r="T129" s="102">
        <v>4241730.1000000006</v>
      </c>
      <c r="U129" s="103">
        <v>20.78963539854238</v>
      </c>
      <c r="V129" s="104">
        <v>141</v>
      </c>
      <c r="W129" s="105">
        <v>162</v>
      </c>
      <c r="X129" s="105">
        <v>44804</v>
      </c>
      <c r="Y129" s="106">
        <v>0.81023554410235554</v>
      </c>
      <c r="Z129" s="107">
        <v>1175278.75</v>
      </c>
      <c r="AA129" s="108">
        <v>26.231558566199446</v>
      </c>
      <c r="AE129" s="62"/>
      <c r="AI129" s="62"/>
      <c r="AM129" s="62"/>
    </row>
    <row r="130" spans="1:39" s="61" customFormat="1" x14ac:dyDescent="0.2">
      <c r="A130" s="69">
        <v>5511035</v>
      </c>
      <c r="B130" s="10">
        <v>2559</v>
      </c>
      <c r="C130" s="11" t="s">
        <v>106</v>
      </c>
      <c r="D130" s="90">
        <v>3303</v>
      </c>
      <c r="E130" s="91">
        <v>3544</v>
      </c>
      <c r="F130" s="91">
        <v>717979</v>
      </c>
      <c r="G130" s="92">
        <v>0.57457740716362138</v>
      </c>
      <c r="H130" s="93">
        <v>12497539.689999999</v>
      </c>
      <c r="I130" s="22">
        <v>17.406553241807906</v>
      </c>
      <c r="J130" s="94">
        <v>2607</v>
      </c>
      <c r="K130" s="95">
        <v>2813</v>
      </c>
      <c r="L130" s="95">
        <v>432173</v>
      </c>
      <c r="M130" s="96">
        <v>0.43691351160086939</v>
      </c>
      <c r="N130" s="97">
        <v>5940490.0100000016</v>
      </c>
      <c r="O130" s="98">
        <v>13.745629666823243</v>
      </c>
      <c r="P130" s="99">
        <v>459</v>
      </c>
      <c r="Q130" s="100">
        <v>475</v>
      </c>
      <c r="R130" s="100">
        <v>157602</v>
      </c>
      <c r="S130" s="101">
        <v>0.92459593441084154</v>
      </c>
      <c r="T130" s="102">
        <v>3206980.75</v>
      </c>
      <c r="U130" s="103">
        <v>20.348604395883299</v>
      </c>
      <c r="V130" s="104">
        <v>237</v>
      </c>
      <c r="W130" s="105">
        <v>256</v>
      </c>
      <c r="X130" s="105">
        <v>128204</v>
      </c>
      <c r="Y130" s="106">
        <v>1.4249242824196282</v>
      </c>
      <c r="Z130" s="107">
        <v>3350068.9299999997</v>
      </c>
      <c r="AA130" s="108">
        <v>26.130767604754919</v>
      </c>
      <c r="AE130" s="62"/>
      <c r="AI130" s="62"/>
      <c r="AM130" s="62"/>
    </row>
    <row r="131" spans="1:39" s="61" customFormat="1" x14ac:dyDescent="0.2">
      <c r="A131" s="69">
        <v>5511036</v>
      </c>
      <c r="B131" s="10">
        <v>2559</v>
      </c>
      <c r="C131" s="11" t="s">
        <v>106</v>
      </c>
      <c r="D131" s="90">
        <v>17493</v>
      </c>
      <c r="E131" s="91">
        <v>18089</v>
      </c>
      <c r="F131" s="91">
        <v>3797971</v>
      </c>
      <c r="G131" s="92">
        <v>0.58486875386431336</v>
      </c>
      <c r="H131" s="93">
        <v>68627415.5</v>
      </c>
      <c r="I131" s="22">
        <v>18.069494343163758</v>
      </c>
      <c r="J131" s="94">
        <v>12925</v>
      </c>
      <c r="K131" s="95">
        <v>13452</v>
      </c>
      <c r="L131" s="95">
        <v>2084277</v>
      </c>
      <c r="M131" s="96">
        <v>0.43297933390495352</v>
      </c>
      <c r="N131" s="97">
        <v>29179807.789999999</v>
      </c>
      <c r="O131" s="98">
        <v>13.999966314458202</v>
      </c>
      <c r="P131" s="99">
        <v>3406</v>
      </c>
      <c r="Q131" s="100">
        <v>3453</v>
      </c>
      <c r="R131" s="100">
        <v>1145548</v>
      </c>
      <c r="S131" s="101">
        <v>0.9151443858384245</v>
      </c>
      <c r="T131" s="102">
        <v>24054416.910000004</v>
      </c>
      <c r="U131" s="103">
        <v>20.998174594168034</v>
      </c>
      <c r="V131" s="104">
        <v>1162</v>
      </c>
      <c r="W131" s="105">
        <v>1184</v>
      </c>
      <c r="X131" s="105">
        <v>568146</v>
      </c>
      <c r="Y131" s="106">
        <v>1.3269943593875908</v>
      </c>
      <c r="Z131" s="107">
        <v>15393190.799999999</v>
      </c>
      <c r="AA131" s="108">
        <v>27.093723796348119</v>
      </c>
      <c r="AE131" s="62"/>
      <c r="AI131" s="62"/>
      <c r="AM131" s="62"/>
    </row>
    <row r="132" spans="1:39" s="61" customFormat="1" x14ac:dyDescent="0.2">
      <c r="A132" s="69">
        <v>5511037</v>
      </c>
      <c r="B132" s="10">
        <v>2559</v>
      </c>
      <c r="C132" s="11" t="s">
        <v>106</v>
      </c>
      <c r="D132" s="90">
        <v>2897</v>
      </c>
      <c r="E132" s="91">
        <v>3284</v>
      </c>
      <c r="F132" s="91">
        <v>567964</v>
      </c>
      <c r="G132" s="92">
        <v>0.50349967753588665</v>
      </c>
      <c r="H132" s="93">
        <v>9682570.4000000004</v>
      </c>
      <c r="I132" s="22">
        <v>17.04785937136861</v>
      </c>
      <c r="J132" s="94">
        <v>2230</v>
      </c>
      <c r="K132" s="95">
        <v>2487</v>
      </c>
      <c r="L132" s="95">
        <v>320247</v>
      </c>
      <c r="M132" s="96">
        <v>0.37201146537879604</v>
      </c>
      <c r="N132" s="97">
        <v>4209704</v>
      </c>
      <c r="O132" s="98">
        <v>13.145178565294913</v>
      </c>
      <c r="P132" s="99">
        <v>534</v>
      </c>
      <c r="Q132" s="100">
        <v>660</v>
      </c>
      <c r="R132" s="100">
        <v>186450</v>
      </c>
      <c r="S132" s="109">
        <v>0.85564810353135534</v>
      </c>
      <c r="T132" s="102">
        <v>3794944.1999999997</v>
      </c>
      <c r="U132" s="103">
        <v>20.353683024939659</v>
      </c>
      <c r="V132" s="104">
        <v>133</v>
      </c>
      <c r="W132" s="105">
        <v>137</v>
      </c>
      <c r="X132" s="105">
        <v>61267</v>
      </c>
      <c r="Y132" s="106">
        <v>1.2433688483003551</v>
      </c>
      <c r="Z132" s="107">
        <v>1677922.2</v>
      </c>
      <c r="AA132" s="108">
        <v>27.387046860463219</v>
      </c>
      <c r="AE132" s="62"/>
      <c r="AI132" s="62"/>
      <c r="AM132" s="62"/>
    </row>
    <row r="133" spans="1:39" s="61" customFormat="1" x14ac:dyDescent="0.2">
      <c r="A133" s="69"/>
      <c r="B133" s="70"/>
      <c r="C133" s="110"/>
      <c r="D133" s="90"/>
      <c r="E133" s="91"/>
      <c r="F133" s="91"/>
      <c r="G133" s="92"/>
      <c r="H133" s="93"/>
      <c r="I133" s="22"/>
      <c r="J133" s="111"/>
      <c r="K133" s="112"/>
      <c r="L133" s="112"/>
      <c r="M133" s="113"/>
      <c r="N133" s="113"/>
      <c r="O133" s="98"/>
      <c r="P133" s="114"/>
      <c r="Q133" s="100"/>
      <c r="R133" s="100"/>
      <c r="S133" s="109"/>
      <c r="T133" s="109"/>
      <c r="U133" s="103"/>
      <c r="V133" s="115"/>
      <c r="W133" s="105"/>
      <c r="X133" s="105"/>
      <c r="Y133" s="116"/>
      <c r="Z133" s="107"/>
      <c r="AA133" s="108"/>
      <c r="AE133" s="62"/>
      <c r="AI133" s="62"/>
      <c r="AM133" s="62"/>
    </row>
    <row r="134" spans="1:39" s="61" customFormat="1" ht="13.5" thickBot="1" x14ac:dyDescent="0.25">
      <c r="A134" s="117" t="s">
        <v>21</v>
      </c>
      <c r="B134" s="118"/>
      <c r="C134" s="119"/>
      <c r="D134" s="120">
        <v>348001</v>
      </c>
      <c r="E134" s="121">
        <v>365987</v>
      </c>
      <c r="F134" s="121">
        <v>90500743</v>
      </c>
      <c r="G134" s="122">
        <v>0.69454176007409196</v>
      </c>
      <c r="H134" s="123">
        <v>1697230855.0299997</v>
      </c>
      <c r="I134" s="156">
        <v>18.753778132296656</v>
      </c>
      <c r="J134" s="124">
        <v>272125</v>
      </c>
      <c r="K134" s="125">
        <v>286319</v>
      </c>
      <c r="L134" s="125">
        <v>48227806</v>
      </c>
      <c r="M134" s="126">
        <v>0.47321119160548153</v>
      </c>
      <c r="N134" s="127">
        <v>677530673.28000009</v>
      </c>
      <c r="O134" s="128">
        <v>14.048548534013761</v>
      </c>
      <c r="P134" s="129">
        <v>53067</v>
      </c>
      <c r="Q134" s="130">
        <v>56720</v>
      </c>
      <c r="R134" s="130">
        <v>24701858</v>
      </c>
      <c r="S134" s="131">
        <v>1.2328658818925962</v>
      </c>
      <c r="T134" s="132">
        <v>534085110.81999993</v>
      </c>
      <c r="U134" s="133">
        <v>21.621252572174932</v>
      </c>
      <c r="V134" s="134">
        <v>22809</v>
      </c>
      <c r="W134" s="135">
        <v>22948</v>
      </c>
      <c r="X134" s="135">
        <v>17571079</v>
      </c>
      <c r="Y134" s="136">
        <v>2.1041564117295026</v>
      </c>
      <c r="Z134" s="137">
        <v>485615061.93000001</v>
      </c>
      <c r="AA134" s="138">
        <v>27.637179363316278</v>
      </c>
      <c r="AE134" s="62"/>
      <c r="AI134" s="62"/>
      <c r="AM134" s="62"/>
    </row>
    <row r="135" spans="1:39" x14ac:dyDescent="0.2">
      <c r="D135" s="49"/>
      <c r="E135" s="49"/>
      <c r="F135" s="49"/>
      <c r="G135" s="55"/>
      <c r="H135" s="55"/>
      <c r="I135" s="53"/>
      <c r="J135" s="53"/>
      <c r="K135" s="52"/>
      <c r="L135" s="52"/>
      <c r="M135" s="52"/>
      <c r="N135" s="52"/>
      <c r="O135" s="52"/>
      <c r="P135" s="52"/>
      <c r="Q135" s="52"/>
      <c r="R135" s="52"/>
      <c r="S135" s="52"/>
      <c r="T135" s="139"/>
      <c r="X135" s="139"/>
      <c r="AB135" s="139"/>
      <c r="AF135" s="139"/>
    </row>
  </sheetData>
  <mergeCells count="34">
    <mergeCell ref="AT1:AY1"/>
    <mergeCell ref="P1:U1"/>
    <mergeCell ref="A1:A2"/>
    <mergeCell ref="B1:B2"/>
    <mergeCell ref="C1:C2"/>
    <mergeCell ref="D1:I1"/>
    <mergeCell ref="J1:O1"/>
    <mergeCell ref="V1:AA1"/>
    <mergeCell ref="AB1:AG1"/>
    <mergeCell ref="AH1:AM1"/>
    <mergeCell ref="V35:AA35"/>
    <mergeCell ref="AN1:AS1"/>
    <mergeCell ref="A70:A71"/>
    <mergeCell ref="B70:B71"/>
    <mergeCell ref="C70:C71"/>
    <mergeCell ref="D70:I70"/>
    <mergeCell ref="J70:O70"/>
    <mergeCell ref="B35:B36"/>
    <mergeCell ref="C35:C36"/>
    <mergeCell ref="AB70:AG70"/>
    <mergeCell ref="AH70:AM70"/>
    <mergeCell ref="AN70:AS70"/>
    <mergeCell ref="D35:I35"/>
    <mergeCell ref="J35:O35"/>
    <mergeCell ref="P35:U35"/>
    <mergeCell ref="AT70:AY70"/>
    <mergeCell ref="B104:B105"/>
    <mergeCell ref="C104:C105"/>
    <mergeCell ref="D104:I104"/>
    <mergeCell ref="J104:O104"/>
    <mergeCell ref="P104:U104"/>
    <mergeCell ref="V104:AA104"/>
    <mergeCell ref="V70:AA70"/>
    <mergeCell ref="P70:U7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="85" zoomScaleNormal="100" zoomScalePageLayoutView="85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6.25" style="158" bestFit="1" customWidth="1"/>
    <col min="3" max="3" width="5.375" style="158" bestFit="1" customWidth="1"/>
    <col min="4" max="4" width="5.75" style="158" bestFit="1" customWidth="1"/>
    <col min="5" max="5" width="6.375" style="158" bestFit="1" customWidth="1"/>
    <col min="6" max="6" width="6.625" style="158" bestFit="1" customWidth="1"/>
    <col min="7" max="7" width="6.375" style="158" bestFit="1" customWidth="1"/>
    <col min="8" max="8" width="6.75" style="158" bestFit="1" customWidth="1"/>
    <col min="9" max="10" width="6.625" style="158" bestFit="1" customWidth="1"/>
    <col min="11" max="11" width="6.375" style="158" bestFit="1" customWidth="1"/>
    <col min="12" max="12" width="6.625" style="158" bestFit="1" customWidth="1"/>
    <col min="13" max="13" width="6.375" style="158" bestFit="1" customWidth="1"/>
    <col min="14" max="14" width="6.6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40" width="7.25" style="158" customWidth="1"/>
    <col min="41" max="46" width="7.25" customWidth="1"/>
    <col min="47" max="47" width="6.75" bestFit="1" customWidth="1"/>
    <col min="48" max="48" width="6.625" bestFit="1" customWidth="1"/>
    <col min="49" max="49" width="7.875" bestFit="1" customWidth="1"/>
    <col min="50" max="50" width="7.25" customWidth="1"/>
    <col min="51" max="51" width="10.625" customWidth="1"/>
    <col min="52" max="52" width="7" bestFit="1" customWidth="1"/>
    <col min="53" max="64" width="6.875" bestFit="1" customWidth="1"/>
    <col min="65" max="65" width="7" bestFit="1" customWidth="1"/>
    <col min="66" max="67" width="6.875" bestFit="1" customWidth="1"/>
  </cols>
  <sheetData>
    <row r="1" spans="1:66" ht="27" thickBot="1" x14ac:dyDescent="0.25">
      <c r="A1" s="248">
        <v>1006</v>
      </c>
      <c r="B1" s="817" t="str">
        <f>+VLOOKUP($A$1,data!$A$4:$AH$32,2,0)</f>
        <v>สันกำแพง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1006</v>
      </c>
      <c r="T1" s="817" t="str">
        <f>+VLOOKUP($A$1,data!$A$4:$AH$32,2,0)</f>
        <v>สันกำแพง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1006</v>
      </c>
      <c r="AJ1" s="817" t="str">
        <f>+VLOOKUP($A$1,data!$A$4:$AH$32,2,0)</f>
        <v>สันกำแพง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1006</v>
      </c>
      <c r="AZ1" s="817" t="str">
        <f>+VLOOKUP($A$1,data!$A$4:$AH$32,2,0)</f>
        <v>สันกำแพง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137</v>
      </c>
      <c r="C18" s="406">
        <f>+VLOOKUP($A$1,data!$A$37:$AU$67,36)</f>
        <v>75</v>
      </c>
      <c r="D18" s="406">
        <f>+VLOOKUP($A$1,data!$A$37:$AU$67,37)</f>
        <v>57</v>
      </c>
      <c r="E18" s="406">
        <f>+VLOOKUP($A$1,data!$A$37:$AU$67,38)</f>
        <v>75</v>
      </c>
      <c r="F18" s="406">
        <f>+VLOOKUP($A$1,data!$A$37:$AU$67,39)</f>
        <v>155</v>
      </c>
      <c r="G18" s="406">
        <f>+VLOOKUP($A$1,data!$A$37:$AU$67,40)</f>
        <v>137</v>
      </c>
      <c r="H18" s="406">
        <f>+VLOOKUP($A$1,data!$A$37:$AU$67,41)</f>
        <v>57</v>
      </c>
      <c r="I18" s="406">
        <f>+VLOOKUP($A$1,data!$A$37:$AU$67,42)</f>
        <v>197</v>
      </c>
      <c r="J18" s="406">
        <f>+VLOOKUP($A$1,data!$A$37:$AU$67,43)</f>
        <v>173</v>
      </c>
      <c r="K18" s="406">
        <f>+VLOOKUP($A$1,data!$A$37:$AU$67,44)</f>
        <v>113</v>
      </c>
      <c r="L18" s="406">
        <f>+VLOOKUP($A$1,data!$A$37:$AU$67,45)</f>
        <v>96</v>
      </c>
      <c r="M18" s="406">
        <f>+VLOOKUP($A$1,data!$A$37:$AU$67,46)</f>
        <v>112</v>
      </c>
      <c r="N18" s="406">
        <f>SUM(B18:M18)</f>
        <v>1384</v>
      </c>
      <c r="O18" s="406">
        <f>SUM(B18:M18)</f>
        <v>1384</v>
      </c>
      <c r="P18" s="407">
        <f>+O20-O18</f>
        <v>-213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0.20429089</v>
      </c>
      <c r="AK18" s="418">
        <f>+VLOOKUP($A$1,data!$A$69:$AU$99,36)</f>
        <v>0.225191</v>
      </c>
      <c r="AL18" s="418">
        <f>+VLOOKUP($A$1,data!$A$69:$AU$99,37)</f>
        <v>0.21947104000000001</v>
      </c>
      <c r="AM18" s="418">
        <f>+VLOOKUP($A$1,data!$A$69:$AU$99,38)</f>
        <v>0.23408065</v>
      </c>
      <c r="AN18" s="418">
        <f>+VLOOKUP($A$1,data!$A$69:$AU$99,39)</f>
        <v>0.222388</v>
      </c>
      <c r="AO18" s="418">
        <f>+VLOOKUP($A$1,data!$A$69:$AU$99,40)</f>
        <v>0.21876514999999999</v>
      </c>
      <c r="AP18" s="418">
        <f>+VLOOKUP($A$1,data!$A$69:$AU$99,41)</f>
        <v>0.2546001</v>
      </c>
      <c r="AQ18" s="418">
        <f>+VLOOKUP($A$1,data!$A$69:$AU$99,42)</f>
        <v>0.28325600000000001</v>
      </c>
      <c r="AR18" s="418">
        <f>+VLOOKUP($A$1,data!$A$69:$AU$99,43)</f>
        <v>0.25242122</v>
      </c>
      <c r="AS18" s="418">
        <f>+VLOOKUP($A$1,data!$A$69:$AU$99,44)</f>
        <v>0.217526</v>
      </c>
      <c r="AT18" s="418">
        <f>+VLOOKUP($A$1,data!$A$69:$AU$99,45)</f>
        <v>0.21900325000000001</v>
      </c>
      <c r="AU18" s="418">
        <f>+VLOOKUP($A$1,data!$A$69:$AU$99,46)</f>
        <v>0.22381187999999999</v>
      </c>
      <c r="AV18" s="418">
        <f>SUM(AJ18:AU18)</f>
        <v>2.77480518</v>
      </c>
      <c r="AW18" s="418">
        <f>SUM(AJ18:AU18)</f>
        <v>2.77480518</v>
      </c>
      <c r="AX18" s="419">
        <f>+AW20-AW18</f>
        <v>5.4853580000000068E-2</v>
      </c>
      <c r="AY18" s="308" t="s">
        <v>92</v>
      </c>
      <c r="AZ18" s="309">
        <f>+VLOOKUP($A$1,data!$A$101:$AU$131,35)</f>
        <v>0.13049384999999997</v>
      </c>
      <c r="BA18" s="309">
        <f>+VLOOKUP($A$1,data!$A$101:$AU$131,36)</f>
        <v>0.10973203000000002</v>
      </c>
      <c r="BB18" s="309">
        <f>+VLOOKUP($A$1,data!$A$101:$AU$131,37)</f>
        <v>0.11154774999999997</v>
      </c>
      <c r="BC18" s="309">
        <f>+VLOOKUP($A$1,data!$A$101:$AU$131,38)</f>
        <v>0.11042032999999998</v>
      </c>
      <c r="BD18" s="309">
        <f>+VLOOKUP($A$1,data!$A$101:$AU$131,39)</f>
        <v>0.11323890000000002</v>
      </c>
      <c r="BE18" s="309">
        <f>+VLOOKUP($A$1,data!$A$101:$AU$131,40)</f>
        <v>0.1000389</v>
      </c>
      <c r="BF18" s="309">
        <f>+VLOOKUP($A$1,data!$A$101:$AU$131,41)</f>
        <v>9.9496889999999991E-2</v>
      </c>
      <c r="BG18" s="309">
        <f>+VLOOKUP($A$1,data!$A$101:$AU$131,42)</f>
        <v>7.6688969999999967E-2</v>
      </c>
      <c r="BH18" s="309">
        <f>+VLOOKUP($A$1,data!$A$101:$AU$131,43)</f>
        <v>7.7783720000000001E-2</v>
      </c>
      <c r="BI18" s="309">
        <f>+VLOOKUP($A$1,data!$A$101:$AU$131,44)</f>
        <v>8.0432989999999996E-2</v>
      </c>
      <c r="BJ18" s="309">
        <f>+VLOOKUP($A$1,data!$A$101:$AU$131,45)</f>
        <v>8.8086729999999988E-2</v>
      </c>
      <c r="BK18" s="309">
        <f>+VLOOKUP($A$1,data!$A$101:$AU$131,46)</f>
        <v>7.2310109999999983E-2</v>
      </c>
      <c r="BL18" s="309">
        <f>SUM(AZ18:BK18)</f>
        <v>1.1702711699999999</v>
      </c>
      <c r="BM18" s="309">
        <f>SUM(AZ18:BK18)</f>
        <v>1.1702711699999999</v>
      </c>
      <c r="BN18" s="310">
        <f>+BM20-BM18</f>
        <v>0.15876029000000003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121.56397660818715</v>
      </c>
      <c r="C19" s="409">
        <f>+VLOOKUP($A$1,data!$A$37:$AU$67,20)</f>
        <v>97.498011695906428</v>
      </c>
      <c r="D19" s="409">
        <f>+VLOOKUP($A$1,data!$A$37:$AU$67,21)</f>
        <v>98.115087719298259</v>
      </c>
      <c r="E19" s="409">
        <f>+VLOOKUP($A$1,data!$A$37:$AU$67,22)</f>
        <v>79.911345029239754</v>
      </c>
      <c r="F19" s="409">
        <f>+VLOOKUP($A$1,data!$A$37:$AU$67,23)</f>
        <v>126.50058479532163</v>
      </c>
      <c r="G19" s="409">
        <f>+VLOOKUP($A$1,data!$A$37:$AU$67,24)</f>
        <v>130.2030409356725</v>
      </c>
      <c r="H19" s="409">
        <f>+VLOOKUP($A$1,data!$A$37:$AU$67,25)</f>
        <v>94.104093567251468</v>
      </c>
      <c r="I19" s="409">
        <f>+VLOOKUP($A$1,data!$A$37:$AU$67,26)</f>
        <v>146.55555555555557</v>
      </c>
      <c r="J19" s="409">
        <f>+VLOOKUP($A$1,data!$A$37:$AU$67,27)</f>
        <v>126.19204678362574</v>
      </c>
      <c r="K19" s="409">
        <f>+VLOOKUP($A$1,data!$A$37:$AU$67,28)</f>
        <v>113.54198830409358</v>
      </c>
      <c r="L19" s="409">
        <f>+VLOOKUP($A$1,data!$A$37:$AU$67,29)</f>
        <v>98.115087719298259</v>
      </c>
      <c r="M19" s="409">
        <f>+VLOOKUP($A$1,data!$A$37:$AU$67,30)</f>
        <v>86.699181286549717</v>
      </c>
      <c r="N19" s="409">
        <f>SUM(B19:M19)</f>
        <v>1319</v>
      </c>
      <c r="O19" s="630">
        <f t="shared" ref="O19:O20" si="0">SUM(B19:M19)</f>
        <v>1319</v>
      </c>
      <c r="P19" s="412">
        <f>+O20-O19</f>
        <v>-148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0.22173599999999999</v>
      </c>
      <c r="AK19" s="423">
        <f>+VLOOKUP($A$1,data!$A$69:$AU$99,20)</f>
        <v>0.24243200000000001</v>
      </c>
      <c r="AL19" s="423">
        <f>+VLOOKUP($A$1,data!$A$69:$AU$99,21)</f>
        <v>0.23740600000000001</v>
      </c>
      <c r="AM19" s="423">
        <f>+VLOOKUP($A$1,data!$A$69:$AU$99,22)</f>
        <v>0.24912000000000001</v>
      </c>
      <c r="AN19" s="423">
        <f>+VLOOKUP($A$1,data!$A$69:$AU$99,23)</f>
        <v>0.24648700000000001</v>
      </c>
      <c r="AO19" s="423">
        <f>+VLOOKUP($A$1,data!$A$69:$AU$99,24)</f>
        <v>0.243593</v>
      </c>
      <c r="AP19" s="423">
        <f>+VLOOKUP($A$1,data!$A$69:$AU$99,25)</f>
        <v>0.27796500000000002</v>
      </c>
      <c r="AQ19" s="423">
        <f>+VLOOKUP($A$1,data!$A$69:$AU$99,26)</f>
        <v>0.299788</v>
      </c>
      <c r="AR19" s="423">
        <f>+VLOOKUP($A$1,data!$A$69:$AU$99,27)</f>
        <v>0.28006399999999998</v>
      </c>
      <c r="AS19" s="423">
        <f>+VLOOKUP($A$1,data!$A$69:$AU$99,28)</f>
        <v>0.25418400000000002</v>
      </c>
      <c r="AT19" s="423">
        <f>+VLOOKUP($A$1,data!$A$69:$AU$99,29)</f>
        <v>0.24944</v>
      </c>
      <c r="AU19" s="423">
        <f>+VLOOKUP($A$1,data!$A$69:$AU$99,30)</f>
        <v>0.251525</v>
      </c>
      <c r="AV19" s="423">
        <f>SUM(AJ19:AU19)</f>
        <v>3.0537399999999999</v>
      </c>
      <c r="AW19" s="424">
        <f t="shared" ref="AW19:AW20" si="1">SUM(AJ19:AU19)</f>
        <v>3.0537399999999999</v>
      </c>
      <c r="AX19" s="425">
        <f>+AW20-AW19</f>
        <v>-0.22408123999999985</v>
      </c>
      <c r="AY19" s="311" t="s">
        <v>94</v>
      </c>
      <c r="AZ19" s="312">
        <f>+VLOOKUP($A$1,data!$A$101:$AU$131,19)</f>
        <v>0.120876</v>
      </c>
      <c r="BA19" s="312">
        <f>+VLOOKUP($A$1,data!$A$101:$AU$131,20)</f>
        <v>0.10990800000000001</v>
      </c>
      <c r="BB19" s="312">
        <f>+VLOOKUP($A$1,data!$A$101:$AU$131,21)</f>
        <v>9.5840999999999996E-2</v>
      </c>
      <c r="BC19" s="312">
        <f>+VLOOKUP($A$1,data!$A$101:$AU$131,22)</f>
        <v>9.4670000000000004E-2</v>
      </c>
      <c r="BD19" s="312">
        <f>+VLOOKUP($A$1,data!$A$101:$AU$131,23)</f>
        <v>8.8513999999999995E-2</v>
      </c>
      <c r="BE19" s="312">
        <f>+VLOOKUP($A$1,data!$A$101:$AU$131,24)</f>
        <v>0.105129</v>
      </c>
      <c r="BF19" s="312">
        <f>+VLOOKUP($A$1,data!$A$101:$AU$131,25)</f>
        <v>0.10389</v>
      </c>
      <c r="BG19" s="312">
        <f>+VLOOKUP($A$1,data!$A$101:$AU$131,26)</f>
        <v>9.3613000000000002E-2</v>
      </c>
      <c r="BH19" s="312">
        <f>+VLOOKUP($A$1,data!$A$101:$AU$131,27)</f>
        <v>8.5453000000000001E-2</v>
      </c>
      <c r="BI19" s="312">
        <f>+VLOOKUP($A$1,data!$A$101:$AU$131,28)</f>
        <v>8.1591999999999998E-2</v>
      </c>
      <c r="BJ19" s="312">
        <f>+VLOOKUP($A$1,data!$A$101:$AU$131,29)</f>
        <v>0.10473499999999999</v>
      </c>
      <c r="BK19" s="312">
        <f>+VLOOKUP($A$1,data!$A$101:$AU$131,30)</f>
        <v>0.109241</v>
      </c>
      <c r="BL19" s="312">
        <f>SUM(AZ19:BK19)</f>
        <v>1.1934619999999998</v>
      </c>
      <c r="BM19" s="313">
        <f t="shared" ref="BM19:BM20" si="2">SUM(AZ19:BK19)</f>
        <v>1.1934619999999998</v>
      </c>
      <c r="BN19" s="314">
        <f>+BM20-BM19</f>
        <v>0.13556946000000014</v>
      </c>
    </row>
    <row r="20" spans="1:66" s="247" customFormat="1" ht="19.5" thickBot="1" x14ac:dyDescent="0.35">
      <c r="A20" s="413" t="s">
        <v>93</v>
      </c>
      <c r="B20" s="414">
        <f>+VLOOKUP($A$1,data!$A$37:$AU$67,3)</f>
        <v>103</v>
      </c>
      <c r="C20" s="414">
        <f>+VLOOKUP($A$1,data!$A$37:$AU$67,4)</f>
        <v>124</v>
      </c>
      <c r="D20" s="414">
        <f>+VLOOKUP($A$1,data!$A$37:$AU$67,5)</f>
        <v>80</v>
      </c>
      <c r="E20" s="414">
        <f>+VLOOKUP($A$1,data!$A$37:$AU$67,6)</f>
        <v>108</v>
      </c>
      <c r="F20" s="414">
        <f>+VLOOKUP($A$1,data!$A$37:$AU$67,7)</f>
        <v>116</v>
      </c>
      <c r="G20" s="414">
        <f>+VLOOKUP($A$1,data!$A$37:$AU$67,8)</f>
        <v>80</v>
      </c>
      <c r="H20" s="414">
        <f>+VLOOKUP($A$1,data!$A$37:$AU$67,9)</f>
        <v>60</v>
      </c>
      <c r="I20" s="414">
        <f>+VLOOKUP($A$1,data!$A$37:$AU$67,10)</f>
        <v>81</v>
      </c>
      <c r="J20" s="414">
        <f>+VLOOKUP($A$1,data!$A$37:$AU$67,11)</f>
        <v>133</v>
      </c>
      <c r="K20" s="414">
        <f>+VLOOKUP($A$1,data!$A$37:$AU$67,12)</f>
        <v>119</v>
      </c>
      <c r="L20" s="414">
        <f>+VLOOKUP($A$1,data!$A$37:$AU$67,13)</f>
        <v>98</v>
      </c>
      <c r="M20" s="414">
        <f>+VLOOKUP($A$1,data!$A$37:$AU$67,14)</f>
        <v>69</v>
      </c>
      <c r="N20" s="414">
        <f>SUM(B20:M20)</f>
        <v>1171</v>
      </c>
      <c r="O20" s="631">
        <f t="shared" si="0"/>
        <v>1171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0.20614907000000002</v>
      </c>
      <c r="AK20" s="420">
        <f>+VLOOKUP($A$1,data!$A$69:$AU$99,4)</f>
        <v>0.22051220000000002</v>
      </c>
      <c r="AL20" s="420">
        <f>+VLOOKUP($A$1,data!$A$69:$AU$99,5)</f>
        <v>0.22251735</v>
      </c>
      <c r="AM20" s="420">
        <f>+VLOOKUP($A$1,data!$A$69:$AU$99,6)</f>
        <v>0.23230145999999999</v>
      </c>
      <c r="AN20" s="420">
        <f>+VLOOKUP($A$1,data!$A$69:$AU$99,7)</f>
        <v>0.23376545999999998</v>
      </c>
      <c r="AO20" s="420">
        <f>+VLOOKUP($A$1,data!$A$69:$AU$99,8)</f>
        <v>0.23694081</v>
      </c>
      <c r="AP20" s="420">
        <f>+VLOOKUP($A$1,data!$A$69:$AU$99,9)</f>
        <v>0.284551</v>
      </c>
      <c r="AQ20" s="420">
        <f>+VLOOKUP($A$1,data!$A$69:$AU$99,10)</f>
        <v>0.26946120000000001</v>
      </c>
      <c r="AR20" s="420">
        <f>+VLOOKUP($A$1,data!$A$69:$AU$99,11)</f>
        <v>0.23913503</v>
      </c>
      <c r="AS20" s="420">
        <f>+VLOOKUP($A$1,data!$A$69:$AU$99,12)</f>
        <v>0.22661265999999999</v>
      </c>
      <c r="AT20" s="420">
        <f>+VLOOKUP($A$1,data!$A$69:$AU$99,13)</f>
        <v>0.227432</v>
      </c>
      <c r="AU20" s="420">
        <f>+VLOOKUP($A$1,data!$A$69:$AU$99,14)</f>
        <v>0.23028051999999999</v>
      </c>
      <c r="AV20" s="420">
        <f>SUM(AJ20:AU20)</f>
        <v>2.8296587600000001</v>
      </c>
      <c r="AW20" s="421">
        <f t="shared" si="1"/>
        <v>2.8296587600000001</v>
      </c>
      <c r="AX20" s="422"/>
      <c r="AY20" s="315" t="s">
        <v>93</v>
      </c>
      <c r="AZ20" s="316">
        <f>+VLOOKUP($A$1,data!$A$101:$AU$131,3)</f>
        <v>8.6669899999999966E-2</v>
      </c>
      <c r="BA20" s="316">
        <f>+VLOOKUP($A$1,data!$A$101:$AU$131,4)</f>
        <v>0.12076978999999997</v>
      </c>
      <c r="BB20" s="316">
        <f>+VLOOKUP($A$1,data!$A$101:$AU$131,5)</f>
        <v>0.11669660000000001</v>
      </c>
      <c r="BC20" s="316">
        <f>+VLOOKUP($A$1,data!$A$101:$AU$131,6)</f>
        <v>0.11564342000000001</v>
      </c>
      <c r="BD20" s="316">
        <f>+VLOOKUP($A$1,data!$A$101:$AU$131,7)</f>
        <v>0.13117054</v>
      </c>
      <c r="BE20" s="316">
        <f>+VLOOKUP($A$1,data!$A$101:$AU$131,8)</f>
        <v>9.6366179999999996E-2</v>
      </c>
      <c r="BF20" s="316">
        <f>+VLOOKUP($A$1,data!$A$101:$AU$131,9)</f>
        <v>0.11763402000000002</v>
      </c>
      <c r="BG20" s="316">
        <f>+VLOOKUP($A$1,data!$A$101:$AU$131,10)</f>
        <v>9.987778999999998E-2</v>
      </c>
      <c r="BH20" s="316">
        <f>+VLOOKUP($A$1,data!$A$101:$AU$131,11)</f>
        <v>0.11090639999999999</v>
      </c>
      <c r="BI20" s="316">
        <f>+VLOOKUP($A$1,data!$A$101:$AU$131,12)</f>
        <v>0.11573430000000001</v>
      </c>
      <c r="BJ20" s="316">
        <f>+VLOOKUP($A$1,data!$A$101:$AU$131,13)</f>
        <v>0.10878703999999997</v>
      </c>
      <c r="BK20" s="316">
        <f>+VLOOKUP($A$1,data!$A$101:$AU$131,14)</f>
        <v>0.10877548000000001</v>
      </c>
      <c r="BL20" s="316">
        <f>SUM(AZ20:BK20)</f>
        <v>1.3290314599999999</v>
      </c>
      <c r="BM20" s="317">
        <f t="shared" si="2"/>
        <v>1.3290314599999999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310.17707602339181</v>
      </c>
      <c r="W21" s="671">
        <f>+VLOOKUP($A$1,data!$A$261:$AK$291,16)</f>
        <v>267</v>
      </c>
      <c r="X21" s="671">
        <f>+VLOOKUP($A$1,data!$A$261:$AK$291,36)</f>
        <v>639.79204678362566</v>
      </c>
      <c r="Y21" s="671">
        <f>+VLOOKUP($A$1,data!$A$261:$AK$291,17)</f>
        <v>561</v>
      </c>
      <c r="Z21" s="671">
        <f>+VLOOKUP($A$1,data!$A$261:$AK$291,37)</f>
        <v>994.64374269005839</v>
      </c>
      <c r="AA21" s="671">
        <f>+VLOOKUP($A$1,data!$A$261:$AK$291,18)</f>
        <v>825</v>
      </c>
      <c r="AB21" s="671">
        <f>+VLOOKUP($A$1,data!$A$261:$AK$291,34)</f>
        <v>1271</v>
      </c>
      <c r="AC21" s="671">
        <f>+VLOOKUP($A$1,data!$A$261:$AK$291,15)</f>
        <v>1111</v>
      </c>
      <c r="AD21" s="671">
        <f>+AA21-Z21</f>
        <v>-169.64374269005839</v>
      </c>
      <c r="AE21" s="684">
        <f>+AC21-AB21</f>
        <v>-160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7</v>
      </c>
      <c r="W22" s="672">
        <f>+VLOOKUP($A$1,data!$A$229:$AK$259,16)</f>
        <v>40</v>
      </c>
      <c r="X22" s="672">
        <f>+VLOOKUP($A$1,data!$A$229:$AK$259,36)</f>
        <v>14</v>
      </c>
      <c r="Y22" s="672">
        <f>+VLOOKUP($A$1,data!$A$229:$AK$259,17)</f>
        <v>50</v>
      </c>
      <c r="Z22" s="672">
        <f>+VLOOKUP($A$1,data!$A$229:$AK$259,37)</f>
        <v>26</v>
      </c>
      <c r="AA22" s="672">
        <f>+VLOOKUP($A$1,data!$A$229:$AK$259,18)</f>
        <v>60</v>
      </c>
      <c r="AB22" s="672">
        <f>+VLOOKUP($A$1,data!$A$229:$AK$259,34)</f>
        <v>48</v>
      </c>
      <c r="AC22" s="765">
        <f>+VLOOKUP($A$1,data!$A$229:$AK$259,15)</f>
        <v>60</v>
      </c>
      <c r="AD22" s="671">
        <f>+AA22-Z22</f>
        <v>34</v>
      </c>
      <c r="AE22" s="685">
        <f>+AC22-AB22</f>
        <v>12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73">
        <f>SUM(V21:V22)</f>
        <v>317.17707602339181</v>
      </c>
      <c r="W23" s="673">
        <f t="shared" ref="W23:AC23" si="3">SUM(W21:W22)</f>
        <v>307</v>
      </c>
      <c r="X23" s="673">
        <f t="shared" si="3"/>
        <v>653.79204678362566</v>
      </c>
      <c r="Y23" s="673">
        <f t="shared" si="3"/>
        <v>611</v>
      </c>
      <c r="Z23" s="673">
        <f t="shared" si="3"/>
        <v>1020.6437426900584</v>
      </c>
      <c r="AA23" s="673">
        <f t="shared" si="3"/>
        <v>885</v>
      </c>
      <c r="AB23" s="673">
        <f t="shared" si="3"/>
        <v>1319</v>
      </c>
      <c r="AC23" s="764">
        <f t="shared" si="3"/>
        <v>1171</v>
      </c>
      <c r="AD23" s="673">
        <f>+AA23-Z23</f>
        <v>-135.64374269005839</v>
      </c>
      <c r="AE23" s="686">
        <f>+AC23-AB23</f>
        <v>-148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137</v>
      </c>
      <c r="D39" s="406">
        <f t="shared" ref="D39:N41" si="4">+C39+C18</f>
        <v>212</v>
      </c>
      <c r="E39" s="406">
        <f t="shared" si="4"/>
        <v>269</v>
      </c>
      <c r="F39" s="406">
        <f t="shared" si="4"/>
        <v>344</v>
      </c>
      <c r="G39" s="406">
        <f t="shared" si="4"/>
        <v>499</v>
      </c>
      <c r="H39" s="406">
        <f t="shared" si="4"/>
        <v>636</v>
      </c>
      <c r="I39" s="406">
        <f t="shared" si="4"/>
        <v>693</v>
      </c>
      <c r="J39" s="406">
        <f t="shared" si="4"/>
        <v>890</v>
      </c>
      <c r="K39" s="406">
        <f t="shared" si="4"/>
        <v>1063</v>
      </c>
      <c r="L39" s="406">
        <f t="shared" si="4"/>
        <v>1176</v>
      </c>
      <c r="M39" s="406">
        <f t="shared" si="4"/>
        <v>1272</v>
      </c>
      <c r="N39" s="406">
        <f t="shared" si="4"/>
        <v>1384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0.20429089</v>
      </c>
      <c r="AL39" s="418">
        <f t="shared" ref="AL39:AV41" si="5">+AK39+AK18</f>
        <v>0.42948189000000003</v>
      </c>
      <c r="AM39" s="418">
        <f t="shared" si="5"/>
        <v>0.64895293000000009</v>
      </c>
      <c r="AN39" s="418">
        <f t="shared" si="5"/>
        <v>0.8830335800000001</v>
      </c>
      <c r="AO39" s="418">
        <f t="shared" si="5"/>
        <v>1.10542158</v>
      </c>
      <c r="AP39" s="418">
        <f t="shared" si="5"/>
        <v>1.3241867300000001</v>
      </c>
      <c r="AQ39" s="418">
        <f t="shared" si="5"/>
        <v>1.5787868300000001</v>
      </c>
      <c r="AR39" s="418">
        <f t="shared" si="5"/>
        <v>1.86204283</v>
      </c>
      <c r="AS39" s="418">
        <f t="shared" si="5"/>
        <v>2.11446405</v>
      </c>
      <c r="AT39" s="418">
        <f t="shared" si="5"/>
        <v>2.3319900499999999</v>
      </c>
      <c r="AU39" s="418">
        <f t="shared" si="5"/>
        <v>2.5509933</v>
      </c>
      <c r="AV39" s="418">
        <f t="shared" si="5"/>
        <v>2.77480518</v>
      </c>
      <c r="AW39" s="158"/>
      <c r="AX39" s="158"/>
      <c r="AY39" s="308" t="s">
        <v>92</v>
      </c>
      <c r="AZ39" s="464">
        <f>+VLOOKUP($A$1,data!$A$133:$BK$163,26)</f>
        <v>38.977037231605053</v>
      </c>
      <c r="BA39" s="464">
        <f>+VLOOKUP($A$1,data!$A$133:$BK$163,27)</f>
        <v>32.763357598908627</v>
      </c>
      <c r="BB39" s="464">
        <f>+VLOOKUP($A$1,data!$A$133:$BK$163,28)</f>
        <v>33.698313621411032</v>
      </c>
      <c r="BC39" s="464">
        <f>+VLOOKUP($A$1,data!$A$133:$BK$163,29)</f>
        <v>35.151401580848443</v>
      </c>
      <c r="BD39" s="464">
        <f>+VLOOKUP($A$1,data!$A$133:$BK$163,30)</f>
        <v>32.05225424903</v>
      </c>
      <c r="BE39" s="464">
        <f>+VLOOKUP($A$1,data!$A$133:$BK$163,31)</f>
        <v>33.739518495090834</v>
      </c>
      <c r="BF39" s="464">
        <f>+VLOOKUP($A$1,data!$A$133:$BK$163,32)</f>
        <v>31.379431973966454</v>
      </c>
      <c r="BG39" s="464">
        <f>+VLOOKUP($A$1,data!$A$133:$BK$163,33)</f>
        <v>33.779153284399371</v>
      </c>
      <c r="BH39" s="464">
        <f>+VLOOKUP($A$1,data!$A$133:$BK$163,34)</f>
        <v>28.093451849805508</v>
      </c>
      <c r="BI39" s="464">
        <f>+VLOOKUP($A$1,data!$A$133:$BK$163,35)</f>
        <v>21.305452532750589</v>
      </c>
      <c r="BJ39" s="464">
        <f>+VLOOKUP($A$1,data!$A$133:$BK$163,36)</f>
        <v>23.553484595310351</v>
      </c>
      <c r="BK39" s="464">
        <f>+VLOOKUP($A$1,data!$A$133:$BK$163,37)</f>
        <v>30.533277823101319</v>
      </c>
      <c r="BL39" s="464">
        <f>+VLOOKUP($A$1,data!$A$133:$BK$163,38)</f>
        <v>26.994651176660252</v>
      </c>
      <c r="BM39" s="464">
        <f>+VLOOKUP($A$1,data!$A$133:$BK$163,39)</f>
        <v>28.684338707501944</v>
      </c>
      <c r="BN39" s="464">
        <f>+VLOOKUP($A$1,data!$A$133:$BK$163,40)</f>
        <v>24.419027442034949</v>
      </c>
      <c r="BO39" s="464">
        <f>+VLOOKUP($A$1,data!$A$133:$BK$163,41)</f>
        <v>29.663177011112751</v>
      </c>
    </row>
    <row r="40" spans="1:67" ht="21.75" thickBot="1" x14ac:dyDescent="0.4">
      <c r="A40"/>
      <c r="B40" s="408" t="s">
        <v>94</v>
      </c>
      <c r="C40" s="409">
        <f>+B19</f>
        <v>121.56397660818715</v>
      </c>
      <c r="D40" s="409">
        <f t="shared" si="4"/>
        <v>219.06198830409357</v>
      </c>
      <c r="E40" s="409">
        <f t="shared" si="4"/>
        <v>317.17707602339181</v>
      </c>
      <c r="F40" s="409">
        <f t="shared" si="4"/>
        <v>397.08842105263159</v>
      </c>
      <c r="G40" s="409">
        <f t="shared" si="4"/>
        <v>523.58900584795322</v>
      </c>
      <c r="H40" s="409">
        <f t="shared" si="4"/>
        <v>653.79204678362566</v>
      </c>
      <c r="I40" s="409">
        <f t="shared" si="4"/>
        <v>747.89614035087709</v>
      </c>
      <c r="J40" s="409">
        <f t="shared" si="4"/>
        <v>894.45169590643263</v>
      </c>
      <c r="K40" s="409">
        <f t="shared" si="4"/>
        <v>1020.6437426900584</v>
      </c>
      <c r="L40" s="409">
        <f t="shared" si="4"/>
        <v>1134.185730994152</v>
      </c>
      <c r="M40" s="409">
        <f t="shared" si="4"/>
        <v>1232.3008187134503</v>
      </c>
      <c r="N40" s="409">
        <f t="shared" si="4"/>
        <v>1319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0.22173599999999999</v>
      </c>
      <c r="AL40" s="423">
        <f t="shared" si="5"/>
        <v>0.46416800000000003</v>
      </c>
      <c r="AM40" s="423">
        <f t="shared" si="5"/>
        <v>0.70157400000000003</v>
      </c>
      <c r="AN40" s="423">
        <f t="shared" si="5"/>
        <v>0.95069400000000004</v>
      </c>
      <c r="AO40" s="423">
        <f t="shared" si="5"/>
        <v>1.1971810000000001</v>
      </c>
      <c r="AP40" s="423">
        <f t="shared" si="5"/>
        <v>1.440774</v>
      </c>
      <c r="AQ40" s="423">
        <f t="shared" si="5"/>
        <v>1.718739</v>
      </c>
      <c r="AR40" s="423">
        <f t="shared" si="5"/>
        <v>2.0185270000000002</v>
      </c>
      <c r="AS40" s="423">
        <f t="shared" si="5"/>
        <v>2.2985910000000001</v>
      </c>
      <c r="AT40" s="423">
        <f t="shared" si="5"/>
        <v>2.552775</v>
      </c>
      <c r="AU40" s="423">
        <f t="shared" si="5"/>
        <v>2.8022149999999999</v>
      </c>
      <c r="AV40" s="423">
        <f t="shared" si="5"/>
        <v>3.0537399999999999</v>
      </c>
      <c r="AW40" s="158"/>
      <c r="AX40" s="158"/>
      <c r="AY40" s="311" t="s">
        <v>94</v>
      </c>
      <c r="AZ40" s="458">
        <f>+VLOOKUP($A$1,data!$A$133:$BK$163,22)</f>
        <v>28.099971746091541</v>
      </c>
      <c r="BA40" s="458">
        <f>+$AZ$40</f>
        <v>28.099971746091541</v>
      </c>
      <c r="BB40" s="458">
        <f t="shared" ref="BB40:BO40" si="6">+$AZ$40</f>
        <v>28.099971746091541</v>
      </c>
      <c r="BC40" s="458">
        <f t="shared" si="6"/>
        <v>28.099971746091541</v>
      </c>
      <c r="BD40" s="458">
        <f t="shared" si="6"/>
        <v>28.099971746091541</v>
      </c>
      <c r="BE40" s="458">
        <f t="shared" si="6"/>
        <v>28.099971746091541</v>
      </c>
      <c r="BF40" s="458">
        <f t="shared" si="6"/>
        <v>28.099971746091541</v>
      </c>
      <c r="BG40" s="458">
        <f t="shared" si="6"/>
        <v>28.099971746091541</v>
      </c>
      <c r="BH40" s="458">
        <f t="shared" si="6"/>
        <v>28.099971746091541</v>
      </c>
      <c r="BI40" s="458">
        <f t="shared" si="6"/>
        <v>28.099971746091541</v>
      </c>
      <c r="BJ40" s="458">
        <f t="shared" si="6"/>
        <v>28.099971746091541</v>
      </c>
      <c r="BK40" s="458">
        <f t="shared" si="6"/>
        <v>28.099971746091541</v>
      </c>
      <c r="BL40" s="458">
        <f t="shared" si="6"/>
        <v>28.099971746091541</v>
      </c>
      <c r="BM40" s="458">
        <f t="shared" si="6"/>
        <v>28.099971746091541</v>
      </c>
      <c r="BN40" s="458">
        <f t="shared" si="6"/>
        <v>28.099971746091541</v>
      </c>
      <c r="BO40" s="458">
        <f t="shared" si="6"/>
        <v>28.099971746091541</v>
      </c>
    </row>
    <row r="41" spans="1:67" ht="21.75" thickBot="1" x14ac:dyDescent="0.4">
      <c r="A41"/>
      <c r="B41" s="413" t="s">
        <v>93</v>
      </c>
      <c r="C41" s="414">
        <f>+B20</f>
        <v>103</v>
      </c>
      <c r="D41" s="414">
        <f t="shared" si="4"/>
        <v>227</v>
      </c>
      <c r="E41" s="414">
        <f t="shared" si="4"/>
        <v>307</v>
      </c>
      <c r="F41" s="414">
        <f t="shared" si="4"/>
        <v>415</v>
      </c>
      <c r="G41" s="414">
        <f t="shared" si="4"/>
        <v>531</v>
      </c>
      <c r="H41" s="414">
        <f t="shared" si="4"/>
        <v>611</v>
      </c>
      <c r="I41" s="414">
        <f t="shared" si="4"/>
        <v>671</v>
      </c>
      <c r="J41" s="414">
        <f t="shared" si="4"/>
        <v>752</v>
      </c>
      <c r="K41" s="414">
        <f t="shared" si="4"/>
        <v>885</v>
      </c>
      <c r="L41" s="414">
        <f t="shared" si="4"/>
        <v>1004</v>
      </c>
      <c r="M41" s="414">
        <f t="shared" si="4"/>
        <v>1102</v>
      </c>
      <c r="N41" s="414">
        <f t="shared" si="4"/>
        <v>1171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0.20614907000000002</v>
      </c>
      <c r="AL41" s="420">
        <f t="shared" si="5"/>
        <v>0.42666127000000004</v>
      </c>
      <c r="AM41" s="420">
        <f t="shared" si="5"/>
        <v>0.64917862000000004</v>
      </c>
      <c r="AN41" s="420">
        <f t="shared" si="5"/>
        <v>0.88148008</v>
      </c>
      <c r="AO41" s="420">
        <f t="shared" si="5"/>
        <v>1.1152455400000001</v>
      </c>
      <c r="AP41" s="420">
        <f t="shared" si="5"/>
        <v>1.3521863500000002</v>
      </c>
      <c r="AQ41" s="420">
        <f t="shared" si="5"/>
        <v>1.6367373500000002</v>
      </c>
      <c r="AR41" s="420">
        <f t="shared" si="5"/>
        <v>1.9061985500000003</v>
      </c>
      <c r="AS41" s="420">
        <f t="shared" si="5"/>
        <v>2.1453335800000004</v>
      </c>
      <c r="AT41" s="420">
        <f t="shared" si="5"/>
        <v>2.3719462400000002</v>
      </c>
      <c r="AU41" s="420">
        <f t="shared" si="5"/>
        <v>2.5993782400000001</v>
      </c>
      <c r="AV41" s="420">
        <f t="shared" si="5"/>
        <v>2.8296587600000001</v>
      </c>
      <c r="AW41" s="158"/>
      <c r="AX41" s="158"/>
      <c r="AY41" s="315" t="s">
        <v>93</v>
      </c>
      <c r="AZ41" s="442">
        <f>+VLOOKUP($A$1,data!$A$133:$BK$163,3)</f>
        <v>29.598458050719863</v>
      </c>
      <c r="BA41" s="442">
        <f>+VLOOKUP($A$1,data!$A$133:$BK$163,4)</f>
        <v>35.387097338479535</v>
      </c>
      <c r="BB41" s="442">
        <f>+VLOOKUP($A$1,data!$A$133:$BK$163,5)</f>
        <v>34.402063948136572</v>
      </c>
      <c r="BC41" s="442">
        <f>+VLOOKUP($A$1,data!$A$133:$BK$163,6)</f>
        <v>33.30230397888387</v>
      </c>
      <c r="BD41" s="442">
        <f>+VLOOKUP($A$1,data!$A$133:$BK$163,7)</f>
        <v>33.236132113799179</v>
      </c>
      <c r="BE41" s="442">
        <f>+VLOOKUP($A$1,data!$A$133:$BK$163,8)</f>
        <v>35.943436657386499</v>
      </c>
      <c r="BF41" s="442">
        <f>+VLOOKUP($A$1,data!$A$133:$BK$163,9)</f>
        <v>28.912138926339349</v>
      </c>
      <c r="BG41" s="442">
        <f>+VLOOKUP($A$1,data!$A$133:$BK$163,10)</f>
        <v>33.043600464862941</v>
      </c>
      <c r="BH41" s="442">
        <f>+VLOOKUP($A$1,data!$A$133:$BK$163,11)</f>
        <v>29.248732337171585</v>
      </c>
      <c r="BI41" s="442">
        <f>+VLOOKUP($A$1,data!$A$133:$BK$163,12)</f>
        <v>27.041576585873429</v>
      </c>
      <c r="BJ41" s="442">
        <f>+VLOOKUP($A$1,data!$A$133:$BK$163,13)</f>
        <v>31.683792401373744</v>
      </c>
      <c r="BK41" s="442">
        <f>+VLOOKUP($A$1,data!$A$133:$BK$163,14)</f>
        <v>31.700408912453</v>
      </c>
      <c r="BL41" s="442">
        <f>+VLOOKUP($A$1,data!$A$133:$BK$163,15)</f>
        <v>33.806142166415029</v>
      </c>
      <c r="BM41" s="442">
        <f>+VLOOKUP($A$1,data!$A$133:$BK$163,16)</f>
        <v>32.356002206180825</v>
      </c>
      <c r="BN41" s="442">
        <f>+VLOOKUP($A$1,data!$A$133:$BK$163,17)</f>
        <v>32.081862583172104</v>
      </c>
      <c r="BO41" s="442">
        <f>+VLOOKUP($A$1,data!$A$133:$BK$163,18)</f>
        <v>31.957856774778538</v>
      </c>
    </row>
    <row r="42" spans="1:67" ht="21.7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471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29.663177011112751</v>
      </c>
      <c r="BA43" s="826">
        <f>+VLOOKUP($A$1,data!$A$133:$BK$163,26)</f>
        <v>38.977037231605053</v>
      </c>
      <c r="BB43" s="473">
        <f>+AZ45-AZ43</f>
        <v>2.294679763665787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28.099971746091541</v>
      </c>
      <c r="BA44" s="830"/>
      <c r="BB44" s="472">
        <f>+AZ45-AZ44</f>
        <v>3.8578850286869972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31.957856774778538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1006</v>
      </c>
      <c r="B47" s="817" t="str">
        <f>+VLOOKUP($A$1,data!$A$4:$AH$32,2,0)</f>
        <v>สันกำแพง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1006</v>
      </c>
      <c r="T47" s="817" t="str">
        <f>+VLOOKUP($A$1,data!$A$4:$AH$32,2,0)</f>
        <v>สันกำแพง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1006</v>
      </c>
      <c r="AJ47" s="817" t="str">
        <f>+VLOOKUP($A$1,data!$A$4:$AH$32,2,0)</f>
        <v>สันกำแพง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4.0074368300000005</v>
      </c>
      <c r="C64" s="632">
        <f>+VLOOKUP($A$1,data!$A$165:$AU$195,36)</f>
        <v>4.0729213799999995</v>
      </c>
      <c r="D64" s="632">
        <f>+VLOOKUP($A$1,data!$A$165:$AU$195,37)</f>
        <v>4.4627544299999995</v>
      </c>
      <c r="E64" s="632">
        <f>+VLOOKUP($A$1,data!$A$165:$AU$195,38)</f>
        <v>4.5249994000000004</v>
      </c>
      <c r="F64" s="632">
        <f>+VLOOKUP($A$1,data!$A$165:$AU$195,39)</f>
        <v>4.3545422699999996</v>
      </c>
      <c r="G64" s="632">
        <f>+VLOOKUP($A$1,data!$A$165:$AU$195,40)</f>
        <v>4.2241194699999998</v>
      </c>
      <c r="H64" s="632">
        <f>+VLOOKUP($A$1,data!$A$165:$AU$195,41)</f>
        <v>4.7157204699999999</v>
      </c>
      <c r="I64" s="632">
        <f>+VLOOKUP($A$1,data!$A$165:$AU$195,42)</f>
        <v>5.444936010000001</v>
      </c>
      <c r="J64" s="632">
        <f>+VLOOKUP($A$1,data!$A$165:$AU$195,43)</f>
        <v>4.8950530700000003</v>
      </c>
      <c r="K64" s="632">
        <f>+VLOOKUP($A$1,data!$A$165:$AU$195,44)</f>
        <v>4.10460811</v>
      </c>
      <c r="L64" s="632">
        <f>+VLOOKUP($A$1,data!$A$165:$AU$195,45)</f>
        <v>4.2122091499999996</v>
      </c>
      <c r="M64" s="632">
        <f>+VLOOKUP($A$1,data!$A$165:$AU$195,46)</f>
        <v>4.4569514100000003</v>
      </c>
      <c r="N64" s="632">
        <f>SUM(B64:M64)</f>
        <v>53.476252000000009</v>
      </c>
      <c r="O64" s="632">
        <f>SUM(B64:M64)</f>
        <v>53.476252000000009</v>
      </c>
      <c r="P64" s="635">
        <f>+O66-O64</f>
        <v>1.2724208899999994</v>
      </c>
      <c r="S64" s="605" t="s">
        <v>92</v>
      </c>
      <c r="T64" s="640">
        <f>+VLOOKUP($A$1,data!$A$197:$AU$227,35)</f>
        <v>1.2778683100000001</v>
      </c>
      <c r="U64" s="640">
        <f>+VLOOKUP($A$1,data!$A$197:$AU$227,36)</f>
        <v>1.2595106899999999</v>
      </c>
      <c r="V64" s="640">
        <f>+VLOOKUP($A$1,data!$A$197:$AU$227,37)</f>
        <v>1.4703663000000002</v>
      </c>
      <c r="W64" s="640">
        <f>+VLOOKUP($A$1,data!$A$197:$AU$227,38)</f>
        <v>1.2595571799999996</v>
      </c>
      <c r="X64" s="640">
        <f>+VLOOKUP($A$1,data!$A$197:$AU$227,39)</f>
        <v>1.2467415599999998</v>
      </c>
      <c r="Y64" s="640">
        <f>+VLOOKUP($A$1,data!$A$197:$AU$227,40)</f>
        <v>1.3604910000000003</v>
      </c>
      <c r="Z64" s="640">
        <f>+VLOOKUP($A$1,data!$A$197:$AU$227,41)</f>
        <v>1.3919225099999997</v>
      </c>
      <c r="AA64" s="640">
        <f>+VLOOKUP($A$1,data!$A$197:$AU$227,42)</f>
        <v>1.2591531499999999</v>
      </c>
      <c r="AB64" s="640">
        <f>+VLOOKUP($A$1,data!$A$197:$AU$227,43)</f>
        <v>1.5448210000000004</v>
      </c>
      <c r="AC64" s="640">
        <f>+VLOOKUP($A$1,data!$A$197:$AU$227,44)</f>
        <v>1.3582965399999998</v>
      </c>
      <c r="AD64" s="640">
        <f>+VLOOKUP($A$1,data!$A$197:$AU$227,45)</f>
        <v>1.3096528399999998</v>
      </c>
      <c r="AE64" s="640">
        <f>+VLOOKUP($A$1,data!$A$197:$AU$227,46)</f>
        <v>1.3770874500000001</v>
      </c>
      <c r="AF64" s="640">
        <f>SUM(T64:AE64)</f>
        <v>16.115468530000001</v>
      </c>
      <c r="AG64" s="640">
        <f>SUM(T64:AE64)</f>
        <v>16.115468530000001</v>
      </c>
      <c r="AH64" s="641">
        <f>+AG66-AG64</f>
        <v>1.1331527000000001</v>
      </c>
      <c r="AI64" s="621" t="s">
        <v>92</v>
      </c>
      <c r="AJ64" s="648">
        <f>+B64-T64</f>
        <v>2.7295685200000004</v>
      </c>
      <c r="AK64" s="648">
        <f t="shared" ref="AK64:AU66" si="7">+C64-U64</f>
        <v>2.8134106899999995</v>
      </c>
      <c r="AL64" s="648">
        <f t="shared" si="7"/>
        <v>2.9923881299999993</v>
      </c>
      <c r="AM64" s="648">
        <f t="shared" si="7"/>
        <v>3.2654422200000006</v>
      </c>
      <c r="AN64" s="648">
        <f t="shared" si="7"/>
        <v>3.1078007099999998</v>
      </c>
      <c r="AO64" s="648">
        <f t="shared" si="7"/>
        <v>2.8636284699999992</v>
      </c>
      <c r="AP64" s="648">
        <f t="shared" si="7"/>
        <v>3.3237979600000003</v>
      </c>
      <c r="AQ64" s="648">
        <f t="shared" si="7"/>
        <v>4.1857828600000015</v>
      </c>
      <c r="AR64" s="648">
        <f t="shared" si="7"/>
        <v>3.3502320699999997</v>
      </c>
      <c r="AS64" s="648">
        <f t="shared" si="7"/>
        <v>2.7463115700000005</v>
      </c>
      <c r="AT64" s="648">
        <f t="shared" si="7"/>
        <v>2.9025563099999996</v>
      </c>
      <c r="AU64" s="648">
        <f t="shared" si="7"/>
        <v>3.07986396</v>
      </c>
      <c r="AV64" s="648">
        <f>SUM(AJ64:AU64)</f>
        <v>37.360783470000001</v>
      </c>
      <c r="AW64" s="648">
        <f>SUM(AJ64:AU64)</f>
        <v>37.360783470000001</v>
      </c>
      <c r="AX64" s="651">
        <f>+AW66-AW64</f>
        <v>0.13926818999999568</v>
      </c>
    </row>
    <row r="65" spans="1:50" ht="21.75" thickBot="1" x14ac:dyDescent="0.4">
      <c r="A65" s="538" t="s">
        <v>94</v>
      </c>
      <c r="B65" s="633">
        <f>+VLOOKUP($A$1,data!$A$165:$AU$195,19)</f>
        <v>4.3868780000000003</v>
      </c>
      <c r="C65" s="633">
        <f>+VLOOKUP($A$1,data!$A$165:$AU$195,20)</f>
        <v>4.5928870000000002</v>
      </c>
      <c r="D65" s="633">
        <f>+VLOOKUP($A$1,data!$A$165:$AU$195,21)</f>
        <v>4.7323230000000001</v>
      </c>
      <c r="E65" s="633">
        <f>+VLOOKUP($A$1,data!$A$165:$AU$195,22)</f>
        <v>4.898695</v>
      </c>
      <c r="F65" s="633">
        <f>+VLOOKUP($A$1,data!$A$165:$AU$195,23)</f>
        <v>5.0104300000000004</v>
      </c>
      <c r="G65" s="633">
        <f>+VLOOKUP($A$1,data!$A$165:$AU$195,24)</f>
        <v>4.754308</v>
      </c>
      <c r="H65" s="633">
        <f>+VLOOKUP($A$1,data!$A$165:$AU$195,25)</f>
        <v>5.300802</v>
      </c>
      <c r="I65" s="633">
        <f>+VLOOKUP($A$1,data!$A$165:$AU$195,26)</f>
        <v>5.7184699999999999</v>
      </c>
      <c r="J65" s="633">
        <f>+VLOOKUP($A$1,data!$A$165:$AU$195,27)</f>
        <v>5.6907719999999999</v>
      </c>
      <c r="K65" s="633">
        <f>+VLOOKUP($A$1,data!$A$165:$AU$195,28)</f>
        <v>4.9597189999999998</v>
      </c>
      <c r="L65" s="633">
        <f>+VLOOKUP($A$1,data!$A$165:$AU$195,29)</f>
        <v>5.9437309999999997</v>
      </c>
      <c r="M65" s="633">
        <f>+VLOOKUP($A$1,data!$A$165:$AU$195,30)</f>
        <v>5.0662050000000001</v>
      </c>
      <c r="N65" s="633">
        <f>SUM(B65:M65)</f>
        <v>61.055219999999991</v>
      </c>
      <c r="O65" s="636">
        <f t="shared" ref="O65:O66" si="8">SUM(B65:M65)</f>
        <v>61.055219999999991</v>
      </c>
      <c r="P65" s="637">
        <f>+O66-O65</f>
        <v>-6.3065471099999826</v>
      </c>
      <c r="S65" s="601" t="s">
        <v>94</v>
      </c>
      <c r="T65" s="642">
        <f>+VLOOKUP($A$1,data!$A$197:$AU$227,19)</f>
        <v>1.2811870000000001</v>
      </c>
      <c r="U65" s="642">
        <f>+VLOOKUP($A$1,data!$A$197:$AU$227,20)</f>
        <v>1.320487</v>
      </c>
      <c r="V65" s="642">
        <f>+VLOOKUP($A$1,data!$A$197:$AU$227,21)</f>
        <v>1.4652890000000001</v>
      </c>
      <c r="W65" s="642">
        <f>+VLOOKUP($A$1,data!$A$197:$AU$227,22)</f>
        <v>1.410541</v>
      </c>
      <c r="X65" s="642">
        <f>+VLOOKUP($A$1,data!$A$197:$AU$227,23)</f>
        <v>1.367097</v>
      </c>
      <c r="Y65" s="642">
        <f>+VLOOKUP($A$1,data!$A$197:$AU$227,24)</f>
        <v>1.5555859999999999</v>
      </c>
      <c r="Z65" s="642">
        <f>+VLOOKUP($A$1,data!$A$197:$AU$227,25)</f>
        <v>1.401124</v>
      </c>
      <c r="AA65" s="642">
        <f>+VLOOKUP($A$1,data!$A$197:$AU$227,26)</f>
        <v>1.3223149999999999</v>
      </c>
      <c r="AB65" s="642">
        <f>+VLOOKUP($A$1,data!$A$197:$AU$227,27)</f>
        <v>1.538969</v>
      </c>
      <c r="AC65" s="642">
        <f>+VLOOKUP($A$1,data!$A$197:$AU$227,28)</f>
        <v>1.375329</v>
      </c>
      <c r="AD65" s="642">
        <f>+VLOOKUP($A$1,data!$A$197:$AU$227,29)</f>
        <v>1.333793</v>
      </c>
      <c r="AE65" s="642">
        <f>+VLOOKUP($A$1,data!$A$197:$AU$227,30)</f>
        <v>1.4734050000000001</v>
      </c>
      <c r="AF65" s="642">
        <f>SUM(T65:AE65)</f>
        <v>16.845122</v>
      </c>
      <c r="AG65" s="643">
        <f t="shared" ref="AG65:AG66" si="9">SUM(T65:AE65)</f>
        <v>16.845122</v>
      </c>
      <c r="AH65" s="644">
        <f>+AG66-AG65</f>
        <v>0.40349923000000132</v>
      </c>
      <c r="AI65" s="617" t="s">
        <v>94</v>
      </c>
      <c r="AJ65" s="649">
        <f>+B65-T65</f>
        <v>3.1056910000000002</v>
      </c>
      <c r="AK65" s="649">
        <f t="shared" si="7"/>
        <v>3.2724000000000002</v>
      </c>
      <c r="AL65" s="649">
        <f t="shared" si="7"/>
        <v>3.2670339999999998</v>
      </c>
      <c r="AM65" s="649">
        <f t="shared" si="7"/>
        <v>3.4881539999999998</v>
      </c>
      <c r="AN65" s="649">
        <f t="shared" si="7"/>
        <v>3.6433330000000002</v>
      </c>
      <c r="AO65" s="649">
        <f t="shared" si="7"/>
        <v>3.1987220000000001</v>
      </c>
      <c r="AP65" s="649">
        <f t="shared" si="7"/>
        <v>3.8996779999999998</v>
      </c>
      <c r="AQ65" s="649">
        <f t="shared" si="7"/>
        <v>4.3961550000000003</v>
      </c>
      <c r="AR65" s="649">
        <f t="shared" si="7"/>
        <v>4.1518030000000001</v>
      </c>
      <c r="AS65" s="649">
        <f t="shared" si="7"/>
        <v>3.58439</v>
      </c>
      <c r="AT65" s="649">
        <f t="shared" si="7"/>
        <v>4.6099379999999996</v>
      </c>
      <c r="AU65" s="649">
        <f t="shared" si="7"/>
        <v>3.5928</v>
      </c>
      <c r="AV65" s="649">
        <f>SUM(AJ65:AU65)</f>
        <v>44.210097999999995</v>
      </c>
      <c r="AW65" s="652">
        <f t="shared" ref="AW65:AW66" si="10">SUM(AJ65:AU65)</f>
        <v>44.210097999999995</v>
      </c>
      <c r="AX65" s="653">
        <f>+AW66-AW65</f>
        <v>-6.7100463399999981</v>
      </c>
    </row>
    <row r="66" spans="1:50" ht="21.75" thickBot="1" x14ac:dyDescent="0.4">
      <c r="A66" s="546" t="s">
        <v>93</v>
      </c>
      <c r="B66" s="634">
        <f>+VLOOKUP($A$1,data!$A$165:$AU$195,3)</f>
        <v>3.9643073100000001</v>
      </c>
      <c r="C66" s="634">
        <f>+VLOOKUP($A$1,data!$A$165:$AU$195,4)</f>
        <v>4.35230753</v>
      </c>
      <c r="D66" s="634">
        <f>+VLOOKUP($A$1,data!$A$165:$AU$195,5)</f>
        <v>4.2131155900000001</v>
      </c>
      <c r="E66" s="634">
        <f>+VLOOKUP($A$1,data!$A$165:$AU$195,6)</f>
        <v>4.3829694799999999</v>
      </c>
      <c r="F66" s="634">
        <f>+VLOOKUP($A$1,data!$A$165:$AU$195,7)</f>
        <v>4.52927985</v>
      </c>
      <c r="G66" s="634">
        <f>+VLOOKUP($A$1,data!$A$165:$AU$195,8)</f>
        <v>4.7923840699999998</v>
      </c>
      <c r="H66" s="634">
        <f>+VLOOKUP($A$1,data!$A$165:$AU$195,9)</f>
        <v>5.2842623200000007</v>
      </c>
      <c r="I66" s="634">
        <f>+VLOOKUP($A$1,data!$A$165:$AU$195,10)</f>
        <v>5.197847069999999</v>
      </c>
      <c r="J66" s="634">
        <f>+VLOOKUP($A$1,data!$A$165:$AU$195,11)</f>
        <v>4.6310531999999993</v>
      </c>
      <c r="K66" s="634">
        <f>+VLOOKUP($A$1,data!$A$165:$AU$195,12)</f>
        <v>4.4721192900000011</v>
      </c>
      <c r="L66" s="634">
        <f>+VLOOKUP($A$1,data!$A$165:$AU$195,13)</f>
        <v>4.4510568800000003</v>
      </c>
      <c r="M66" s="634">
        <f>+VLOOKUP($A$1,data!$A$165:$AU$195,14)</f>
        <v>4.4779702999999991</v>
      </c>
      <c r="N66" s="634">
        <f>SUM(B66:M66)</f>
        <v>54.748672890000009</v>
      </c>
      <c r="O66" s="638">
        <f t="shared" si="8"/>
        <v>54.748672890000009</v>
      </c>
      <c r="P66" s="639"/>
      <c r="S66" s="608" t="s">
        <v>93</v>
      </c>
      <c r="T66" s="645">
        <f>+VLOOKUP($A$1,data!$A$197:$AU$227,3)</f>
        <v>1.2972782499999997</v>
      </c>
      <c r="U66" s="645">
        <f>+VLOOKUP($A$1,data!$A$197:$AU$227,4)</f>
        <v>1.3633937199999999</v>
      </c>
      <c r="V66" s="645">
        <f>+VLOOKUP($A$1,data!$A$197:$AU$227,5)</f>
        <v>1.44056257</v>
      </c>
      <c r="W66" s="645">
        <f>+VLOOKUP($A$1,data!$A$197:$AU$227,6)</f>
        <v>1.1626661999999999</v>
      </c>
      <c r="X66" s="645">
        <f>+VLOOKUP($A$1,data!$A$197:$AU$227,7)</f>
        <v>1.3532009599999999</v>
      </c>
      <c r="Y66" s="645">
        <f>+VLOOKUP($A$1,data!$A$197:$AU$227,8)</f>
        <v>1.4895768400000002</v>
      </c>
      <c r="Z66" s="645">
        <f>+VLOOKUP($A$1,data!$A$197:$AU$227,9)</f>
        <v>1.4305403800000001</v>
      </c>
      <c r="AA66" s="645">
        <f>+VLOOKUP($A$1,data!$A$197:$AU$227,10)</f>
        <v>1.5020715500000001</v>
      </c>
      <c r="AB66" s="645">
        <f>+VLOOKUP($A$1,data!$A$197:$AU$227,11)</f>
        <v>1.5213069299999999</v>
      </c>
      <c r="AC66" s="645">
        <f>+VLOOKUP($A$1,data!$A$197:$AU$227,12)</f>
        <v>1.6097509399999999</v>
      </c>
      <c r="AD66" s="645">
        <f>+VLOOKUP($A$1,data!$A$197:$AU$227,13)</f>
        <v>1.4416112399999998</v>
      </c>
      <c r="AE66" s="645">
        <f>+VLOOKUP($A$1,data!$A$197:$AU$227,14)</f>
        <v>1.6366616500000004</v>
      </c>
      <c r="AF66" s="645">
        <f>SUM(T66:AE66)</f>
        <v>17.248621230000001</v>
      </c>
      <c r="AG66" s="646">
        <f t="shared" si="9"/>
        <v>17.248621230000001</v>
      </c>
      <c r="AH66" s="647"/>
      <c r="AI66" s="624" t="s">
        <v>93</v>
      </c>
      <c r="AJ66" s="650">
        <f>+B66-T66</f>
        <v>2.6670290600000004</v>
      </c>
      <c r="AK66" s="650">
        <f t="shared" si="7"/>
        <v>2.9889138100000001</v>
      </c>
      <c r="AL66" s="650">
        <f t="shared" si="7"/>
        <v>2.7725530200000001</v>
      </c>
      <c r="AM66" s="650">
        <f t="shared" si="7"/>
        <v>3.22030328</v>
      </c>
      <c r="AN66" s="650">
        <f t="shared" si="7"/>
        <v>3.1760788900000003</v>
      </c>
      <c r="AO66" s="650">
        <f t="shared" si="7"/>
        <v>3.3028072299999995</v>
      </c>
      <c r="AP66" s="650">
        <f t="shared" si="7"/>
        <v>3.8537219400000007</v>
      </c>
      <c r="AQ66" s="650">
        <f t="shared" si="7"/>
        <v>3.6957755199999989</v>
      </c>
      <c r="AR66" s="650">
        <f t="shared" si="7"/>
        <v>3.1097462699999996</v>
      </c>
      <c r="AS66" s="650">
        <f>+K66-AC66</f>
        <v>2.8623683500000014</v>
      </c>
      <c r="AT66" s="650">
        <f>+L66-AD66</f>
        <v>3.0094456400000005</v>
      </c>
      <c r="AU66" s="650">
        <f>+M66-AE66</f>
        <v>2.8413086499999984</v>
      </c>
      <c r="AV66" s="650">
        <f>SUM(AJ66:AU66)</f>
        <v>37.500051659999997</v>
      </c>
      <c r="AW66" s="654">
        <f t="shared" si="10"/>
        <v>37.500051659999997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4.0074368300000005</v>
      </c>
      <c r="D85" s="628">
        <f t="shared" ref="D85:N87" si="11">+C85+C64</f>
        <v>8.08035821</v>
      </c>
      <c r="E85" s="628">
        <f t="shared" si="11"/>
        <v>12.54311264</v>
      </c>
      <c r="F85" s="628">
        <f t="shared" si="11"/>
        <v>17.068112040000003</v>
      </c>
      <c r="G85" s="628">
        <f t="shared" si="11"/>
        <v>21.422654310000002</v>
      </c>
      <c r="H85" s="628">
        <f t="shared" si="11"/>
        <v>25.646773780000004</v>
      </c>
      <c r="I85" s="628">
        <f t="shared" si="11"/>
        <v>30.362494250000005</v>
      </c>
      <c r="J85" s="628">
        <f t="shared" si="11"/>
        <v>35.807430260000004</v>
      </c>
      <c r="K85" s="628">
        <f t="shared" si="11"/>
        <v>40.702483330000007</v>
      </c>
      <c r="L85" s="628">
        <f t="shared" si="11"/>
        <v>44.807091440000008</v>
      </c>
      <c r="M85" s="628">
        <f t="shared" si="11"/>
        <v>49.019300590000007</v>
      </c>
      <c r="N85" s="628">
        <f t="shared" si="11"/>
        <v>53.476252000000009</v>
      </c>
      <c r="S85"/>
      <c r="T85" s="605" t="s">
        <v>92</v>
      </c>
      <c r="U85" s="640">
        <f>+T64</f>
        <v>1.2778683100000001</v>
      </c>
      <c r="V85" s="640">
        <f t="shared" ref="V85:AF87" si="12">+U85+U64</f>
        <v>2.5373790000000001</v>
      </c>
      <c r="W85" s="640">
        <f t="shared" si="12"/>
        <v>4.0077452999999998</v>
      </c>
      <c r="X85" s="640">
        <f t="shared" si="12"/>
        <v>5.2673024799999997</v>
      </c>
      <c r="Y85" s="640">
        <f t="shared" si="12"/>
        <v>6.5140440399999999</v>
      </c>
      <c r="Z85" s="640">
        <f t="shared" si="12"/>
        <v>7.8745350400000005</v>
      </c>
      <c r="AA85" s="640">
        <f t="shared" si="12"/>
        <v>9.2664575500000002</v>
      </c>
      <c r="AB85" s="640">
        <f t="shared" si="12"/>
        <v>10.5256107</v>
      </c>
      <c r="AC85" s="640">
        <f t="shared" si="12"/>
        <v>12.0704317</v>
      </c>
      <c r="AD85" s="640">
        <f t="shared" si="12"/>
        <v>13.42872824</v>
      </c>
      <c r="AE85" s="640">
        <f t="shared" si="12"/>
        <v>14.73838108</v>
      </c>
      <c r="AF85" s="640">
        <f t="shared" si="12"/>
        <v>16.115468530000001</v>
      </c>
      <c r="AG85" s="158"/>
      <c r="AH85" s="158"/>
      <c r="AI85"/>
      <c r="AJ85" s="621" t="s">
        <v>92</v>
      </c>
      <c r="AK85" s="648">
        <f>+AJ64</f>
        <v>2.7295685200000004</v>
      </c>
      <c r="AL85" s="648">
        <f t="shared" ref="AL85:AV87" si="13">+AK85+AK64</f>
        <v>5.5429792100000004</v>
      </c>
      <c r="AM85" s="648">
        <f t="shared" si="13"/>
        <v>8.5353673400000005</v>
      </c>
      <c r="AN85" s="648">
        <f t="shared" si="13"/>
        <v>11.800809560000001</v>
      </c>
      <c r="AO85" s="648">
        <f t="shared" si="13"/>
        <v>14.90861027</v>
      </c>
      <c r="AP85" s="648">
        <f t="shared" si="13"/>
        <v>17.772238739999999</v>
      </c>
      <c r="AQ85" s="648">
        <f t="shared" si="13"/>
        <v>21.096036699999999</v>
      </c>
      <c r="AR85" s="648">
        <f t="shared" si="13"/>
        <v>25.281819560000002</v>
      </c>
      <c r="AS85" s="648">
        <f t="shared" si="13"/>
        <v>28.632051630000003</v>
      </c>
      <c r="AT85" s="648">
        <f t="shared" si="13"/>
        <v>31.378363200000003</v>
      </c>
      <c r="AU85" s="648">
        <f t="shared" si="13"/>
        <v>34.280919510000004</v>
      </c>
      <c r="AV85" s="648">
        <f t="shared" si="13"/>
        <v>37.360783470000001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4.3868780000000003</v>
      </c>
      <c r="D86" s="633">
        <f t="shared" si="11"/>
        <v>8.9797650000000004</v>
      </c>
      <c r="E86" s="633">
        <f t="shared" si="11"/>
        <v>13.712088000000001</v>
      </c>
      <c r="F86" s="633">
        <f t="shared" si="11"/>
        <v>18.610783000000001</v>
      </c>
      <c r="G86" s="633">
        <f t="shared" si="11"/>
        <v>23.621213000000001</v>
      </c>
      <c r="H86" s="633">
        <f t="shared" si="11"/>
        <v>28.375520999999999</v>
      </c>
      <c r="I86" s="633">
        <f t="shared" si="11"/>
        <v>33.676322999999996</v>
      </c>
      <c r="J86" s="633">
        <f t="shared" si="11"/>
        <v>39.394792999999993</v>
      </c>
      <c r="K86" s="633">
        <f t="shared" si="11"/>
        <v>45.085564999999995</v>
      </c>
      <c r="L86" s="633">
        <f t="shared" si="11"/>
        <v>50.045283999999995</v>
      </c>
      <c r="M86" s="633">
        <f t="shared" si="11"/>
        <v>55.989014999999995</v>
      </c>
      <c r="N86" s="633">
        <f t="shared" si="11"/>
        <v>61.055219999999991</v>
      </c>
      <c r="S86"/>
      <c r="T86" s="601" t="s">
        <v>94</v>
      </c>
      <c r="U86" s="642">
        <f>+T65</f>
        <v>1.2811870000000001</v>
      </c>
      <c r="V86" s="642">
        <f t="shared" si="12"/>
        <v>2.601674</v>
      </c>
      <c r="W86" s="642">
        <f t="shared" si="12"/>
        <v>4.0669630000000003</v>
      </c>
      <c r="X86" s="642">
        <f t="shared" si="12"/>
        <v>5.4775040000000006</v>
      </c>
      <c r="Y86" s="642">
        <f t="shared" si="12"/>
        <v>6.8446010000000008</v>
      </c>
      <c r="Z86" s="642">
        <f t="shared" si="12"/>
        <v>8.4001870000000007</v>
      </c>
      <c r="AA86" s="642">
        <f t="shared" si="12"/>
        <v>9.8013110000000001</v>
      </c>
      <c r="AB86" s="642">
        <f t="shared" si="12"/>
        <v>11.123626</v>
      </c>
      <c r="AC86" s="642">
        <f t="shared" si="12"/>
        <v>12.662595</v>
      </c>
      <c r="AD86" s="642">
        <f t="shared" si="12"/>
        <v>14.037924</v>
      </c>
      <c r="AE86" s="642">
        <f t="shared" si="12"/>
        <v>15.371717</v>
      </c>
      <c r="AF86" s="642">
        <f t="shared" si="12"/>
        <v>16.845122</v>
      </c>
      <c r="AG86" s="158"/>
      <c r="AH86" s="158"/>
      <c r="AI86"/>
      <c r="AJ86" s="617" t="s">
        <v>94</v>
      </c>
      <c r="AK86" s="649">
        <f>+AJ65</f>
        <v>3.1056910000000002</v>
      </c>
      <c r="AL86" s="649">
        <f t="shared" si="13"/>
        <v>6.3780910000000004</v>
      </c>
      <c r="AM86" s="649">
        <f t="shared" si="13"/>
        <v>9.6451250000000002</v>
      </c>
      <c r="AN86" s="649">
        <f t="shared" si="13"/>
        <v>13.133279</v>
      </c>
      <c r="AO86" s="649">
        <f t="shared" si="13"/>
        <v>16.776612</v>
      </c>
      <c r="AP86" s="649">
        <f t="shared" si="13"/>
        <v>19.975334</v>
      </c>
      <c r="AQ86" s="649">
        <f t="shared" si="13"/>
        <v>23.875011999999998</v>
      </c>
      <c r="AR86" s="649">
        <f t="shared" si="13"/>
        <v>28.271166999999998</v>
      </c>
      <c r="AS86" s="649">
        <f t="shared" si="13"/>
        <v>32.422969999999999</v>
      </c>
      <c r="AT86" s="649">
        <f t="shared" si="13"/>
        <v>36.007359999999998</v>
      </c>
      <c r="AU86" s="649">
        <f t="shared" si="13"/>
        <v>40.617297999999998</v>
      </c>
      <c r="AV86" s="649">
        <f t="shared" si="13"/>
        <v>44.210097999999995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3.9643073100000001</v>
      </c>
      <c r="D87" s="629">
        <f t="shared" si="11"/>
        <v>8.3166148399999997</v>
      </c>
      <c r="E87" s="629">
        <f t="shared" si="11"/>
        <v>12.529730430000001</v>
      </c>
      <c r="F87" s="629">
        <f t="shared" si="11"/>
        <v>16.912699910000001</v>
      </c>
      <c r="G87" s="629">
        <f t="shared" si="11"/>
        <v>21.441979760000002</v>
      </c>
      <c r="H87" s="629">
        <f t="shared" si="11"/>
        <v>26.234363830000003</v>
      </c>
      <c r="I87" s="629">
        <f t="shared" si="11"/>
        <v>31.518626150000003</v>
      </c>
      <c r="J87" s="629">
        <f t="shared" si="11"/>
        <v>36.716473220000005</v>
      </c>
      <c r="K87" s="629">
        <f t="shared" si="11"/>
        <v>41.347526420000001</v>
      </c>
      <c r="L87" s="629">
        <f t="shared" si="11"/>
        <v>45.819645710000003</v>
      </c>
      <c r="M87" s="629">
        <f t="shared" si="11"/>
        <v>50.270702590000006</v>
      </c>
      <c r="N87" s="629">
        <f t="shared" si="11"/>
        <v>54.748672890000009</v>
      </c>
      <c r="S87"/>
      <c r="T87" s="608" t="s">
        <v>93</v>
      </c>
      <c r="U87" s="645">
        <f>+T66</f>
        <v>1.2972782499999997</v>
      </c>
      <c r="V87" s="645">
        <f t="shared" si="12"/>
        <v>2.6606719699999997</v>
      </c>
      <c r="W87" s="645">
        <f t="shared" si="12"/>
        <v>4.1012345400000001</v>
      </c>
      <c r="X87" s="645">
        <f t="shared" si="12"/>
        <v>5.2639007400000004</v>
      </c>
      <c r="Y87" s="645">
        <f t="shared" si="12"/>
        <v>6.6171017000000001</v>
      </c>
      <c r="Z87" s="645">
        <f t="shared" si="12"/>
        <v>8.1066785400000008</v>
      </c>
      <c r="AA87" s="645">
        <f t="shared" si="12"/>
        <v>9.5372189200000008</v>
      </c>
      <c r="AB87" s="645">
        <f t="shared" si="12"/>
        <v>11.039290470000001</v>
      </c>
      <c r="AC87" s="645">
        <f t="shared" si="12"/>
        <v>12.560597400000001</v>
      </c>
      <c r="AD87" s="645">
        <f t="shared" si="12"/>
        <v>14.17034834</v>
      </c>
      <c r="AE87" s="645">
        <f t="shared" si="12"/>
        <v>15.611959580000001</v>
      </c>
      <c r="AF87" s="645">
        <f t="shared" si="12"/>
        <v>17.248621230000001</v>
      </c>
      <c r="AG87" s="158"/>
      <c r="AH87" s="158"/>
      <c r="AI87"/>
      <c r="AJ87" s="624" t="s">
        <v>93</v>
      </c>
      <c r="AK87" s="650">
        <f>+AJ66</f>
        <v>2.6670290600000004</v>
      </c>
      <c r="AL87" s="650">
        <f t="shared" si="13"/>
        <v>5.6559428700000005</v>
      </c>
      <c r="AM87" s="650">
        <f t="shared" si="13"/>
        <v>8.4284958900000007</v>
      </c>
      <c r="AN87" s="650">
        <f t="shared" si="13"/>
        <v>11.64879917</v>
      </c>
      <c r="AO87" s="650">
        <f t="shared" si="13"/>
        <v>14.82487806</v>
      </c>
      <c r="AP87" s="650">
        <f t="shared" si="13"/>
        <v>18.127685289999999</v>
      </c>
      <c r="AQ87" s="650">
        <f t="shared" si="13"/>
        <v>21.981407229999999</v>
      </c>
      <c r="AR87" s="650">
        <f t="shared" si="13"/>
        <v>25.677182749999997</v>
      </c>
      <c r="AS87" s="650">
        <f t="shared" si="13"/>
        <v>28.786929019999995</v>
      </c>
      <c r="AT87" s="650">
        <f t="shared" si="13"/>
        <v>31.649297369999996</v>
      </c>
      <c r="AU87" s="650">
        <f t="shared" si="13"/>
        <v>34.658743009999995</v>
      </c>
      <c r="AV87" s="650">
        <f t="shared" si="13"/>
        <v>37.500051659999997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AN16:AN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BG16:BG17"/>
    <mergeCell ref="BH16:BH17"/>
    <mergeCell ref="BI16:BI17"/>
    <mergeCell ref="AS16:AS17"/>
    <mergeCell ref="AT16:AT17"/>
    <mergeCell ref="AU16:AU17"/>
    <mergeCell ref="AV16:AV17"/>
    <mergeCell ref="AY16:AY17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G37:G38"/>
    <mergeCell ref="AM16:AM17"/>
    <mergeCell ref="AM37:AM38"/>
    <mergeCell ref="J16:J17"/>
    <mergeCell ref="K16:K17"/>
    <mergeCell ref="AZ16:AZ17"/>
    <mergeCell ref="BA16:BA17"/>
    <mergeCell ref="BC16:BC17"/>
    <mergeCell ref="BD16:BD17"/>
    <mergeCell ref="BE16:BE17"/>
    <mergeCell ref="BF16:BF17"/>
    <mergeCell ref="BB16:BB17"/>
    <mergeCell ref="AN37:AN38"/>
    <mergeCell ref="H37:H38"/>
    <mergeCell ref="I37:I38"/>
    <mergeCell ref="J37:J38"/>
    <mergeCell ref="K37:K38"/>
    <mergeCell ref="L37:L38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S62:S63"/>
    <mergeCell ref="T62:T63"/>
    <mergeCell ref="AU62:AU63"/>
    <mergeCell ref="AV62:AV63"/>
    <mergeCell ref="Z62:Z63"/>
    <mergeCell ref="AA62:AA63"/>
    <mergeCell ref="AB62:AB63"/>
    <mergeCell ref="B83:B84"/>
    <mergeCell ref="C83:C84"/>
    <mergeCell ref="D83:D84"/>
    <mergeCell ref="E83:E84"/>
    <mergeCell ref="F83:F84"/>
    <mergeCell ref="G83:G84"/>
    <mergeCell ref="H83:H84"/>
    <mergeCell ref="I83:I84"/>
    <mergeCell ref="AT62:AT63"/>
    <mergeCell ref="AP62:AP63"/>
    <mergeCell ref="AQ62:AQ63"/>
    <mergeCell ref="AR62:AR63"/>
    <mergeCell ref="AS62:AS63"/>
    <mergeCell ref="W62:W63"/>
    <mergeCell ref="X62:X63"/>
    <mergeCell ref="Y62:Y63"/>
    <mergeCell ref="AN62:AN63"/>
    <mergeCell ref="AO62:AO63"/>
    <mergeCell ref="AF62:AF63"/>
    <mergeCell ref="AI62:AI63"/>
    <mergeCell ref="AJ62:AJ63"/>
    <mergeCell ref="AK62:AK63"/>
    <mergeCell ref="AL62:AL63"/>
    <mergeCell ref="AM62:AM63"/>
    <mergeCell ref="J83:J84"/>
    <mergeCell ref="K83:K84"/>
    <mergeCell ref="L83:L84"/>
    <mergeCell ref="M83:M84"/>
    <mergeCell ref="N83:N84"/>
    <mergeCell ref="AB83:AB84"/>
    <mergeCell ref="Z83:Z84"/>
    <mergeCell ref="AA83:AA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C62:AC63"/>
    <mergeCell ref="AD62:AD63"/>
    <mergeCell ref="AE62:AE63"/>
    <mergeCell ref="AC83:AC84"/>
    <mergeCell ref="AD83:AD84"/>
    <mergeCell ref="AE83:AE84"/>
    <mergeCell ref="AF83:AF84"/>
    <mergeCell ref="AL83:AL84"/>
    <mergeCell ref="AM83:AM84"/>
    <mergeCell ref="AN83:AN84"/>
    <mergeCell ref="T21:U21"/>
    <mergeCell ref="T22:U22"/>
    <mergeCell ref="T23:U23"/>
    <mergeCell ref="T1:AD1"/>
    <mergeCell ref="AE1:AH1"/>
    <mergeCell ref="T19:U20"/>
    <mergeCell ref="V19:W19"/>
    <mergeCell ref="X19:Y19"/>
    <mergeCell ref="Z19:AA19"/>
    <mergeCell ref="AB19:AC19"/>
    <mergeCell ref="AD19:AE19"/>
    <mergeCell ref="AJ83:AJ84"/>
    <mergeCell ref="AK83:AK84"/>
    <mergeCell ref="U62:U63"/>
    <mergeCell ref="V62:V63"/>
  </mergeCells>
  <conditionalFormatting sqref="P21:R22 Q18:R20">
    <cfRule type="cellIs" dxfId="377" priority="15" operator="lessThan">
      <formula>0</formula>
    </cfRule>
  </conditionalFormatting>
  <conditionalFormatting sqref="O41">
    <cfRule type="cellIs" dxfId="376" priority="14" operator="lessThan">
      <formula>0</formula>
    </cfRule>
  </conditionalFormatting>
  <conditionalFormatting sqref="AX18:AX22">
    <cfRule type="cellIs" dxfId="375" priority="13" operator="lessThan">
      <formula>0</formula>
    </cfRule>
  </conditionalFormatting>
  <conditionalFormatting sqref="BN21:BN22">
    <cfRule type="cellIs" dxfId="374" priority="12" operator="lessThan">
      <formula>0</formula>
    </cfRule>
  </conditionalFormatting>
  <conditionalFormatting sqref="BB43:BB46">
    <cfRule type="cellIs" dxfId="373" priority="11" operator="greaterThan">
      <formula>0</formula>
    </cfRule>
  </conditionalFormatting>
  <conditionalFormatting sqref="AX18:AX20">
    <cfRule type="cellIs" dxfId="372" priority="10" operator="lessThan">
      <formula>0</formula>
    </cfRule>
  </conditionalFormatting>
  <conditionalFormatting sqref="BN18:BN20">
    <cfRule type="cellIs" dxfId="371" priority="9" operator="greaterThan">
      <formula>0</formula>
    </cfRule>
  </conditionalFormatting>
  <conditionalFormatting sqref="P18:P20">
    <cfRule type="cellIs" dxfId="370" priority="8" operator="lessThan">
      <formula>0</formula>
    </cfRule>
  </conditionalFormatting>
  <conditionalFormatting sqref="P67:P68">
    <cfRule type="cellIs" dxfId="369" priority="7" operator="lessThan">
      <formula>0</formula>
    </cfRule>
  </conditionalFormatting>
  <conditionalFormatting sqref="P64:P66">
    <cfRule type="cellIs" dxfId="368" priority="6" operator="lessThan">
      <formula>0</formula>
    </cfRule>
  </conditionalFormatting>
  <conditionalFormatting sqref="AH67:AH68">
    <cfRule type="cellIs" dxfId="367" priority="5" operator="lessThan">
      <formula>0</formula>
    </cfRule>
  </conditionalFormatting>
  <conditionalFormatting sqref="AH64:AH66">
    <cfRule type="cellIs" dxfId="366" priority="4" operator="greaterThan">
      <formula>0</formula>
    </cfRule>
  </conditionalFormatting>
  <conditionalFormatting sqref="AX67:AX68">
    <cfRule type="cellIs" dxfId="365" priority="3" operator="lessThan">
      <formula>0</formula>
    </cfRule>
  </conditionalFormatting>
  <conditionalFormatting sqref="AX64:AX66">
    <cfRule type="cellIs" dxfId="364" priority="2" operator="lessThan">
      <formula>0</formula>
    </cfRule>
  </conditionalFormatting>
  <conditionalFormatting sqref="S24:AH24 S21:T23 V21:AH23">
    <cfRule type="cellIs" dxfId="363" priority="1" operator="lessThan">
      <formula>0</formula>
    </cfRule>
  </conditionalFormatting>
  <pageMargins left="0.39370078740157483" right="0.19685039370078741" top="0.74803149606299213" bottom="0.32" header="0.31496062992125984" footer="0.31496062992125984"/>
  <pageSetup paperSize="9" scale="80" pageOrder="overThenDown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1007</v>
      </c>
      <c r="B3" s="807" t="str">
        <f>+VLOOKUP($A3,data!$A$4:$AH$32,2,0)</f>
        <v>แม่ริม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16611</v>
      </c>
      <c r="C9" s="180">
        <f>+VLOOKUP($A$3,data!$A$4:$AH$32,8,0)/10^6</f>
        <v>2.9054709999999999</v>
      </c>
      <c r="D9" s="181">
        <f>+VLOOKUP($A$3,data!$A$4:$AH$32,9,0)</f>
        <v>0.49155208846164905</v>
      </c>
      <c r="E9" s="180">
        <f>+VLOOKUP($A$3,data!$A$4:$AH$32,10,0)/10^6</f>
        <v>39.092777030000001</v>
      </c>
      <c r="F9" s="182">
        <f>+E9/C9</f>
        <v>13.454884605628486</v>
      </c>
      <c r="G9" s="179">
        <f>+VLOOKUP($A$3,data!$A$4:$AH$32,23,0)</f>
        <v>17495</v>
      </c>
      <c r="H9" s="180">
        <f>+VLOOKUP($A$3,data!$A$4:$AH$32,24,0)/10^6</f>
        <v>3.0042049999999998</v>
      </c>
      <c r="I9" s="181">
        <f>+VLOOKUP($A$3,data!$A$4:$AH$32,25,0)</f>
        <v>0.48265399813153026</v>
      </c>
      <c r="J9" s="180">
        <f>+VLOOKUP($A$3,data!$A$4:$AH$32,26,0)/10^6</f>
        <v>40.213662490000004</v>
      </c>
      <c r="K9" s="182">
        <f>+J9/H9</f>
        <v>13.385791745237094</v>
      </c>
    </row>
    <row r="10" spans="1:12" ht="26.25" x14ac:dyDescent="0.4">
      <c r="A10" s="187" t="s">
        <v>4</v>
      </c>
      <c r="B10" s="189">
        <f>+B9/B20</f>
        <v>0.88568381764862703</v>
      </c>
      <c r="C10" s="190"/>
      <c r="D10" s="190"/>
      <c r="E10" s="190"/>
      <c r="F10" s="191"/>
      <c r="G10" s="189">
        <f>+G9/G20</f>
        <v>0.8879809156430819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1595</v>
      </c>
      <c r="C13" s="180">
        <f>+VLOOKUP($A$3,data!$A$4:$AH$32,12,0)/10^6</f>
        <v>1.3899429999999999</v>
      </c>
      <c r="D13" s="181">
        <f>+VLOOKUP($A$3,data!$A$4:$AH$32,13,0)</f>
        <v>2.5548896435415163</v>
      </c>
      <c r="E13" s="180">
        <f>+VLOOKUP($A$3,data!$A$4:$AH$32,14,0)/10^6</f>
        <v>31.28044629</v>
      </c>
      <c r="F13" s="182">
        <f>+E13/C13</f>
        <v>22.504841054633179</v>
      </c>
      <c r="G13" s="179">
        <f>+VLOOKUP($A$3,data!$A$4:$AH$32,27,0)</f>
        <v>1653</v>
      </c>
      <c r="H13" s="180">
        <f>+VLOOKUP($A$3,data!$A$4:$AH$32,28,0)/10^6</f>
        <v>1.4589909999999999</v>
      </c>
      <c r="I13" s="181">
        <f>+VLOOKUP($A$3,data!$A$4:$AH$32,29,0)</f>
        <v>2.4613519805654902</v>
      </c>
      <c r="J13" s="180">
        <f>+VLOOKUP($A$3,data!$A$4:$AH$32,30,0)/10^6</f>
        <v>33.01107786</v>
      </c>
      <c r="K13" s="182">
        <f>+J13/H13</f>
        <v>22.625964012115222</v>
      </c>
    </row>
    <row r="14" spans="1:12" ht="26.25" x14ac:dyDescent="0.4">
      <c r="A14" s="187" t="s">
        <v>29</v>
      </c>
      <c r="B14" s="189">
        <f>+B13/B20</f>
        <v>8.5043988269794715E-2</v>
      </c>
      <c r="C14" s="190"/>
      <c r="D14" s="190"/>
      <c r="E14" s="190"/>
      <c r="F14" s="191"/>
      <c r="G14" s="189">
        <f>+G13/G20</f>
        <v>8.390011166379048E-2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549</v>
      </c>
      <c r="C17" s="180">
        <f>+VLOOKUP($A$3,data!$A$4:$AH$32,16,0)/10^6</f>
        <v>0.67452900000000005</v>
      </c>
      <c r="D17" s="181">
        <f>+VLOOKUP($A$3,data!$A$4:$AH$32,17,0)</f>
        <v>3.4574829888386276</v>
      </c>
      <c r="E17" s="180">
        <f>+VLOOKUP($A$3,data!$A$4:$AH$32,18,0)/10^6</f>
        <v>18.890034699999998</v>
      </c>
      <c r="F17" s="182">
        <f>+E17/C17</f>
        <v>28.004777704146147</v>
      </c>
      <c r="G17" s="179">
        <f>+VLOOKUP($A$3,data!$A$4:$AH$32,31,0)</f>
        <v>554</v>
      </c>
      <c r="H17" s="180">
        <f>+VLOOKUP($A$3,data!$A$4:$AH$32,32,0)/10^6</f>
        <v>0.70253399999999999</v>
      </c>
      <c r="I17" s="181">
        <f>+VLOOKUP($A$3,data!$A$4:$AH$32,33,0)</f>
        <v>3.4900284404923059</v>
      </c>
      <c r="J17" s="180">
        <f>+VLOOKUP($A$3,data!$A$4:$AH$32,34,0)/10^6</f>
        <v>19.895773980000001</v>
      </c>
      <c r="K17" s="182">
        <f>+J17/H17</f>
        <v>28.320015799947051</v>
      </c>
    </row>
    <row r="18" spans="1:11" ht="26.25" x14ac:dyDescent="0.4">
      <c r="A18" s="187" t="s">
        <v>30</v>
      </c>
      <c r="B18" s="189">
        <f>+B17/B20</f>
        <v>2.9272194081578246E-2</v>
      </c>
      <c r="C18" s="190"/>
      <c r="D18" s="190"/>
      <c r="E18" s="190"/>
      <c r="F18" s="191"/>
      <c r="G18" s="189">
        <f>+G17/G20</f>
        <v>2.8118972693127603E-2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18755</v>
      </c>
      <c r="C20" s="180">
        <f>+VLOOKUP($A$3,data!$A$4:$AH$32,4,0)/10^6</f>
        <v>4.9699429999999998</v>
      </c>
      <c r="D20" s="181">
        <f>+VLOOKUP($A$3,data!$A$4:$AH$32,5,0)</f>
        <v>0.7473671547165498</v>
      </c>
      <c r="E20" s="180">
        <f>+VLOOKUP($A$3,data!$A$4:$AH$32,6,0)/10^6</f>
        <v>89.263267020000015</v>
      </c>
      <c r="F20" s="182">
        <f>+E20/C20</f>
        <v>17.960621886407957</v>
      </c>
      <c r="G20" s="179">
        <f>+VLOOKUP($A$3,data!$A$4:$AH$32,19,0)</f>
        <v>19702</v>
      </c>
      <c r="H20" s="180">
        <f>+VLOOKUP($A$3,data!$A$4:$AH$32,20,0)/10^6</f>
        <v>5.1657299999999999</v>
      </c>
      <c r="I20" s="181">
        <f>+VLOOKUP($A$3,data!$A$4:$AH$32,21,0)</f>
        <v>0.73602646756152845</v>
      </c>
      <c r="J20" s="180">
        <f>+VLOOKUP($A$3,data!$A$4:$AH$32,22,0)/10^6</f>
        <v>93.120514329999978</v>
      </c>
      <c r="K20" s="182">
        <f>+J20/H20</f>
        <v>18.026593401126263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แม่ริม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view="pageLayout" topLeftCell="AC1" zoomScale="70" zoomScaleNormal="100" zoomScalePageLayoutView="70" workbookViewId="0"/>
  </sheetViews>
  <sheetFormatPr defaultRowHeight="21" x14ac:dyDescent="0.35"/>
  <cols>
    <col min="1" max="1" width="9" style="158" bestFit="1" customWidth="1"/>
    <col min="2" max="2" width="6.75" style="158" bestFit="1" customWidth="1"/>
    <col min="3" max="3" width="6" style="158" bestFit="1" customWidth="1"/>
    <col min="4" max="5" width="6.75" style="158" bestFit="1" customWidth="1"/>
    <col min="6" max="7" width="6.875" style="158" bestFit="1" customWidth="1"/>
    <col min="8" max="8" width="7" style="158" bestFit="1" customWidth="1"/>
    <col min="9" max="10" width="6.75" style="158" bestFit="1" customWidth="1"/>
    <col min="11" max="12" width="6.875" style="158" bestFit="1" customWidth="1"/>
    <col min="13" max="13" width="7.75" style="158" bestFit="1" customWidth="1"/>
    <col min="14" max="14" width="7.8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2.375" style="299" customWidth="1"/>
    <col min="19" max="19" width="10.625" style="158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3.375" style="158" customWidth="1"/>
    <col min="36" max="40" width="7" style="158" customWidth="1"/>
    <col min="41" max="46" width="7" customWidth="1"/>
    <col min="47" max="47" width="6.75" bestFit="1" customWidth="1"/>
    <col min="48" max="48" width="7.125" bestFit="1" customWidth="1"/>
    <col min="49" max="49" width="8.25" bestFit="1" customWidth="1"/>
    <col min="50" max="50" width="7.25" bestFit="1" customWidth="1"/>
    <col min="51" max="51" width="10" customWidth="1"/>
    <col min="52" max="52" width="7.125" bestFit="1" customWidth="1"/>
    <col min="53" max="53" width="7" bestFit="1" customWidth="1"/>
    <col min="54" max="54" width="7.125" bestFit="1" customWidth="1"/>
    <col min="55" max="55" width="7" bestFit="1" customWidth="1"/>
    <col min="56" max="56" width="7.25" bestFit="1" customWidth="1"/>
    <col min="57" max="57" width="7.125" bestFit="1" customWidth="1"/>
    <col min="58" max="58" width="7" bestFit="1" customWidth="1"/>
    <col min="59" max="59" width="7.125" bestFit="1" customWidth="1"/>
    <col min="60" max="60" width="7" bestFit="1" customWidth="1"/>
    <col min="61" max="61" width="7.25" bestFit="1" customWidth="1"/>
    <col min="62" max="62" width="7.125" bestFit="1" customWidth="1"/>
    <col min="63" max="67" width="7" bestFit="1" customWidth="1"/>
  </cols>
  <sheetData>
    <row r="1" spans="1:66" ht="27" thickBot="1" x14ac:dyDescent="0.25">
      <c r="A1" s="248">
        <v>1007</v>
      </c>
      <c r="B1" s="817" t="str">
        <f>+VLOOKUP($A$1,data!$A$4:$AH$32,2,0)</f>
        <v>แม่ริม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1007</v>
      </c>
      <c r="T1" s="817" t="str">
        <f>+VLOOKUP($A$1,data!$A$4:$AH$32,2,0)</f>
        <v>แม่ริม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1007</v>
      </c>
      <c r="AJ1" s="817" t="str">
        <f>+VLOOKUP($A$1,data!$A$4:$AH$32,2,0)</f>
        <v>แม่ริม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1007</v>
      </c>
      <c r="AZ1" s="817" t="str">
        <f>+VLOOKUP($A$1,data!$A$4:$AH$32,2,0)</f>
        <v>แม่ริม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44</v>
      </c>
      <c r="C18" s="406">
        <f>+VLOOKUP($A$1,data!$A$37:$AU$67,36)</f>
        <v>193</v>
      </c>
      <c r="D18" s="406">
        <f>+VLOOKUP($A$1,data!$A$37:$AU$67,37)</f>
        <v>80</v>
      </c>
      <c r="E18" s="406">
        <f>+VLOOKUP($A$1,data!$A$37:$AU$67,38)</f>
        <v>40</v>
      </c>
      <c r="F18" s="406">
        <f>+VLOOKUP($A$1,data!$A$37:$AU$67,39)</f>
        <v>84</v>
      </c>
      <c r="G18" s="406">
        <f>+VLOOKUP($A$1,data!$A$37:$AU$67,40)</f>
        <v>100</v>
      </c>
      <c r="H18" s="406">
        <f>+VLOOKUP($A$1,data!$A$37:$AU$67,41)</f>
        <v>78</v>
      </c>
      <c r="I18" s="406">
        <f>+VLOOKUP($A$1,data!$A$37:$AU$67,42)</f>
        <v>110</v>
      </c>
      <c r="J18" s="406">
        <f>+VLOOKUP($A$1,data!$A$37:$AU$67,43)</f>
        <v>233</v>
      </c>
      <c r="K18" s="406">
        <f>+VLOOKUP($A$1,data!$A$37:$AU$67,44)</f>
        <v>92</v>
      </c>
      <c r="L18" s="406">
        <f>+VLOOKUP($A$1,data!$A$37:$AU$67,45)</f>
        <v>45</v>
      </c>
      <c r="M18" s="406">
        <f>+VLOOKUP($A$1,data!$A$37:$AU$67,46)</f>
        <v>48</v>
      </c>
      <c r="N18" s="406">
        <f>SUM(B18:M18)</f>
        <v>1147</v>
      </c>
      <c r="O18" s="406">
        <f>SUM(B18:M18)</f>
        <v>1147</v>
      </c>
      <c r="P18" s="407">
        <f>+O20-O18</f>
        <v>-24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0.38727200000000001</v>
      </c>
      <c r="AK18" s="418">
        <f>+VLOOKUP($A$1,data!$A$69:$AU$99,36)</f>
        <v>0.40864400000000001</v>
      </c>
      <c r="AL18" s="418">
        <f>+VLOOKUP($A$1,data!$A$69:$AU$99,37)</f>
        <v>0.40455000000000002</v>
      </c>
      <c r="AM18" s="418">
        <f>+VLOOKUP($A$1,data!$A$69:$AU$99,38)</f>
        <v>0.424205</v>
      </c>
      <c r="AN18" s="418">
        <f>+VLOOKUP($A$1,data!$A$69:$AU$99,39)</f>
        <v>0.40276600000000001</v>
      </c>
      <c r="AO18" s="418">
        <f>+VLOOKUP($A$1,data!$A$69:$AU$99,40)</f>
        <v>0.40003100000000003</v>
      </c>
      <c r="AP18" s="418">
        <f>+VLOOKUP($A$1,data!$A$69:$AU$99,41)</f>
        <v>0.44283</v>
      </c>
      <c r="AQ18" s="418">
        <f>+VLOOKUP($A$1,data!$A$69:$AU$99,42)</f>
        <v>0.46995599999999998</v>
      </c>
      <c r="AR18" s="418">
        <f>+VLOOKUP($A$1,data!$A$69:$AU$99,43)</f>
        <v>0.428035</v>
      </c>
      <c r="AS18" s="418">
        <f>+VLOOKUP($A$1,data!$A$69:$AU$99,44)</f>
        <v>0.39705200000000002</v>
      </c>
      <c r="AT18" s="418">
        <f>+VLOOKUP($A$1,data!$A$69:$AU$99,45)</f>
        <v>0.40498000000000001</v>
      </c>
      <c r="AU18" s="418">
        <f>+VLOOKUP($A$1,data!$A$69:$AU$99,46)</f>
        <v>0.40474500000000002</v>
      </c>
      <c r="AV18" s="418">
        <f>SUM(AJ18:AU18)</f>
        <v>4.975066</v>
      </c>
      <c r="AW18" s="418">
        <f>SUM(AJ18:AU18)</f>
        <v>4.975066</v>
      </c>
      <c r="AX18" s="419">
        <f>+AW20-AW18</f>
        <v>0.1975340000000001</v>
      </c>
      <c r="AY18" s="308" t="s">
        <v>92</v>
      </c>
      <c r="AZ18" s="309">
        <f>+VLOOKUP($A$1,data!$A$101:$AU$131,35)</f>
        <v>0.143097</v>
      </c>
      <c r="BA18" s="309">
        <f>+VLOOKUP($A$1,data!$A$101:$AU$131,36)</f>
        <v>0.154581</v>
      </c>
      <c r="BB18" s="309">
        <f>+VLOOKUP($A$1,data!$A$101:$AU$131,37)</f>
        <v>0.16043399999999999</v>
      </c>
      <c r="BC18" s="309">
        <f>+VLOOKUP($A$1,data!$A$101:$AU$131,38)</f>
        <v>0.26965099999999997</v>
      </c>
      <c r="BD18" s="309">
        <f>+VLOOKUP($A$1,data!$A$101:$AU$131,39)</f>
        <v>0.25317699999999999</v>
      </c>
      <c r="BE18" s="309">
        <f>+VLOOKUP($A$1,data!$A$101:$AU$131,40)</f>
        <v>0.18129799999999999</v>
      </c>
      <c r="BF18" s="309">
        <f>+VLOOKUP($A$1,data!$A$101:$AU$131,41)</f>
        <v>0.152943</v>
      </c>
      <c r="BG18" s="309">
        <f>+VLOOKUP($A$1,data!$A$101:$AU$131,42)</f>
        <v>0.143204</v>
      </c>
      <c r="BH18" s="309">
        <f>+VLOOKUP($A$1,data!$A$101:$AU$131,43)</f>
        <v>0.13439699999999999</v>
      </c>
      <c r="BI18" s="309">
        <f>+VLOOKUP($A$1,data!$A$101:$AU$131,44)</f>
        <v>0.13882</v>
      </c>
      <c r="BJ18" s="309">
        <f>+VLOOKUP($A$1,data!$A$101:$AU$131,45)</f>
        <v>0.21374899999999999</v>
      </c>
      <c r="BK18" s="309">
        <f>+VLOOKUP($A$1,data!$A$101:$AU$131,46)</f>
        <v>0.192136</v>
      </c>
      <c r="BL18" s="309">
        <f>SUM(AZ18:BK18)</f>
        <v>2.1374869999999997</v>
      </c>
      <c r="BM18" s="309">
        <f>SUM(AZ18:BK18)</f>
        <v>2.1374869999999997</v>
      </c>
      <c r="BN18" s="310">
        <f>+BM20-BM18</f>
        <v>-0.42199599999999937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72.95952023988005</v>
      </c>
      <c r="C19" s="409">
        <f>+VLOOKUP($A$1,data!$A$37:$AU$67,20)</f>
        <v>115.74032983508245</v>
      </c>
      <c r="D19" s="409">
        <f>+VLOOKUP($A$1,data!$A$37:$AU$67,21)</f>
        <v>79.260569715142424</v>
      </c>
      <c r="E19" s="409">
        <f>+VLOOKUP($A$1,data!$A$37:$AU$67,22)</f>
        <v>66.326836581709145</v>
      </c>
      <c r="F19" s="409">
        <f>+VLOOKUP($A$1,data!$A$37:$AU$67,23)</f>
        <v>77.934032983508246</v>
      </c>
      <c r="G19" s="409">
        <f>+VLOOKUP($A$1,data!$A$37:$AU$67,24)</f>
        <v>85.229985007496254</v>
      </c>
      <c r="H19" s="409">
        <f>+VLOOKUP($A$1,data!$A$37:$AU$67,25)</f>
        <v>107.78110944527735</v>
      </c>
      <c r="I19" s="409">
        <f>+VLOOKUP($A$1,data!$A$37:$AU$67,26)</f>
        <v>99.49025487256371</v>
      </c>
      <c r="J19" s="409">
        <f>+VLOOKUP($A$1,data!$A$37:$AU$67,27)</f>
        <v>133.31694152923538</v>
      </c>
      <c r="K19" s="409">
        <f>+VLOOKUP($A$1,data!$A$37:$AU$67,28)</f>
        <v>97.500449775112429</v>
      </c>
      <c r="L19" s="409">
        <f>+VLOOKUP($A$1,data!$A$37:$AU$67,29)</f>
        <v>80.918740629685146</v>
      </c>
      <c r="M19" s="409">
        <f>+VLOOKUP($A$1,data!$A$37:$AU$67,30)</f>
        <v>89.541229385307332</v>
      </c>
      <c r="N19" s="409">
        <f>SUM(B19:M19)</f>
        <v>1106</v>
      </c>
      <c r="O19" s="630">
        <f t="shared" ref="O19:O20" si="0">SUM(B19:M19)</f>
        <v>1106</v>
      </c>
      <c r="P19" s="412">
        <f>+O20-O19</f>
        <v>17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0.42913899999999999</v>
      </c>
      <c r="AK19" s="423">
        <f>+VLOOKUP($A$1,data!$A$69:$AU$99,20)</f>
        <v>0.44989200000000001</v>
      </c>
      <c r="AL19" s="423">
        <f>+VLOOKUP($A$1,data!$A$69:$AU$99,21)</f>
        <v>0.43992500000000001</v>
      </c>
      <c r="AM19" s="423">
        <f>+VLOOKUP($A$1,data!$A$69:$AU$99,22)</f>
        <v>0.45133499999999999</v>
      </c>
      <c r="AN19" s="423">
        <f>+VLOOKUP($A$1,data!$A$69:$AU$99,23)</f>
        <v>0.43314900000000001</v>
      </c>
      <c r="AO19" s="423">
        <f>+VLOOKUP($A$1,data!$A$69:$AU$99,24)</f>
        <v>0.42931000000000002</v>
      </c>
      <c r="AP19" s="423">
        <f>+VLOOKUP($A$1,data!$A$69:$AU$99,25)</f>
        <v>0.47330499999999998</v>
      </c>
      <c r="AQ19" s="423">
        <f>+VLOOKUP($A$1,data!$A$69:$AU$99,26)</f>
        <v>0.50051900000000005</v>
      </c>
      <c r="AR19" s="423">
        <f>+VLOOKUP($A$1,data!$A$69:$AU$99,27)</f>
        <v>0.47231600000000001</v>
      </c>
      <c r="AS19" s="423">
        <f>+VLOOKUP($A$1,data!$A$69:$AU$99,28)</f>
        <v>0.44744</v>
      </c>
      <c r="AT19" s="423">
        <f>+VLOOKUP($A$1,data!$A$69:$AU$99,29)</f>
        <v>0.44311400000000001</v>
      </c>
      <c r="AU19" s="423">
        <f>+VLOOKUP($A$1,data!$A$69:$AU$99,30)</f>
        <v>0.44884600000000002</v>
      </c>
      <c r="AV19" s="423">
        <f>SUM(AJ19:AU19)</f>
        <v>5.4182900000000007</v>
      </c>
      <c r="AW19" s="424">
        <f t="shared" ref="AW19:AW20" si="1">SUM(AJ19:AU19)</f>
        <v>5.4182900000000007</v>
      </c>
      <c r="AX19" s="425">
        <f>+AW20-AW19</f>
        <v>-0.24569000000000063</v>
      </c>
      <c r="AY19" s="311" t="s">
        <v>94</v>
      </c>
      <c r="AZ19" s="312">
        <f>+VLOOKUP($A$1,data!$A$101:$AU$131,19)</f>
        <v>0.14910000000000001</v>
      </c>
      <c r="BA19" s="312">
        <f>+VLOOKUP($A$1,data!$A$101:$AU$131,20)</f>
        <v>0.14675199999999999</v>
      </c>
      <c r="BB19" s="312">
        <f>+VLOOKUP($A$1,data!$A$101:$AU$131,21)</f>
        <v>0.13867499999999999</v>
      </c>
      <c r="BC19" s="312">
        <f>+VLOOKUP($A$1,data!$A$101:$AU$131,22)</f>
        <v>0.179845</v>
      </c>
      <c r="BD19" s="312">
        <f>+VLOOKUP($A$1,data!$A$101:$AU$131,23)</f>
        <v>0.166384</v>
      </c>
      <c r="BE19" s="312">
        <f>+VLOOKUP($A$1,data!$A$101:$AU$131,24)</f>
        <v>0.15819800000000001</v>
      </c>
      <c r="BF19" s="312">
        <f>+VLOOKUP($A$1,data!$A$101:$AU$131,25)</f>
        <v>0.13650399999999999</v>
      </c>
      <c r="BG19" s="312">
        <f>+VLOOKUP($A$1,data!$A$101:$AU$131,26)</f>
        <v>0.13964199999999999</v>
      </c>
      <c r="BH19" s="312">
        <f>+VLOOKUP($A$1,data!$A$101:$AU$131,27)</f>
        <v>0.133073</v>
      </c>
      <c r="BI19" s="312">
        <f>+VLOOKUP($A$1,data!$A$101:$AU$131,28)</f>
        <v>0.129413</v>
      </c>
      <c r="BJ19" s="312">
        <f>+VLOOKUP($A$1,data!$A$101:$AU$131,29)</f>
        <v>0.15951399999999999</v>
      </c>
      <c r="BK19" s="312">
        <f>+VLOOKUP($A$1,data!$A$101:$AU$131,30)</f>
        <v>0.16900000000000001</v>
      </c>
      <c r="BL19" s="312">
        <f>SUM(AZ19:BK19)</f>
        <v>1.8061</v>
      </c>
      <c r="BM19" s="313">
        <f t="shared" ref="BM19:BM20" si="2">SUM(AZ19:BK19)</f>
        <v>1.8061</v>
      </c>
      <c r="BN19" s="314">
        <f>+BM20-BM19</f>
        <v>-9.0608999999999718E-2</v>
      </c>
    </row>
    <row r="20" spans="1:66" s="247" customFormat="1" ht="19.5" thickBot="1" x14ac:dyDescent="0.35">
      <c r="A20" s="413" t="s">
        <v>93</v>
      </c>
      <c r="B20" s="414">
        <f>+VLOOKUP($A$1,data!$A$37:$AU$67,3)</f>
        <v>139</v>
      </c>
      <c r="C20" s="414">
        <f>+VLOOKUP($A$1,data!$A$37:$AU$67,4)</f>
        <v>151</v>
      </c>
      <c r="D20" s="414">
        <f>+VLOOKUP($A$1,data!$A$37:$AU$67,5)</f>
        <v>72</v>
      </c>
      <c r="E20" s="414">
        <f>+VLOOKUP($A$1,data!$A$37:$AU$67,6)</f>
        <v>41</v>
      </c>
      <c r="F20" s="414">
        <f>+VLOOKUP($A$1,data!$A$37:$AU$67,7)</f>
        <v>103</v>
      </c>
      <c r="G20" s="414">
        <f>+VLOOKUP($A$1,data!$A$37:$AU$67,8)</f>
        <v>247</v>
      </c>
      <c r="H20" s="414">
        <f>+VLOOKUP($A$1,data!$A$37:$AU$67,9)</f>
        <v>93</v>
      </c>
      <c r="I20" s="414">
        <f>+VLOOKUP($A$1,data!$A$37:$AU$67,10)</f>
        <v>81</v>
      </c>
      <c r="J20" s="414">
        <f>+VLOOKUP($A$1,data!$A$37:$AU$67,11)</f>
        <v>42</v>
      </c>
      <c r="K20" s="414">
        <f>+VLOOKUP($A$1,data!$A$37:$AU$67,12)</f>
        <v>46</v>
      </c>
      <c r="L20" s="414">
        <f>+VLOOKUP($A$1,data!$A$37:$AU$67,13)</f>
        <v>78</v>
      </c>
      <c r="M20" s="414">
        <f>+VLOOKUP($A$1,data!$A$37:$AU$67,14)</f>
        <v>30</v>
      </c>
      <c r="N20" s="414">
        <f>SUM(B20:M20)</f>
        <v>1123</v>
      </c>
      <c r="O20" s="631">
        <f t="shared" si="0"/>
        <v>1123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0.38655400000000001</v>
      </c>
      <c r="AK20" s="420">
        <f>+VLOOKUP($A$1,data!$A$69:$AU$99,4)</f>
        <v>0.40917100000000001</v>
      </c>
      <c r="AL20" s="420">
        <f>+VLOOKUP($A$1,data!$A$69:$AU$99,5)</f>
        <v>0.41414299999999998</v>
      </c>
      <c r="AM20" s="420">
        <f>+VLOOKUP($A$1,data!$A$69:$AU$99,6)</f>
        <v>0.42419499999999999</v>
      </c>
      <c r="AN20" s="420">
        <f>+VLOOKUP($A$1,data!$A$69:$AU$99,7)</f>
        <v>0.43355900000000003</v>
      </c>
      <c r="AO20" s="420">
        <f>+VLOOKUP($A$1,data!$A$69:$AU$99,8)</f>
        <v>0.41814800000000002</v>
      </c>
      <c r="AP20" s="420">
        <f>+VLOOKUP($A$1,data!$A$69:$AU$99,9)</f>
        <v>0.48757699999999998</v>
      </c>
      <c r="AQ20" s="420">
        <f>+VLOOKUP($A$1,data!$A$69:$AU$99,10)</f>
        <v>0.49199100000000001</v>
      </c>
      <c r="AR20" s="420">
        <f>+VLOOKUP($A$1,data!$A$69:$AU$99,11)</f>
        <v>0.44381900000000002</v>
      </c>
      <c r="AS20" s="420">
        <f>+VLOOKUP($A$1,data!$A$69:$AU$99,12)</f>
        <v>0.424286</v>
      </c>
      <c r="AT20" s="420">
        <f>+VLOOKUP($A$1,data!$A$69:$AU$99,13)</f>
        <v>0.42061500000000002</v>
      </c>
      <c r="AU20" s="420">
        <f>+VLOOKUP($A$1,data!$A$69:$AU$99,14)</f>
        <v>0.41854200000000003</v>
      </c>
      <c r="AV20" s="420">
        <f>SUM(AJ20:AU20)</f>
        <v>5.1726000000000001</v>
      </c>
      <c r="AW20" s="421">
        <f t="shared" si="1"/>
        <v>5.1726000000000001</v>
      </c>
      <c r="AX20" s="422"/>
      <c r="AY20" s="315" t="s">
        <v>93</v>
      </c>
      <c r="AZ20" s="316">
        <f>+VLOOKUP($A$1,data!$A$101:$AU$131,3)</f>
        <v>0.15474299999999999</v>
      </c>
      <c r="BA20" s="316">
        <f>+VLOOKUP($A$1,data!$A$101:$AU$131,4)</f>
        <v>0.145035</v>
      </c>
      <c r="BB20" s="316">
        <f>+VLOOKUP($A$1,data!$A$101:$AU$131,5)</f>
        <v>0.14882999999999999</v>
      </c>
      <c r="BC20" s="316">
        <f>+VLOOKUP($A$1,data!$A$101:$AU$131,6)</f>
        <v>0.132296</v>
      </c>
      <c r="BD20" s="316">
        <f>+VLOOKUP($A$1,data!$A$101:$AU$131,7)</f>
        <v>0.11222699999999999</v>
      </c>
      <c r="BE20" s="316">
        <f>+VLOOKUP($A$1,data!$A$101:$AU$131,8)</f>
        <v>0.16031300000000001</v>
      </c>
      <c r="BF20" s="316">
        <f>+VLOOKUP($A$1,data!$A$101:$AU$131,9)</f>
        <v>0.125718</v>
      </c>
      <c r="BG20" s="316">
        <f>+VLOOKUP($A$1,data!$A$101:$AU$131,10)</f>
        <v>0.110085</v>
      </c>
      <c r="BH20" s="316">
        <f>+VLOOKUP($A$1,data!$A$101:$AU$131,11)</f>
        <v>0.16154199999999999</v>
      </c>
      <c r="BI20" s="316">
        <f>+VLOOKUP($A$1,data!$A$101:$AU$131,12)</f>
        <v>0.181503</v>
      </c>
      <c r="BJ20" s="316">
        <f>+VLOOKUP($A$1,data!$A$101:$AU$131,13)</f>
        <v>0.160694</v>
      </c>
      <c r="BK20" s="316">
        <f>+VLOOKUP($A$1,data!$A$101:$AU$131,14)</f>
        <v>0.122505</v>
      </c>
      <c r="BL20" s="316">
        <f>SUM(AZ20:BK20)</f>
        <v>1.7154910000000003</v>
      </c>
      <c r="BM20" s="317">
        <f t="shared" si="2"/>
        <v>1.7154910000000003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266.96041979010494</v>
      </c>
      <c r="W21" s="671">
        <f>+VLOOKUP($A$1,data!$A$261:$AK$291,16)</f>
        <v>357</v>
      </c>
      <c r="X21" s="671">
        <f>+VLOOKUP($A$1,data!$A$261:$AK$291,36)</f>
        <v>494.45127436281859</v>
      </c>
      <c r="Y21" s="671">
        <f>+VLOOKUP($A$1,data!$A$261:$AK$291,17)</f>
        <v>748</v>
      </c>
      <c r="Z21" s="671">
        <f>+VLOOKUP($A$1,data!$A$261:$AK$291,37)</f>
        <v>833.03958020989501</v>
      </c>
      <c r="AA21" s="671">
        <f>+VLOOKUP($A$1,data!$A$261:$AK$291,18)</f>
        <v>959</v>
      </c>
      <c r="AB21" s="671">
        <f>+VLOOKUP($A$1,data!$A$261:$AK$291,34)</f>
        <v>1097</v>
      </c>
      <c r="AC21" s="671">
        <f>+VLOOKUP($A$1,data!$A$261:$AK$291,15)</f>
        <v>1113</v>
      </c>
      <c r="AD21" s="671">
        <f>+AA21-Z21</f>
        <v>125.96041979010499</v>
      </c>
      <c r="AE21" s="684">
        <f>+AC21-AB21</f>
        <v>16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customHeight="1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1</v>
      </c>
      <c r="W22" s="672">
        <f>+VLOOKUP($A$1,data!$A$229:$AK$259,16)</f>
        <v>5</v>
      </c>
      <c r="X22" s="672">
        <f>+VLOOKUP($A$1,data!$A$229:$AK$259,36)</f>
        <v>3</v>
      </c>
      <c r="Y22" s="672">
        <f>+VLOOKUP($A$1,data!$A$229:$AK$259,17)</f>
        <v>5</v>
      </c>
      <c r="Z22" s="672">
        <f>+VLOOKUP($A$1,data!$A$229:$AK$259,37)</f>
        <v>5</v>
      </c>
      <c r="AA22" s="672">
        <f>+VLOOKUP($A$1,data!$A$229:$AK$259,18)</f>
        <v>10</v>
      </c>
      <c r="AB22" s="672">
        <f>+VLOOKUP($A$1,data!$A$229:$AK$259,34)</f>
        <v>9</v>
      </c>
      <c r="AC22" s="765">
        <f>+VLOOKUP($A$1,data!$A$229:$AK$259,15)</f>
        <v>10</v>
      </c>
      <c r="AD22" s="671">
        <f>+AA22-Z22</f>
        <v>5</v>
      </c>
      <c r="AE22" s="685">
        <f>+AC22-AB22</f>
        <v>1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267.96041979010494</v>
      </c>
      <c r="W23" s="689">
        <f t="shared" ref="W23:AC23" si="3">SUM(W21:W22)</f>
        <v>362</v>
      </c>
      <c r="X23" s="689">
        <f t="shared" si="3"/>
        <v>497.45127436281859</v>
      </c>
      <c r="Y23" s="689">
        <f t="shared" si="3"/>
        <v>753</v>
      </c>
      <c r="Z23" s="689">
        <f t="shared" si="3"/>
        <v>838.03958020989501</v>
      </c>
      <c r="AA23" s="689">
        <f t="shared" si="3"/>
        <v>969</v>
      </c>
      <c r="AB23" s="689">
        <f t="shared" si="3"/>
        <v>1106</v>
      </c>
      <c r="AC23" s="764">
        <f t="shared" si="3"/>
        <v>1123</v>
      </c>
      <c r="AD23" s="689">
        <f>+AA23-Z23</f>
        <v>130.96041979010499</v>
      </c>
      <c r="AE23" s="686">
        <f>+AC23-AB23</f>
        <v>17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60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61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44</v>
      </c>
      <c r="D39" s="406">
        <f t="shared" ref="D39:N41" si="4">+C39+C18</f>
        <v>237</v>
      </c>
      <c r="E39" s="406">
        <f t="shared" si="4"/>
        <v>317</v>
      </c>
      <c r="F39" s="406">
        <f t="shared" si="4"/>
        <v>357</v>
      </c>
      <c r="G39" s="406">
        <f t="shared" si="4"/>
        <v>441</v>
      </c>
      <c r="H39" s="406">
        <f t="shared" si="4"/>
        <v>541</v>
      </c>
      <c r="I39" s="406">
        <f t="shared" si="4"/>
        <v>619</v>
      </c>
      <c r="J39" s="406">
        <f t="shared" si="4"/>
        <v>729</v>
      </c>
      <c r="K39" s="406">
        <f t="shared" si="4"/>
        <v>962</v>
      </c>
      <c r="L39" s="406">
        <f t="shared" si="4"/>
        <v>1054</v>
      </c>
      <c r="M39" s="406">
        <f t="shared" si="4"/>
        <v>1099</v>
      </c>
      <c r="N39" s="406">
        <f t="shared" si="4"/>
        <v>1147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0.38727200000000001</v>
      </c>
      <c r="AL39" s="418">
        <f t="shared" ref="AL39:AV41" si="5">+AK39+AK18</f>
        <v>0.79591600000000007</v>
      </c>
      <c r="AM39" s="418">
        <f t="shared" si="5"/>
        <v>1.200466</v>
      </c>
      <c r="AN39" s="418">
        <f t="shared" si="5"/>
        <v>1.624671</v>
      </c>
      <c r="AO39" s="418">
        <f t="shared" si="5"/>
        <v>2.0274369999999999</v>
      </c>
      <c r="AP39" s="418">
        <f t="shared" si="5"/>
        <v>2.4274680000000002</v>
      </c>
      <c r="AQ39" s="418">
        <f t="shared" si="5"/>
        <v>2.870298</v>
      </c>
      <c r="AR39" s="418">
        <f t="shared" si="5"/>
        <v>3.3402539999999998</v>
      </c>
      <c r="AS39" s="418">
        <f t="shared" si="5"/>
        <v>3.7682889999999998</v>
      </c>
      <c r="AT39" s="418">
        <f t="shared" si="5"/>
        <v>4.1653409999999997</v>
      </c>
      <c r="AU39" s="418">
        <f t="shared" si="5"/>
        <v>4.5703209999999999</v>
      </c>
      <c r="AV39" s="418">
        <f t="shared" si="5"/>
        <v>4.975066</v>
      </c>
      <c r="AW39" s="158"/>
      <c r="AX39" s="158"/>
      <c r="AY39" s="308" t="s">
        <v>92</v>
      </c>
      <c r="AZ39" s="464">
        <f>+VLOOKUP($A$1,data!$A$133:$BK$163,26)</f>
        <v>26.980649321510121</v>
      </c>
      <c r="BA39" s="464">
        <f>+VLOOKUP($A$1,data!$A$133:$BK$163,27)</f>
        <v>27.445692218917838</v>
      </c>
      <c r="BB39" s="464">
        <f>+VLOOKUP($A$1,data!$A$133:$BK$163,28)</f>
        <v>28.396202370332613</v>
      </c>
      <c r="BC39" s="464">
        <f>+VLOOKUP($A$1,data!$A$133:$BK$163,29)</f>
        <v>27.620769116677057</v>
      </c>
      <c r="BD39" s="464">
        <f>+VLOOKUP($A$1,data!$A$133:$BK$163,30)</f>
        <v>38.862674676013462</v>
      </c>
      <c r="BE39" s="464">
        <f>+VLOOKUP($A$1,data!$A$133:$BK$163,31)</f>
        <v>38.59740861629745</v>
      </c>
      <c r="BF39" s="464">
        <f>+VLOOKUP($A$1,data!$A$133:$BK$163,32)</f>
        <v>31.186278574119402</v>
      </c>
      <c r="BG39" s="464">
        <f>+VLOOKUP($A$1,data!$A$133:$BK$163,33)</f>
        <v>32.376878839440224</v>
      </c>
      <c r="BH39" s="464">
        <f>+VLOOKUP($A$1,data!$A$133:$BK$163,34)</f>
        <v>25.659467594107195</v>
      </c>
      <c r="BI39" s="464">
        <f>+VLOOKUP($A$1,data!$A$133:$BK$163,35)</f>
        <v>23.353060029712353</v>
      </c>
      <c r="BJ39" s="464">
        <f>+VLOOKUP($A$1,data!$A$133:$BK$163,36)</f>
        <v>23.894669094115805</v>
      </c>
      <c r="BK39" s="464">
        <f>+VLOOKUP($A$1,data!$A$133:$BK$163,37)</f>
        <v>29.708134055180015</v>
      </c>
      <c r="BL39" s="464">
        <f>+VLOOKUP($A$1,data!$A$133:$BK$163,38)</f>
        <v>25.905440105099725</v>
      </c>
      <c r="BM39" s="464">
        <f>+VLOOKUP($A$1,data!$A$133:$BK$163,39)</f>
        <v>34.546465415391872</v>
      </c>
      <c r="BN39" s="464">
        <f>+VLOOKUP($A$1,data!$A$133:$BK$163,40)</f>
        <v>32.190001021979256</v>
      </c>
      <c r="BO39" s="464">
        <f>+VLOOKUP($A$1,data!$A$133:$BK$163,41)</f>
        <v>30.050783672969004</v>
      </c>
    </row>
    <row r="40" spans="1:67" ht="21.75" thickBot="1" x14ac:dyDescent="0.4">
      <c r="A40"/>
      <c r="B40" s="408" t="s">
        <v>94</v>
      </c>
      <c r="C40" s="409">
        <f>+B19</f>
        <v>72.95952023988005</v>
      </c>
      <c r="D40" s="409">
        <f t="shared" si="4"/>
        <v>188.69985007496251</v>
      </c>
      <c r="E40" s="409">
        <f t="shared" si="4"/>
        <v>267.96041979010494</v>
      </c>
      <c r="F40" s="409">
        <f t="shared" si="4"/>
        <v>334.28725637181407</v>
      </c>
      <c r="G40" s="409">
        <f t="shared" si="4"/>
        <v>412.22128935532231</v>
      </c>
      <c r="H40" s="409">
        <f t="shared" si="4"/>
        <v>497.45127436281859</v>
      </c>
      <c r="I40" s="409">
        <f t="shared" si="4"/>
        <v>605.23238380809596</v>
      </c>
      <c r="J40" s="409">
        <f t="shared" si="4"/>
        <v>704.72263868065966</v>
      </c>
      <c r="K40" s="409">
        <f t="shared" si="4"/>
        <v>838.03958020989501</v>
      </c>
      <c r="L40" s="409">
        <f t="shared" si="4"/>
        <v>935.54002998500744</v>
      </c>
      <c r="M40" s="409">
        <f t="shared" si="4"/>
        <v>1016.4587706146926</v>
      </c>
      <c r="N40" s="409">
        <f t="shared" si="4"/>
        <v>1106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0.42913899999999999</v>
      </c>
      <c r="AL40" s="423">
        <f t="shared" si="5"/>
        <v>0.87903100000000001</v>
      </c>
      <c r="AM40" s="423">
        <f t="shared" si="5"/>
        <v>1.318956</v>
      </c>
      <c r="AN40" s="423">
        <f t="shared" si="5"/>
        <v>1.7702910000000001</v>
      </c>
      <c r="AO40" s="423">
        <f t="shared" si="5"/>
        <v>2.2034400000000001</v>
      </c>
      <c r="AP40" s="423">
        <f t="shared" si="5"/>
        <v>2.6327500000000001</v>
      </c>
      <c r="AQ40" s="423">
        <f t="shared" si="5"/>
        <v>3.106055</v>
      </c>
      <c r="AR40" s="423">
        <f t="shared" si="5"/>
        <v>3.6065740000000002</v>
      </c>
      <c r="AS40" s="423">
        <f t="shared" si="5"/>
        <v>4.0788900000000003</v>
      </c>
      <c r="AT40" s="423">
        <f t="shared" si="5"/>
        <v>4.5263300000000006</v>
      </c>
      <c r="AU40" s="423">
        <f t="shared" si="5"/>
        <v>4.9694440000000011</v>
      </c>
      <c r="AV40" s="423">
        <f t="shared" si="5"/>
        <v>5.4182900000000007</v>
      </c>
      <c r="AW40" s="158"/>
      <c r="AX40" s="158"/>
      <c r="AY40" s="311" t="s">
        <v>94</v>
      </c>
      <c r="AZ40" s="458">
        <f>+VLOOKUP($A$1,data!$A$133:$BK$163,22)</f>
        <v>25.00003460499779</v>
      </c>
      <c r="BA40" s="458">
        <f>+$AZ$40</f>
        <v>25.00003460499779</v>
      </c>
      <c r="BB40" s="458">
        <f t="shared" ref="BB40:BO40" si="6">+$AZ$40</f>
        <v>25.00003460499779</v>
      </c>
      <c r="BC40" s="458">
        <f t="shared" si="6"/>
        <v>25.00003460499779</v>
      </c>
      <c r="BD40" s="458">
        <f t="shared" si="6"/>
        <v>25.00003460499779</v>
      </c>
      <c r="BE40" s="458">
        <f t="shared" si="6"/>
        <v>25.00003460499779</v>
      </c>
      <c r="BF40" s="458">
        <f t="shared" si="6"/>
        <v>25.00003460499779</v>
      </c>
      <c r="BG40" s="458">
        <f t="shared" si="6"/>
        <v>25.00003460499779</v>
      </c>
      <c r="BH40" s="458">
        <f t="shared" si="6"/>
        <v>25.00003460499779</v>
      </c>
      <c r="BI40" s="458">
        <f t="shared" si="6"/>
        <v>25.00003460499779</v>
      </c>
      <c r="BJ40" s="458">
        <f t="shared" si="6"/>
        <v>25.00003460499779</v>
      </c>
      <c r="BK40" s="458">
        <f t="shared" si="6"/>
        <v>25.00003460499779</v>
      </c>
      <c r="BL40" s="458">
        <f t="shared" si="6"/>
        <v>25.00003460499779</v>
      </c>
      <c r="BM40" s="458">
        <f t="shared" si="6"/>
        <v>25.00003460499779</v>
      </c>
      <c r="BN40" s="458">
        <f t="shared" si="6"/>
        <v>25.00003460499779</v>
      </c>
      <c r="BO40" s="458">
        <f t="shared" si="6"/>
        <v>25.00003460499779</v>
      </c>
    </row>
    <row r="41" spans="1:67" ht="21.75" thickBot="1" x14ac:dyDescent="0.4">
      <c r="A41"/>
      <c r="B41" s="413" t="s">
        <v>93</v>
      </c>
      <c r="C41" s="414">
        <f>+B20</f>
        <v>139</v>
      </c>
      <c r="D41" s="414">
        <f t="shared" si="4"/>
        <v>290</v>
      </c>
      <c r="E41" s="414">
        <f t="shared" si="4"/>
        <v>362</v>
      </c>
      <c r="F41" s="414">
        <f t="shared" si="4"/>
        <v>403</v>
      </c>
      <c r="G41" s="414">
        <f t="shared" si="4"/>
        <v>506</v>
      </c>
      <c r="H41" s="414">
        <f t="shared" si="4"/>
        <v>753</v>
      </c>
      <c r="I41" s="414">
        <f t="shared" si="4"/>
        <v>846</v>
      </c>
      <c r="J41" s="414">
        <f t="shared" si="4"/>
        <v>927</v>
      </c>
      <c r="K41" s="414">
        <f t="shared" si="4"/>
        <v>969</v>
      </c>
      <c r="L41" s="414">
        <f t="shared" si="4"/>
        <v>1015</v>
      </c>
      <c r="M41" s="414">
        <f t="shared" si="4"/>
        <v>1093</v>
      </c>
      <c r="N41" s="414">
        <f t="shared" si="4"/>
        <v>1123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0.38655400000000001</v>
      </c>
      <c r="AL41" s="420">
        <f t="shared" si="5"/>
        <v>0.79572500000000002</v>
      </c>
      <c r="AM41" s="420">
        <f t="shared" si="5"/>
        <v>1.2098679999999999</v>
      </c>
      <c r="AN41" s="420">
        <f t="shared" si="5"/>
        <v>1.6340629999999998</v>
      </c>
      <c r="AO41" s="420">
        <f t="shared" si="5"/>
        <v>2.0676220000000001</v>
      </c>
      <c r="AP41" s="420">
        <f t="shared" si="5"/>
        <v>2.48577</v>
      </c>
      <c r="AQ41" s="420">
        <f t="shared" si="5"/>
        <v>2.973347</v>
      </c>
      <c r="AR41" s="420">
        <f t="shared" si="5"/>
        <v>3.465338</v>
      </c>
      <c r="AS41" s="420">
        <f t="shared" si="5"/>
        <v>3.909157</v>
      </c>
      <c r="AT41" s="420">
        <f t="shared" si="5"/>
        <v>4.3334429999999999</v>
      </c>
      <c r="AU41" s="420">
        <f t="shared" si="5"/>
        <v>4.7540579999999997</v>
      </c>
      <c r="AV41" s="420">
        <f t="shared" si="5"/>
        <v>5.1726000000000001</v>
      </c>
      <c r="AW41" s="158"/>
      <c r="AX41" s="158"/>
      <c r="AY41" s="315" t="s">
        <v>93</v>
      </c>
      <c r="AZ41" s="442">
        <f>+VLOOKUP($A$1,data!$A$133:$BK$163,3)</f>
        <v>28.587448295482886</v>
      </c>
      <c r="BA41" s="442">
        <f>+VLOOKUP($A$1,data!$A$133:$BK$163,4)</f>
        <v>26.169871852704592</v>
      </c>
      <c r="BB41" s="442">
        <f>+VLOOKUP($A$1,data!$A$133:$BK$163,5)</f>
        <v>26.436436560900788</v>
      </c>
      <c r="BC41" s="442">
        <f>+VLOOKUP($A$1,data!$A$133:$BK$163,6)</f>
        <v>27.049411628507137</v>
      </c>
      <c r="BD41" s="442">
        <f>+VLOOKUP($A$1,data!$A$133:$BK$163,7)</f>
        <v>23.773250600638647</v>
      </c>
      <c r="BE41" s="442">
        <f>+VLOOKUP($A$1,data!$A$133:$BK$163,8)</f>
        <v>20.562454881583626</v>
      </c>
      <c r="BF41" s="442">
        <f>+VLOOKUP($A$1,data!$A$133:$BK$163,9)</f>
        <v>27.713709307974089</v>
      </c>
      <c r="BG41" s="442">
        <f>+VLOOKUP($A$1,data!$A$133:$BK$163,10)</f>
        <v>25.558230170333495</v>
      </c>
      <c r="BH41" s="442">
        <f>+VLOOKUP($A$1,data!$A$133:$BK$163,11)</f>
        <v>20.498547208389994</v>
      </c>
      <c r="BI41" s="442">
        <f>+VLOOKUP($A$1,data!$A$133:$BK$163,12)</f>
        <v>18.283720289058337</v>
      </c>
      <c r="BJ41" s="442">
        <f>+VLOOKUP($A$1,data!$A$133:$BK$163,13)</f>
        <v>26.685234099983319</v>
      </c>
      <c r="BK41" s="442">
        <f>+VLOOKUP($A$1,data!$A$133:$BK$163,14)</f>
        <v>24.240237830840101</v>
      </c>
      <c r="BL41" s="442">
        <f>+VLOOKUP($A$1,data!$A$133:$BK$163,15)</f>
        <v>29.961422211364024</v>
      </c>
      <c r="BM41" s="442">
        <f>+VLOOKUP($A$1,data!$A$133:$BK$163,16)</f>
        <v>27.643473608700365</v>
      </c>
      <c r="BN41" s="442">
        <f>+VLOOKUP($A$1,data!$A$133:$BK$163,17)</f>
        <v>22.642210380983538</v>
      </c>
      <c r="BO41" s="442">
        <f>+VLOOKUP($A$1,data!$A$133:$BK$163,18)</f>
        <v>24.905086514960914</v>
      </c>
    </row>
    <row r="42" spans="1:67" ht="35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757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30.050783672969004</v>
      </c>
      <c r="BA43" s="826">
        <f>+VLOOKUP($A$1,data!$A$133:$BK$163,26)</f>
        <v>26.980649321510121</v>
      </c>
      <c r="BB43" s="473">
        <f>+AZ45-AZ43</f>
        <v>-5.1456971580080904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25.00003460499779</v>
      </c>
      <c r="BA44" s="830"/>
      <c r="BB44" s="472">
        <f>+AZ45-AZ44</f>
        <v>-9.4948090036876209E-2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24.905086514960914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1007</v>
      </c>
      <c r="B47" s="817" t="str">
        <f>+VLOOKUP($A$1,data!$A$4:$AH$32,2,0)</f>
        <v>แม่ริม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1007</v>
      </c>
      <c r="T47" s="817" t="str">
        <f>+VLOOKUP($A$1,data!$A$4:$AH$32,2,0)</f>
        <v>แม่ริม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1007</v>
      </c>
      <c r="AJ47" s="817" t="str">
        <f>+VLOOKUP($A$1,data!$A$4:$AH$32,2,0)</f>
        <v>แม่ริม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58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59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7.4560674799999997</v>
      </c>
      <c r="C64" s="632">
        <f>+VLOOKUP($A$1,data!$A$165:$AU$195,36)</f>
        <v>8.7829819199999992</v>
      </c>
      <c r="D64" s="632">
        <f>+VLOOKUP($A$1,data!$A$165:$AU$195,37)</f>
        <v>7.8804949000000004</v>
      </c>
      <c r="E64" s="632">
        <f>+VLOOKUP($A$1,data!$A$165:$AU$195,38)</f>
        <v>8.3616838799999993</v>
      </c>
      <c r="F64" s="632">
        <f>+VLOOKUP($A$1,data!$A$165:$AU$195,39)</f>
        <v>7.9255115500000004</v>
      </c>
      <c r="G64" s="632">
        <f>+VLOOKUP($A$1,data!$A$165:$AU$195,40)</f>
        <v>7.8781358100000007</v>
      </c>
      <c r="H64" s="632">
        <f>+VLOOKUP($A$1,data!$A$165:$AU$195,41)</f>
        <v>8.6558303500000005</v>
      </c>
      <c r="I64" s="632">
        <f>+VLOOKUP($A$1,data!$A$165:$AU$195,42)</f>
        <v>9.1523136799999989</v>
      </c>
      <c r="J64" s="632">
        <f>+VLOOKUP($A$1,data!$A$165:$AU$195,43)</f>
        <v>8.5747778199999996</v>
      </c>
      <c r="K64" s="632">
        <f>+VLOOKUP($A$1,data!$A$165:$AU$195,44)</f>
        <v>8.3066584700000003</v>
      </c>
      <c r="L64" s="632">
        <f>+VLOOKUP($A$1,data!$A$165:$AU$195,45)</f>
        <v>7.8305983899999996</v>
      </c>
      <c r="M64" s="632">
        <f>+VLOOKUP($A$1,data!$A$165:$AU$195,46)</f>
        <v>8.6393313000000003</v>
      </c>
      <c r="N64" s="632">
        <f>SUM(B64:M64)</f>
        <v>99.444385550000007</v>
      </c>
      <c r="O64" s="632">
        <f>SUM(B64:M64)</f>
        <v>99.444385550000007</v>
      </c>
      <c r="P64" s="635">
        <f>+O66-O64</f>
        <v>4.8137129600000037</v>
      </c>
      <c r="S64" s="605" t="s">
        <v>92</v>
      </c>
      <c r="T64" s="640">
        <f>+VLOOKUP($A$1,data!$A$197:$AU$227,35)</f>
        <v>2.7660984800000001</v>
      </c>
      <c r="U64" s="640">
        <f>+VLOOKUP($A$1,data!$A$197:$AU$227,36)</f>
        <v>2.4039372700000006</v>
      </c>
      <c r="V64" s="640">
        <f>+VLOOKUP($A$1,data!$A$197:$AU$227,37)</f>
        <v>2.5002543000000004</v>
      </c>
      <c r="W64" s="640">
        <f>+VLOOKUP($A$1,data!$A$197:$AU$227,38)</f>
        <v>2.6870617299999999</v>
      </c>
      <c r="X64" s="640">
        <f>+VLOOKUP($A$1,data!$A$197:$AU$227,39)</f>
        <v>2.3411871699999995</v>
      </c>
      <c r="Y64" s="640">
        <f>+VLOOKUP($A$1,data!$A$197:$AU$227,40)</f>
        <v>2.6974091800000002</v>
      </c>
      <c r="Z64" s="640">
        <f>+VLOOKUP($A$1,data!$A$197:$AU$227,41)</f>
        <v>2.12491399</v>
      </c>
      <c r="AA64" s="640">
        <f>+VLOOKUP($A$1,data!$A$197:$AU$227,42)</f>
        <v>2.2592561699999996</v>
      </c>
      <c r="AB64" s="640">
        <f>+VLOOKUP($A$1,data!$A$197:$AU$227,43)</f>
        <v>2.5222010199999993</v>
      </c>
      <c r="AC64" s="640">
        <f>+VLOOKUP($A$1,data!$A$197:$AU$227,44)</f>
        <v>2.3482912799999998</v>
      </c>
      <c r="AD64" s="640">
        <f>+VLOOKUP($A$1,data!$A$197:$AU$227,45)</f>
        <v>3.1243384399999998</v>
      </c>
      <c r="AE64" s="640">
        <f>+VLOOKUP($A$1,data!$A$197:$AU$227,46)</f>
        <v>1.7924631299999991</v>
      </c>
      <c r="AF64" s="640">
        <f>SUM(T64:AE64)</f>
        <v>29.567412159999996</v>
      </c>
      <c r="AG64" s="640">
        <f>SUM(T64:AE64)</f>
        <v>29.567412159999996</v>
      </c>
      <c r="AH64" s="641">
        <f>+AG66-AG64</f>
        <v>-0.70342127999999349</v>
      </c>
      <c r="AI64" s="621" t="s">
        <v>92</v>
      </c>
      <c r="AJ64" s="648">
        <f>+B64-T64</f>
        <v>4.6899689999999996</v>
      </c>
      <c r="AK64" s="648">
        <f t="shared" ref="AK64:AU66" si="7">+C64-U64</f>
        <v>6.3790446499999991</v>
      </c>
      <c r="AL64" s="648">
        <f t="shared" si="7"/>
        <v>5.3802406000000005</v>
      </c>
      <c r="AM64" s="648">
        <f t="shared" si="7"/>
        <v>5.6746221499999994</v>
      </c>
      <c r="AN64" s="648">
        <f t="shared" si="7"/>
        <v>5.5843243800000009</v>
      </c>
      <c r="AO64" s="648">
        <f t="shared" si="7"/>
        <v>5.1807266300000006</v>
      </c>
      <c r="AP64" s="648">
        <f t="shared" si="7"/>
        <v>6.5309163600000009</v>
      </c>
      <c r="AQ64" s="648">
        <f t="shared" si="7"/>
        <v>6.8930575099999993</v>
      </c>
      <c r="AR64" s="648">
        <f t="shared" si="7"/>
        <v>6.0525768000000006</v>
      </c>
      <c r="AS64" s="648">
        <f t="shared" si="7"/>
        <v>5.9583671900000006</v>
      </c>
      <c r="AT64" s="648">
        <f t="shared" si="7"/>
        <v>4.7062599499999997</v>
      </c>
      <c r="AU64" s="648">
        <f t="shared" si="7"/>
        <v>6.8468681700000014</v>
      </c>
      <c r="AV64" s="648">
        <f>SUM(AJ64:AU64)</f>
        <v>69.876973390000018</v>
      </c>
      <c r="AW64" s="648">
        <f>SUM(AJ64:AU64)</f>
        <v>69.876973390000018</v>
      </c>
      <c r="AX64" s="651">
        <f>+AW66-AW64</f>
        <v>5.5171342399999759</v>
      </c>
    </row>
    <row r="65" spans="1:50" ht="21.75" thickBot="1" x14ac:dyDescent="0.4">
      <c r="A65" s="538" t="s">
        <v>94</v>
      </c>
      <c r="B65" s="633">
        <f>+VLOOKUP($A$1,data!$A$165:$AU$195,19)</f>
        <v>8.5410389999999996</v>
      </c>
      <c r="C65" s="633">
        <f>+VLOOKUP($A$1,data!$A$165:$AU$195,20)</f>
        <v>9.9776570000000007</v>
      </c>
      <c r="D65" s="633">
        <f>+VLOOKUP($A$1,data!$A$165:$AU$195,21)</f>
        <v>8.9951799999999995</v>
      </c>
      <c r="E65" s="633">
        <f>+VLOOKUP($A$1,data!$A$165:$AU$195,22)</f>
        <v>9.0408500000000007</v>
      </c>
      <c r="F65" s="633">
        <f>+VLOOKUP($A$1,data!$A$165:$AU$195,23)</f>
        <v>8.6222539999999999</v>
      </c>
      <c r="G65" s="633">
        <f>+VLOOKUP($A$1,data!$A$165:$AU$195,24)</f>
        <v>8.8016559999999995</v>
      </c>
      <c r="H65" s="633">
        <f>+VLOOKUP($A$1,data!$A$165:$AU$195,25)</f>
        <v>10.168262</v>
      </c>
      <c r="I65" s="633">
        <f>+VLOOKUP($A$1,data!$A$165:$AU$195,26)</f>
        <v>9.7644479999999998</v>
      </c>
      <c r="J65" s="633">
        <f>+VLOOKUP($A$1,data!$A$165:$AU$195,27)</f>
        <v>9.732742</v>
      </c>
      <c r="K65" s="633">
        <f>+VLOOKUP($A$1,data!$A$165:$AU$195,28)</f>
        <v>9.5269940000000002</v>
      </c>
      <c r="L65" s="633">
        <f>+VLOOKUP($A$1,data!$A$165:$AU$195,29)</f>
        <v>8.855105</v>
      </c>
      <c r="M65" s="633">
        <f>+VLOOKUP($A$1,data!$A$165:$AU$195,30)</f>
        <v>10.65137</v>
      </c>
      <c r="N65" s="633">
        <f>SUM(B65:M65)</f>
        <v>112.67755699999999</v>
      </c>
      <c r="O65" s="636">
        <f t="shared" ref="O65:O66" si="8">SUM(B65:M65)</f>
        <v>112.67755699999999</v>
      </c>
      <c r="P65" s="637">
        <f>+O66-O65</f>
        <v>-8.4194584899999825</v>
      </c>
      <c r="S65" s="601" t="s">
        <v>94</v>
      </c>
      <c r="T65" s="642">
        <f>+VLOOKUP($A$1,data!$A$197:$AU$227,19)</f>
        <v>2.8455569999999999</v>
      </c>
      <c r="U65" s="642">
        <f>+VLOOKUP($A$1,data!$A$197:$AU$227,20)</f>
        <v>2.6263619999999999</v>
      </c>
      <c r="V65" s="642">
        <f>+VLOOKUP($A$1,data!$A$197:$AU$227,21)</f>
        <v>2.6832829999999999</v>
      </c>
      <c r="W65" s="642">
        <f>+VLOOKUP($A$1,data!$A$197:$AU$227,22)</f>
        <v>2.7409020000000002</v>
      </c>
      <c r="X65" s="642">
        <f>+VLOOKUP($A$1,data!$A$197:$AU$227,23)</f>
        <v>2.5386540000000002</v>
      </c>
      <c r="Y65" s="642">
        <f>+VLOOKUP($A$1,data!$A$197:$AU$227,24)</f>
        <v>2.816071</v>
      </c>
      <c r="Z65" s="642">
        <f>+VLOOKUP($A$1,data!$A$197:$AU$227,25)</f>
        <v>2.4099529999999998</v>
      </c>
      <c r="AA65" s="642">
        <f>+VLOOKUP($A$1,data!$A$197:$AU$227,26)</f>
        <v>2.6509100000000001</v>
      </c>
      <c r="AB65" s="642">
        <f>+VLOOKUP($A$1,data!$A$197:$AU$227,27)</f>
        <v>2.7615940000000001</v>
      </c>
      <c r="AC65" s="642">
        <f>+VLOOKUP($A$1,data!$A$197:$AU$227,28)</f>
        <v>2.6864249999999998</v>
      </c>
      <c r="AD65" s="642">
        <f>+VLOOKUP($A$1,data!$A$197:$AU$227,29)</f>
        <v>3.0131260000000002</v>
      </c>
      <c r="AE65" s="642">
        <f>+VLOOKUP($A$1,data!$A$197:$AU$227,30)</f>
        <v>2.536934</v>
      </c>
      <c r="AF65" s="642">
        <f>SUM(T65:AE65)</f>
        <v>32.309770999999998</v>
      </c>
      <c r="AG65" s="643">
        <f t="shared" ref="AG65:AG66" si="9">SUM(T65:AE65)</f>
        <v>32.309770999999998</v>
      </c>
      <c r="AH65" s="644">
        <f>+AG66-AG65</f>
        <v>-3.4457801199999949</v>
      </c>
      <c r="AI65" s="617" t="s">
        <v>94</v>
      </c>
      <c r="AJ65" s="649">
        <f>+B65-T65</f>
        <v>5.6954820000000002</v>
      </c>
      <c r="AK65" s="649">
        <f t="shared" si="7"/>
        <v>7.3512950000000004</v>
      </c>
      <c r="AL65" s="649">
        <f t="shared" si="7"/>
        <v>6.3118970000000001</v>
      </c>
      <c r="AM65" s="649">
        <f t="shared" si="7"/>
        <v>6.2999480000000005</v>
      </c>
      <c r="AN65" s="649">
        <f t="shared" si="7"/>
        <v>6.0835999999999997</v>
      </c>
      <c r="AO65" s="649">
        <f t="shared" si="7"/>
        <v>5.9855849999999995</v>
      </c>
      <c r="AP65" s="649">
        <f t="shared" si="7"/>
        <v>7.7583090000000006</v>
      </c>
      <c r="AQ65" s="649">
        <f t="shared" si="7"/>
        <v>7.1135380000000001</v>
      </c>
      <c r="AR65" s="649">
        <f t="shared" si="7"/>
        <v>6.9711479999999995</v>
      </c>
      <c r="AS65" s="649">
        <f t="shared" si="7"/>
        <v>6.8405690000000003</v>
      </c>
      <c r="AT65" s="649">
        <f t="shared" si="7"/>
        <v>5.8419790000000003</v>
      </c>
      <c r="AU65" s="649">
        <f t="shared" si="7"/>
        <v>8.1144359999999995</v>
      </c>
      <c r="AV65" s="649">
        <f>SUM(AJ65:AU65)</f>
        <v>80.367785999999981</v>
      </c>
      <c r="AW65" s="652">
        <f t="shared" ref="AW65:AW66" si="10">SUM(AJ65:AU65)</f>
        <v>80.367785999999981</v>
      </c>
      <c r="AX65" s="653">
        <f>+AW66-AW65</f>
        <v>-4.9736783699999876</v>
      </c>
    </row>
    <row r="66" spans="1:50" ht="21.75" thickBot="1" x14ac:dyDescent="0.4">
      <c r="A66" s="546" t="s">
        <v>93</v>
      </c>
      <c r="B66" s="634">
        <f>+VLOOKUP($A$1,data!$A$165:$AU$195,3)</f>
        <v>8.0680252299999999</v>
      </c>
      <c r="C66" s="634">
        <f>+VLOOKUP($A$1,data!$A$165:$AU$195,4)</f>
        <v>8.1125517299999998</v>
      </c>
      <c r="D66" s="634">
        <f>+VLOOKUP($A$1,data!$A$165:$AU$195,5)</f>
        <v>8.1309493799999988</v>
      </c>
      <c r="E66" s="634">
        <f>+VLOOKUP($A$1,data!$A$165:$AU$195,6)</f>
        <v>8.31012123</v>
      </c>
      <c r="F66" s="634">
        <f>+VLOOKUP($A$1,data!$A$165:$AU$195,7)</f>
        <v>9.2361784200000017</v>
      </c>
      <c r="G66" s="634">
        <f>+VLOOKUP($A$1,data!$A$165:$AU$195,8)</f>
        <v>8.3939050799999997</v>
      </c>
      <c r="H66" s="634">
        <f>+VLOOKUP($A$1,data!$A$165:$AU$195,9)</f>
        <v>9.6922896200000004</v>
      </c>
      <c r="I66" s="634">
        <f>+VLOOKUP($A$1,data!$A$165:$AU$195,10)</f>
        <v>9.7105611099999987</v>
      </c>
      <c r="J66" s="634">
        <f>+VLOOKUP($A$1,data!$A$165:$AU$195,11)</f>
        <v>8.9191697899999998</v>
      </c>
      <c r="K66" s="634">
        <f>+VLOOKUP($A$1,data!$A$165:$AU$195,12)</f>
        <v>8.3310734399999991</v>
      </c>
      <c r="L66" s="634">
        <f>+VLOOKUP($A$1,data!$A$165:$AU$195,13)</f>
        <v>8.9128980099999993</v>
      </c>
      <c r="M66" s="634">
        <f>+VLOOKUP($A$1,data!$A$165:$AU$195,14)</f>
        <v>8.4403754700000011</v>
      </c>
      <c r="N66" s="634">
        <f>SUM(B66:M66)</f>
        <v>104.25809851000001</v>
      </c>
      <c r="O66" s="638">
        <f t="shared" si="8"/>
        <v>104.25809851000001</v>
      </c>
      <c r="P66" s="639"/>
      <c r="S66" s="608" t="s">
        <v>93</v>
      </c>
      <c r="T66" s="645">
        <f>+VLOOKUP($A$1,data!$A$197:$AU$227,3)</f>
        <v>2.2633878000000003</v>
      </c>
      <c r="U66" s="645">
        <f>+VLOOKUP($A$1,data!$A$197:$AU$227,4)</f>
        <v>2.2324988100000001</v>
      </c>
      <c r="V66" s="645">
        <f>+VLOOKUP($A$1,data!$A$197:$AU$227,5)</f>
        <v>2.4619962000000002</v>
      </c>
      <c r="W66" s="645">
        <f>+VLOOKUP($A$1,data!$A$197:$AU$227,6)</f>
        <v>2.1839093900000002</v>
      </c>
      <c r="X66" s="645">
        <f>+VLOOKUP($A$1,data!$A$197:$AU$227,7)</f>
        <v>2.3537584299999996</v>
      </c>
      <c r="Y66" s="645">
        <f>+VLOOKUP($A$1,data!$A$197:$AU$227,8)</f>
        <v>2.4104416199999998</v>
      </c>
      <c r="Z66" s="645">
        <f>+VLOOKUP($A$1,data!$A$197:$AU$227,9)</f>
        <v>2.6725193100000002</v>
      </c>
      <c r="AA66" s="645">
        <f>+VLOOKUP($A$1,data!$A$197:$AU$227,10)</f>
        <v>2.3443180799999999</v>
      </c>
      <c r="AB66" s="645">
        <f>+VLOOKUP($A$1,data!$A$197:$AU$227,11)</f>
        <v>2.62284089</v>
      </c>
      <c r="AC66" s="645">
        <f>+VLOOKUP($A$1,data!$A$197:$AU$227,12)</f>
        <v>2.4326527000000002</v>
      </c>
      <c r="AD66" s="645">
        <f>+VLOOKUP($A$1,data!$A$197:$AU$227,13)</f>
        <v>2.3291832200000009</v>
      </c>
      <c r="AE66" s="645">
        <f>+VLOOKUP($A$1,data!$A$197:$AU$227,14)</f>
        <v>2.5564844300000003</v>
      </c>
      <c r="AF66" s="645">
        <f>SUM(T66:AE66)</f>
        <v>28.863990880000003</v>
      </c>
      <c r="AG66" s="646">
        <f t="shared" si="9"/>
        <v>28.863990880000003</v>
      </c>
      <c r="AH66" s="647"/>
      <c r="AI66" s="624" t="s">
        <v>93</v>
      </c>
      <c r="AJ66" s="650">
        <f>+B66-T66</f>
        <v>5.8046374299999997</v>
      </c>
      <c r="AK66" s="650">
        <f t="shared" si="7"/>
        <v>5.8800529199999998</v>
      </c>
      <c r="AL66" s="650">
        <f t="shared" si="7"/>
        <v>5.668953179999999</v>
      </c>
      <c r="AM66" s="650">
        <f t="shared" si="7"/>
        <v>6.1262118399999999</v>
      </c>
      <c r="AN66" s="650">
        <f t="shared" si="7"/>
        <v>6.8824199900000025</v>
      </c>
      <c r="AO66" s="650">
        <f t="shared" si="7"/>
        <v>5.9834634599999994</v>
      </c>
      <c r="AP66" s="650">
        <f t="shared" si="7"/>
        <v>7.0197703100000002</v>
      </c>
      <c r="AQ66" s="650">
        <f t="shared" si="7"/>
        <v>7.3662430299999988</v>
      </c>
      <c r="AR66" s="650">
        <f t="shared" si="7"/>
        <v>6.2963288999999998</v>
      </c>
      <c r="AS66" s="650">
        <f>+K66-AC66</f>
        <v>5.8984207399999988</v>
      </c>
      <c r="AT66" s="650">
        <f>+L66-AD66</f>
        <v>6.5837147899999984</v>
      </c>
      <c r="AU66" s="650">
        <f>+M66-AE66</f>
        <v>5.8838910400000008</v>
      </c>
      <c r="AV66" s="650">
        <f>SUM(AJ66:AU66)</f>
        <v>75.394107629999993</v>
      </c>
      <c r="AW66" s="654">
        <f t="shared" si="10"/>
        <v>75.394107629999993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7.4560674799999997</v>
      </c>
      <c r="D85" s="628">
        <f t="shared" ref="D85:N87" si="11">+C85+C64</f>
        <v>16.239049399999999</v>
      </c>
      <c r="E85" s="628">
        <f t="shared" si="11"/>
        <v>24.119544300000001</v>
      </c>
      <c r="F85" s="628">
        <f t="shared" si="11"/>
        <v>32.481228180000002</v>
      </c>
      <c r="G85" s="628">
        <f t="shared" si="11"/>
        <v>40.406739730000005</v>
      </c>
      <c r="H85" s="628">
        <f t="shared" si="11"/>
        <v>48.284875540000009</v>
      </c>
      <c r="I85" s="628">
        <f t="shared" si="11"/>
        <v>56.940705890000011</v>
      </c>
      <c r="J85" s="628">
        <f t="shared" si="11"/>
        <v>66.09301957000001</v>
      </c>
      <c r="K85" s="628">
        <f t="shared" si="11"/>
        <v>74.667797390000004</v>
      </c>
      <c r="L85" s="628">
        <f t="shared" si="11"/>
        <v>82.974455860000006</v>
      </c>
      <c r="M85" s="628">
        <f t="shared" si="11"/>
        <v>90.805054250000012</v>
      </c>
      <c r="N85" s="628">
        <f t="shared" si="11"/>
        <v>99.444385550000007</v>
      </c>
      <c r="S85"/>
      <c r="T85" s="605" t="s">
        <v>92</v>
      </c>
      <c r="U85" s="640">
        <f>+T64</f>
        <v>2.7660984800000001</v>
      </c>
      <c r="V85" s="640">
        <f t="shared" ref="V85:AF87" si="12">+U85+U64</f>
        <v>5.1700357500000003</v>
      </c>
      <c r="W85" s="640">
        <f t="shared" si="12"/>
        <v>7.6702900500000002</v>
      </c>
      <c r="X85" s="640">
        <f t="shared" si="12"/>
        <v>10.35735178</v>
      </c>
      <c r="Y85" s="640">
        <f t="shared" si="12"/>
        <v>12.69853895</v>
      </c>
      <c r="Z85" s="640">
        <f t="shared" si="12"/>
        <v>15.395948130000001</v>
      </c>
      <c r="AA85" s="640">
        <f t="shared" si="12"/>
        <v>17.52086212</v>
      </c>
      <c r="AB85" s="640">
        <f t="shared" si="12"/>
        <v>19.780118290000001</v>
      </c>
      <c r="AC85" s="640">
        <f t="shared" si="12"/>
        <v>22.302319310000001</v>
      </c>
      <c r="AD85" s="640">
        <f t="shared" si="12"/>
        <v>24.650610589999999</v>
      </c>
      <c r="AE85" s="640">
        <f t="shared" si="12"/>
        <v>27.774949029999998</v>
      </c>
      <c r="AF85" s="640">
        <f t="shared" si="12"/>
        <v>29.567412159999996</v>
      </c>
      <c r="AG85" s="158"/>
      <c r="AH85" s="158"/>
      <c r="AI85"/>
      <c r="AJ85" s="621" t="s">
        <v>92</v>
      </c>
      <c r="AK85" s="648">
        <f>+AJ64</f>
        <v>4.6899689999999996</v>
      </c>
      <c r="AL85" s="648">
        <f t="shared" ref="AL85:AV87" si="13">+AK85+AK64</f>
        <v>11.069013649999999</v>
      </c>
      <c r="AM85" s="648">
        <f t="shared" si="13"/>
        <v>16.449254249999999</v>
      </c>
      <c r="AN85" s="648">
        <f t="shared" si="13"/>
        <v>22.1238764</v>
      </c>
      <c r="AO85" s="648">
        <f t="shared" si="13"/>
        <v>27.708200780000002</v>
      </c>
      <c r="AP85" s="648">
        <f t="shared" si="13"/>
        <v>32.888927410000001</v>
      </c>
      <c r="AQ85" s="648">
        <f t="shared" si="13"/>
        <v>39.41984377</v>
      </c>
      <c r="AR85" s="648">
        <f t="shared" si="13"/>
        <v>46.312901279999998</v>
      </c>
      <c r="AS85" s="648">
        <f t="shared" si="13"/>
        <v>52.365478080000003</v>
      </c>
      <c r="AT85" s="648">
        <f t="shared" si="13"/>
        <v>58.323845270000007</v>
      </c>
      <c r="AU85" s="648">
        <f t="shared" si="13"/>
        <v>63.03010522000001</v>
      </c>
      <c r="AV85" s="648">
        <f t="shared" si="13"/>
        <v>69.876973390000018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8.5410389999999996</v>
      </c>
      <c r="D86" s="633">
        <f t="shared" si="11"/>
        <v>18.518695999999998</v>
      </c>
      <c r="E86" s="633">
        <f t="shared" si="11"/>
        <v>27.513875999999996</v>
      </c>
      <c r="F86" s="633">
        <f t="shared" si="11"/>
        <v>36.554725999999995</v>
      </c>
      <c r="G86" s="633">
        <f t="shared" si="11"/>
        <v>45.176979999999993</v>
      </c>
      <c r="H86" s="633">
        <f t="shared" si="11"/>
        <v>53.978635999999995</v>
      </c>
      <c r="I86" s="633">
        <f t="shared" si="11"/>
        <v>64.146897999999993</v>
      </c>
      <c r="J86" s="633">
        <f t="shared" si="11"/>
        <v>73.911345999999995</v>
      </c>
      <c r="K86" s="633">
        <f t="shared" si="11"/>
        <v>83.644087999999996</v>
      </c>
      <c r="L86" s="633">
        <f t="shared" si="11"/>
        <v>93.171081999999998</v>
      </c>
      <c r="M86" s="633">
        <f t="shared" si="11"/>
        <v>102.02618699999999</v>
      </c>
      <c r="N86" s="633">
        <f t="shared" si="11"/>
        <v>112.67755699999999</v>
      </c>
      <c r="S86"/>
      <c r="T86" s="601" t="s">
        <v>94</v>
      </c>
      <c r="U86" s="642">
        <f>+T65</f>
        <v>2.8455569999999999</v>
      </c>
      <c r="V86" s="642">
        <f t="shared" si="12"/>
        <v>5.4719189999999998</v>
      </c>
      <c r="W86" s="642">
        <f t="shared" si="12"/>
        <v>8.1552019999999992</v>
      </c>
      <c r="X86" s="642">
        <f t="shared" si="12"/>
        <v>10.896103999999999</v>
      </c>
      <c r="Y86" s="642">
        <f t="shared" si="12"/>
        <v>13.434757999999999</v>
      </c>
      <c r="Z86" s="642">
        <f t="shared" si="12"/>
        <v>16.250829</v>
      </c>
      <c r="AA86" s="642">
        <f t="shared" si="12"/>
        <v>18.660781999999998</v>
      </c>
      <c r="AB86" s="642">
        <f t="shared" si="12"/>
        <v>21.311691999999997</v>
      </c>
      <c r="AC86" s="642">
        <f t="shared" si="12"/>
        <v>24.073285999999996</v>
      </c>
      <c r="AD86" s="642">
        <f t="shared" si="12"/>
        <v>26.759710999999996</v>
      </c>
      <c r="AE86" s="642">
        <f t="shared" si="12"/>
        <v>29.772836999999996</v>
      </c>
      <c r="AF86" s="642">
        <f t="shared" si="12"/>
        <v>32.309770999999998</v>
      </c>
      <c r="AG86" s="158"/>
      <c r="AH86" s="158"/>
      <c r="AI86"/>
      <c r="AJ86" s="617" t="s">
        <v>94</v>
      </c>
      <c r="AK86" s="649">
        <f>+AJ65</f>
        <v>5.6954820000000002</v>
      </c>
      <c r="AL86" s="649">
        <f t="shared" si="13"/>
        <v>13.046777000000001</v>
      </c>
      <c r="AM86" s="649">
        <f t="shared" si="13"/>
        <v>19.358674000000001</v>
      </c>
      <c r="AN86" s="649">
        <f t="shared" si="13"/>
        <v>25.658622000000001</v>
      </c>
      <c r="AO86" s="649">
        <f t="shared" si="13"/>
        <v>31.742222000000002</v>
      </c>
      <c r="AP86" s="649">
        <f t="shared" si="13"/>
        <v>37.727806999999999</v>
      </c>
      <c r="AQ86" s="649">
        <f t="shared" si="13"/>
        <v>45.486115999999996</v>
      </c>
      <c r="AR86" s="649">
        <f t="shared" si="13"/>
        <v>52.599653999999994</v>
      </c>
      <c r="AS86" s="649">
        <f t="shared" si="13"/>
        <v>59.570801999999993</v>
      </c>
      <c r="AT86" s="649">
        <f t="shared" si="13"/>
        <v>66.411370999999988</v>
      </c>
      <c r="AU86" s="649">
        <f t="shared" si="13"/>
        <v>72.253349999999983</v>
      </c>
      <c r="AV86" s="649">
        <f t="shared" si="13"/>
        <v>80.367785999999981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8.0680252299999999</v>
      </c>
      <c r="D87" s="629">
        <f t="shared" si="11"/>
        <v>16.18057696</v>
      </c>
      <c r="E87" s="629">
        <f t="shared" si="11"/>
        <v>24.31152634</v>
      </c>
      <c r="F87" s="629">
        <f t="shared" si="11"/>
        <v>32.62164757</v>
      </c>
      <c r="G87" s="629">
        <f t="shared" si="11"/>
        <v>41.857825990000002</v>
      </c>
      <c r="H87" s="629">
        <f t="shared" si="11"/>
        <v>50.251731070000005</v>
      </c>
      <c r="I87" s="629">
        <f t="shared" si="11"/>
        <v>59.944020690000002</v>
      </c>
      <c r="J87" s="629">
        <f t="shared" si="11"/>
        <v>69.654581800000003</v>
      </c>
      <c r="K87" s="629">
        <f t="shared" si="11"/>
        <v>78.573751590000001</v>
      </c>
      <c r="L87" s="629">
        <f t="shared" si="11"/>
        <v>86.904825029999998</v>
      </c>
      <c r="M87" s="629">
        <f t="shared" si="11"/>
        <v>95.817723040000004</v>
      </c>
      <c r="N87" s="629">
        <f t="shared" si="11"/>
        <v>104.25809851000001</v>
      </c>
      <c r="S87"/>
      <c r="T87" s="608" t="s">
        <v>93</v>
      </c>
      <c r="U87" s="645">
        <f>+T66</f>
        <v>2.2633878000000003</v>
      </c>
      <c r="V87" s="645">
        <f t="shared" si="12"/>
        <v>4.4958866100000003</v>
      </c>
      <c r="W87" s="645">
        <f t="shared" si="12"/>
        <v>6.957882810000001</v>
      </c>
      <c r="X87" s="645">
        <f t="shared" si="12"/>
        <v>9.1417922000000011</v>
      </c>
      <c r="Y87" s="645">
        <f t="shared" si="12"/>
        <v>11.49555063</v>
      </c>
      <c r="Z87" s="645">
        <f t="shared" si="12"/>
        <v>13.905992250000001</v>
      </c>
      <c r="AA87" s="645">
        <f t="shared" si="12"/>
        <v>16.578511560000003</v>
      </c>
      <c r="AB87" s="645">
        <f t="shared" si="12"/>
        <v>18.922829640000003</v>
      </c>
      <c r="AC87" s="645">
        <f t="shared" si="12"/>
        <v>21.545670530000002</v>
      </c>
      <c r="AD87" s="645">
        <f t="shared" si="12"/>
        <v>23.978323230000001</v>
      </c>
      <c r="AE87" s="645">
        <f t="shared" si="12"/>
        <v>26.307506450000002</v>
      </c>
      <c r="AF87" s="645">
        <f t="shared" si="12"/>
        <v>28.863990880000003</v>
      </c>
      <c r="AG87" s="158"/>
      <c r="AH87" s="158"/>
      <c r="AI87"/>
      <c r="AJ87" s="624" t="s">
        <v>93</v>
      </c>
      <c r="AK87" s="650">
        <f>+AJ66</f>
        <v>5.8046374299999997</v>
      </c>
      <c r="AL87" s="650">
        <f t="shared" si="13"/>
        <v>11.68469035</v>
      </c>
      <c r="AM87" s="650">
        <f t="shared" si="13"/>
        <v>17.353643529999999</v>
      </c>
      <c r="AN87" s="650">
        <f t="shared" si="13"/>
        <v>23.479855369999999</v>
      </c>
      <c r="AO87" s="650">
        <f t="shared" si="13"/>
        <v>30.362275360000002</v>
      </c>
      <c r="AP87" s="650">
        <f t="shared" si="13"/>
        <v>36.345738820000001</v>
      </c>
      <c r="AQ87" s="650">
        <f t="shared" si="13"/>
        <v>43.36550913</v>
      </c>
      <c r="AR87" s="650">
        <f t="shared" si="13"/>
        <v>50.731752159999999</v>
      </c>
      <c r="AS87" s="650">
        <f t="shared" si="13"/>
        <v>57.028081059999998</v>
      </c>
      <c r="AT87" s="650">
        <f t="shared" si="13"/>
        <v>62.926501799999997</v>
      </c>
      <c r="AU87" s="650">
        <f t="shared" si="13"/>
        <v>69.510216589999999</v>
      </c>
      <c r="AV87" s="650">
        <f t="shared" si="13"/>
        <v>75.394107629999993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362" priority="15" operator="lessThan">
      <formula>0</formula>
    </cfRule>
  </conditionalFormatting>
  <conditionalFormatting sqref="O41">
    <cfRule type="cellIs" dxfId="361" priority="14" operator="lessThan">
      <formula>0</formula>
    </cfRule>
  </conditionalFormatting>
  <conditionalFormatting sqref="AX18:AX22">
    <cfRule type="cellIs" dxfId="360" priority="13" operator="lessThan">
      <formula>0</formula>
    </cfRule>
  </conditionalFormatting>
  <conditionalFormatting sqref="BN21:BN22">
    <cfRule type="cellIs" dxfId="359" priority="12" operator="lessThan">
      <formula>0</formula>
    </cfRule>
  </conditionalFormatting>
  <conditionalFormatting sqref="BB43:BB46">
    <cfRule type="cellIs" dxfId="358" priority="11" operator="greaterThan">
      <formula>0</formula>
    </cfRule>
  </conditionalFormatting>
  <conditionalFormatting sqref="AX18:AX20">
    <cfRule type="cellIs" dxfId="357" priority="10" operator="lessThan">
      <formula>0</formula>
    </cfRule>
  </conditionalFormatting>
  <conditionalFormatting sqref="BN18:BN20">
    <cfRule type="cellIs" dxfId="356" priority="9" operator="greaterThan">
      <formula>0</formula>
    </cfRule>
  </conditionalFormatting>
  <conditionalFormatting sqref="P18:P20">
    <cfRule type="cellIs" dxfId="355" priority="8" operator="lessThan">
      <formula>0</formula>
    </cfRule>
  </conditionalFormatting>
  <conditionalFormatting sqref="P67:P68">
    <cfRule type="cellIs" dxfId="354" priority="7" operator="lessThan">
      <formula>0</formula>
    </cfRule>
  </conditionalFormatting>
  <conditionalFormatting sqref="P64:P66">
    <cfRule type="cellIs" dxfId="353" priority="6" operator="lessThan">
      <formula>0</formula>
    </cfRule>
  </conditionalFormatting>
  <conditionalFormatting sqref="AH67:AH68">
    <cfRule type="cellIs" dxfId="352" priority="5" operator="lessThan">
      <formula>0</formula>
    </cfRule>
  </conditionalFormatting>
  <conditionalFormatting sqref="AH64:AH66">
    <cfRule type="cellIs" dxfId="351" priority="4" operator="greaterThan">
      <formula>0</formula>
    </cfRule>
  </conditionalFormatting>
  <conditionalFormatting sqref="AX67:AX68">
    <cfRule type="cellIs" dxfId="350" priority="3" operator="lessThan">
      <formula>0</formula>
    </cfRule>
  </conditionalFormatting>
  <conditionalFormatting sqref="AX64:AX66">
    <cfRule type="cellIs" dxfId="349" priority="2" operator="lessThan">
      <formula>0</formula>
    </cfRule>
  </conditionalFormatting>
  <conditionalFormatting sqref="S24:AH24 S21:T23 V21:AH23">
    <cfRule type="cellIs" dxfId="348" priority="1" operator="lessThan">
      <formula>0</formula>
    </cfRule>
  </conditionalFormatting>
  <pageMargins left="0.39370078740157483" right="0.19685039370078741" top="0.74803149606299213" bottom="0.33" header="0.31496062992125984" footer="0.31496062992125984"/>
  <pageSetup paperSize="9" scale="80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28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1008</v>
      </c>
      <c r="B3" s="807" t="str">
        <f>+VLOOKUP($A3,data!$A$4:$AH$32,2,0)</f>
        <v>แม่แตง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3510</v>
      </c>
      <c r="C9" s="180">
        <f>+VLOOKUP($A$3,data!$A$4:$AH$32,8,0)/10^6</f>
        <v>0.52554900000000004</v>
      </c>
      <c r="D9" s="181">
        <f>+VLOOKUP($A$3,data!$A$4:$AH$32,9,0)</f>
        <v>0.4217516912632111</v>
      </c>
      <c r="E9" s="180">
        <f>+VLOOKUP($A$3,data!$A$4:$AH$32,10,0)/10^6</f>
        <v>7.38049438</v>
      </c>
      <c r="F9" s="182">
        <f>+E9/C9</f>
        <v>14.043399150221957</v>
      </c>
      <c r="G9" s="179">
        <f>+VLOOKUP($A$3,data!$A$4:$AH$32,23,0)</f>
        <v>3622</v>
      </c>
      <c r="H9" s="180">
        <f>+VLOOKUP($A$3,data!$A$4:$AH$32,24,0)/10^6</f>
        <v>0.50721499999999997</v>
      </c>
      <c r="I9" s="181">
        <f>+VLOOKUP($A$3,data!$A$4:$AH$32,25,0)</f>
        <v>0.389688765279389</v>
      </c>
      <c r="J9" s="180">
        <f>+VLOOKUP($A$3,data!$A$4:$AH$32,26,0)/10^6</f>
        <v>7.0245758600000006</v>
      </c>
      <c r="K9" s="182">
        <f>+J9/H9</f>
        <v>13.849306231085439</v>
      </c>
    </row>
    <row r="10" spans="1:12" ht="26.25" x14ac:dyDescent="0.4">
      <c r="A10" s="187" t="s">
        <v>4</v>
      </c>
      <c r="B10" s="189">
        <f>+B9/B20</f>
        <v>0.71067017614901806</v>
      </c>
      <c r="C10" s="190"/>
      <c r="D10" s="190"/>
      <c r="E10" s="190"/>
      <c r="F10" s="191"/>
      <c r="G10" s="189">
        <f>+G9/G20</f>
        <v>0.70508078645123617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1227</v>
      </c>
      <c r="C13" s="180">
        <f>+VLOOKUP($A$3,data!$A$4:$AH$32,12,0)/10^6</f>
        <v>0.65951899999999997</v>
      </c>
      <c r="D13" s="181">
        <f>+VLOOKUP($A$3,data!$A$4:$AH$32,13,0)</f>
        <v>1.5423827314238274</v>
      </c>
      <c r="E13" s="180">
        <f>+VLOOKUP($A$3,data!$A$4:$AH$32,14,0)/10^6</f>
        <v>14.15100015</v>
      </c>
      <c r="F13" s="182">
        <f>+E13/C13</f>
        <v>21.456546589256718</v>
      </c>
      <c r="G13" s="179">
        <f>+VLOOKUP($A$3,data!$A$4:$AH$32,27,0)</f>
        <v>1309</v>
      </c>
      <c r="H13" s="180">
        <f>+VLOOKUP($A$3,data!$A$4:$AH$32,28,0)/10^6</f>
        <v>0.75867799999999996</v>
      </c>
      <c r="I13" s="181">
        <f>+VLOOKUP($A$3,data!$A$4:$AH$32,29,0)</f>
        <v>1.6392506806101723</v>
      </c>
      <c r="J13" s="180">
        <f>+VLOOKUP($A$3,data!$A$4:$AH$32,30,0)/10^6</f>
        <v>16.353979970000001</v>
      </c>
      <c r="K13" s="182">
        <f>+J13/H13</f>
        <v>21.555890601809992</v>
      </c>
    </row>
    <row r="14" spans="1:12" ht="26.25" x14ac:dyDescent="0.4">
      <c r="A14" s="187" t="s">
        <v>29</v>
      </c>
      <c r="B14" s="189">
        <f>+B13/B20</f>
        <v>0.24843085644867383</v>
      </c>
      <c r="C14" s="190"/>
      <c r="D14" s="190"/>
      <c r="E14" s="190"/>
      <c r="F14" s="191"/>
      <c r="G14" s="189">
        <f>+G13/G20</f>
        <v>0.25481798715203424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202</v>
      </c>
      <c r="C17" s="180">
        <f>+VLOOKUP($A$3,data!$A$4:$AH$32,16,0)/10^6</f>
        <v>8.8691999999999993E-2</v>
      </c>
      <c r="D17" s="181">
        <f>+VLOOKUP($A$3,data!$A$4:$AH$32,17,0)</f>
        <v>1.221064225235768</v>
      </c>
      <c r="E17" s="180">
        <f>+VLOOKUP($A$3,data!$A$4:$AH$32,18,0)/10^6</f>
        <v>2.37674195</v>
      </c>
      <c r="F17" s="182">
        <f>+E17/C17</f>
        <v>26.797703851531143</v>
      </c>
      <c r="G17" s="179">
        <f>+VLOOKUP($A$3,data!$A$4:$AH$32,31,0)</f>
        <v>206</v>
      </c>
      <c r="H17" s="180">
        <f>+VLOOKUP($A$3,data!$A$4:$AH$32,32,0)/10^6</f>
        <v>9.8034999999999997E-2</v>
      </c>
      <c r="I17" s="181">
        <f>+VLOOKUP($A$3,data!$A$4:$AH$32,33,0)</f>
        <v>1.3166129465484824</v>
      </c>
      <c r="J17" s="180">
        <f>+VLOOKUP($A$3,data!$A$4:$AH$32,34,0)/10^6</f>
        <v>2.6691649500000003</v>
      </c>
      <c r="K17" s="182">
        <f>+J17/H17</f>
        <v>27.226653236089156</v>
      </c>
    </row>
    <row r="18" spans="1:11" ht="26.25" x14ac:dyDescent="0.4">
      <c r="A18" s="187" t="s">
        <v>30</v>
      </c>
      <c r="B18" s="189">
        <f>+B17/B20</f>
        <v>4.089896740230816E-2</v>
      </c>
      <c r="C18" s="190"/>
      <c r="D18" s="190"/>
      <c r="E18" s="190"/>
      <c r="F18" s="191"/>
      <c r="G18" s="189">
        <f>+G17/G20</f>
        <v>4.0101226396729611E-2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4939</v>
      </c>
      <c r="C20" s="180">
        <f>+VLOOKUP($A$3,data!$A$4:$AH$32,4,0)/10^6</f>
        <v>1.27376</v>
      </c>
      <c r="D20" s="181">
        <f>+VLOOKUP($A$3,data!$A$4:$AH$32,5,0)</f>
        <v>0.72938727655084845</v>
      </c>
      <c r="E20" s="180">
        <f>+VLOOKUP($A$3,data!$A$4:$AH$32,6,0)/10^6</f>
        <v>23.908236479999996</v>
      </c>
      <c r="F20" s="182">
        <f>+E20/C20</f>
        <v>18.769812586358494</v>
      </c>
      <c r="G20" s="179">
        <f>+VLOOKUP($A$3,data!$A$4:$AH$32,19,0)</f>
        <v>5137</v>
      </c>
      <c r="H20" s="180">
        <f>+VLOOKUP($A$3,data!$A$4:$AH$32,20,0)/10^6</f>
        <v>1.363928</v>
      </c>
      <c r="I20" s="181">
        <f>+VLOOKUP($A$3,data!$A$4:$AH$32,21,0)</f>
        <v>0.74172073066611555</v>
      </c>
      <c r="J20" s="180">
        <f>+VLOOKUP($A$3,data!$A$4:$AH$32,22,0)/10^6</f>
        <v>26.047720780000002</v>
      </c>
      <c r="K20" s="182">
        <f>+J20/H20</f>
        <v>19.097577570077014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แม่แตง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topLeftCell="AE1" zoomScale="85" zoomScaleNormal="100" zoomScalePageLayoutView="85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6.25" style="158" bestFit="1" customWidth="1"/>
    <col min="3" max="4" width="5.625" style="158" bestFit="1" customWidth="1"/>
    <col min="5" max="5" width="5.375" style="158" bestFit="1" customWidth="1"/>
    <col min="6" max="6" width="5.625" style="158" bestFit="1" customWidth="1"/>
    <col min="7" max="7" width="6.375" style="158" bestFit="1" customWidth="1"/>
    <col min="8" max="8" width="6.625" style="158" bestFit="1" customWidth="1"/>
    <col min="9" max="9" width="6.375" style="158" bestFit="1" customWidth="1"/>
    <col min="10" max="12" width="6.625" style="158" bestFit="1" customWidth="1"/>
    <col min="13" max="14" width="6.3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40" width="7.125" style="158" customWidth="1"/>
    <col min="41" max="46" width="7.125" customWidth="1"/>
    <col min="47" max="47" width="6.625" bestFit="1" customWidth="1"/>
    <col min="48" max="48" width="6.75" bestFit="1" customWidth="1"/>
    <col min="49" max="49" width="7.875" bestFit="1" customWidth="1"/>
    <col min="50" max="50" width="7.125" customWidth="1"/>
    <col min="51" max="51" width="10.125" customWidth="1"/>
    <col min="52" max="52" width="7" bestFit="1" customWidth="1"/>
    <col min="53" max="57" width="6.875" bestFit="1" customWidth="1"/>
    <col min="58" max="58" width="7" bestFit="1" customWidth="1"/>
    <col min="59" max="67" width="6.875" bestFit="1" customWidth="1"/>
  </cols>
  <sheetData>
    <row r="1" spans="1:66" ht="27" thickBot="1" x14ac:dyDescent="0.25">
      <c r="A1" s="248">
        <v>1008</v>
      </c>
      <c r="B1" s="817" t="str">
        <f>+VLOOKUP($A$1,data!$A$4:$AH$32,2,0)</f>
        <v>แม่แตง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1008</v>
      </c>
      <c r="T1" s="817" t="str">
        <f>+VLOOKUP($A$1,data!$A$4:$AH$32,2,0)</f>
        <v>แม่แตง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1008</v>
      </c>
      <c r="AJ1" s="817" t="str">
        <f>+VLOOKUP($A$1,data!$A$4:$AH$32,2,0)</f>
        <v>แม่แตง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1008</v>
      </c>
      <c r="AZ1" s="817" t="str">
        <f>+VLOOKUP($A$1,data!$A$4:$AH$32,2,0)</f>
        <v>แม่แตง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20</v>
      </c>
      <c r="C18" s="406">
        <f>+VLOOKUP($A$1,data!$A$37:$AU$67,36)</f>
        <v>28</v>
      </c>
      <c r="D18" s="406">
        <f>+VLOOKUP($A$1,data!$A$37:$AU$67,37)</f>
        <v>25</v>
      </c>
      <c r="E18" s="406">
        <f>+VLOOKUP($A$1,data!$A$37:$AU$67,38)</f>
        <v>21</v>
      </c>
      <c r="F18" s="406">
        <f>+VLOOKUP($A$1,data!$A$37:$AU$67,39)</f>
        <v>20</v>
      </c>
      <c r="G18" s="406">
        <f>+VLOOKUP($A$1,data!$A$37:$AU$67,40)</f>
        <v>36</v>
      </c>
      <c r="H18" s="406">
        <f>+VLOOKUP($A$1,data!$A$37:$AU$67,41)</f>
        <v>64</v>
      </c>
      <c r="I18" s="406">
        <f>+VLOOKUP($A$1,data!$A$37:$AU$67,42)</f>
        <v>34</v>
      </c>
      <c r="J18" s="406">
        <f>+VLOOKUP($A$1,data!$A$37:$AU$67,43)</f>
        <v>29</v>
      </c>
      <c r="K18" s="406">
        <f>+VLOOKUP($A$1,data!$A$37:$AU$67,44)</f>
        <v>16</v>
      </c>
      <c r="L18" s="406">
        <f>+VLOOKUP($A$1,data!$A$37:$AU$67,45)</f>
        <v>28</v>
      </c>
      <c r="M18" s="406">
        <f>+VLOOKUP($A$1,data!$A$37:$AU$67,46)</f>
        <v>23</v>
      </c>
      <c r="N18" s="406">
        <f>SUM(B18:M18)</f>
        <v>344</v>
      </c>
      <c r="O18" s="406">
        <f>SUM(B18:M18)</f>
        <v>344</v>
      </c>
      <c r="P18" s="407">
        <f>+O20-O18</f>
        <v>-163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9.0230000000000005E-2</v>
      </c>
      <c r="AK18" s="418">
        <f>+VLOOKUP($A$1,data!$A$69:$AU$99,36)</f>
        <v>9.6406000000000006E-2</v>
      </c>
      <c r="AL18" s="418">
        <f>+VLOOKUP($A$1,data!$A$69:$AU$99,37)</f>
        <v>9.1666209999999998E-2</v>
      </c>
      <c r="AM18" s="418">
        <f>+VLOOKUP($A$1,data!$A$69:$AU$99,38)</f>
        <v>0.10529332000000001</v>
      </c>
      <c r="AN18" s="418">
        <f>+VLOOKUP($A$1,data!$A$69:$AU$99,39)</f>
        <v>9.9144029999999994E-2</v>
      </c>
      <c r="AO18" s="418">
        <f>+VLOOKUP($A$1,data!$A$69:$AU$99,40)</f>
        <v>0.10650151000000001</v>
      </c>
      <c r="AP18" s="418">
        <f>+VLOOKUP($A$1,data!$A$69:$AU$99,41)</f>
        <v>0.1177605</v>
      </c>
      <c r="AQ18" s="418">
        <f>+VLOOKUP($A$1,data!$A$69:$AU$99,42)</f>
        <v>0.13838400000000001</v>
      </c>
      <c r="AR18" s="418">
        <f>+VLOOKUP($A$1,data!$A$69:$AU$99,43)</f>
        <v>0.1140355</v>
      </c>
      <c r="AS18" s="418">
        <f>+VLOOKUP($A$1,data!$A$69:$AU$99,44)</f>
        <v>0.10986700000000001</v>
      </c>
      <c r="AT18" s="418">
        <f>+VLOOKUP($A$1,data!$A$69:$AU$99,45)</f>
        <v>0.102391</v>
      </c>
      <c r="AU18" s="418">
        <f>+VLOOKUP($A$1,data!$A$69:$AU$99,46)</f>
        <v>0.10975483</v>
      </c>
      <c r="AV18" s="418">
        <f>SUM(AJ18:AU18)</f>
        <v>1.2814338999999999</v>
      </c>
      <c r="AW18" s="418">
        <f>SUM(AJ18:AU18)</f>
        <v>1.2814338999999999</v>
      </c>
      <c r="AX18" s="419">
        <f>+AW20-AW18</f>
        <v>9.7336670000000014E-2</v>
      </c>
      <c r="AY18" s="308" t="s">
        <v>92</v>
      </c>
      <c r="AZ18" s="309">
        <f>+VLOOKUP($A$1,data!$A$101:$AU$131,35)</f>
        <v>2.0125000000000001E-2</v>
      </c>
      <c r="BA18" s="309">
        <f>+VLOOKUP($A$1,data!$A$101:$AU$131,36)</f>
        <v>2.1582E-2</v>
      </c>
      <c r="BB18" s="309">
        <f>+VLOOKUP($A$1,data!$A$101:$AU$131,37)</f>
        <v>4.317979000000001E-2</v>
      </c>
      <c r="BC18" s="309">
        <f>+VLOOKUP($A$1,data!$A$101:$AU$131,38)</f>
        <v>4.1068679999999996E-2</v>
      </c>
      <c r="BD18" s="309">
        <f>+VLOOKUP($A$1,data!$A$101:$AU$131,39)</f>
        <v>3.9195970000000004E-2</v>
      </c>
      <c r="BE18" s="309">
        <f>+VLOOKUP($A$1,data!$A$101:$AU$131,40)</f>
        <v>4.0012690000000004E-2</v>
      </c>
      <c r="BF18" s="309">
        <f>+VLOOKUP($A$1,data!$A$101:$AU$131,41)</f>
        <v>4.2228500000000002E-2</v>
      </c>
      <c r="BG18" s="309">
        <f>+VLOOKUP($A$1,data!$A$101:$AU$131,42)</f>
        <v>1.2142919999999984E-2</v>
      </c>
      <c r="BH18" s="309">
        <f>+VLOOKUP($A$1,data!$A$101:$AU$131,43)</f>
        <v>1.6985010000000009E-2</v>
      </c>
      <c r="BI18" s="309">
        <f>+VLOOKUP($A$1,data!$A$101:$AU$131,44)</f>
        <v>2.175197999999998E-2</v>
      </c>
      <c r="BJ18" s="309">
        <f>+VLOOKUP($A$1,data!$A$101:$AU$131,45)</f>
        <v>2.8518850000000005E-2</v>
      </c>
      <c r="BK18" s="309">
        <f>+VLOOKUP($A$1,data!$A$101:$AU$131,46)</f>
        <v>1.8581169999999998E-2</v>
      </c>
      <c r="BL18" s="309">
        <f>SUM(AZ18:BK18)</f>
        <v>0.34537256</v>
      </c>
      <c r="BM18" s="309">
        <f>SUM(AZ18:BK18)</f>
        <v>0.34537256</v>
      </c>
      <c r="BN18" s="310">
        <f>+BM20-BM18</f>
        <v>-2.1011870000000099E-2</v>
      </c>
    </row>
    <row r="19" spans="1:66" s="247" customFormat="1" ht="19.5" thickBot="1" x14ac:dyDescent="0.35">
      <c r="A19" s="408" t="s">
        <v>94</v>
      </c>
      <c r="B19" s="409">
        <f>+VLOOKUP($A$1,data!$A$37:$AU$67,19)</f>
        <v>16.842767295597486</v>
      </c>
      <c r="C19" s="409">
        <f>+VLOOKUP($A$1,data!$A$37:$AU$67,20)</f>
        <v>26.775681341719082</v>
      </c>
      <c r="D19" s="409">
        <f>+VLOOKUP($A$1,data!$A$37:$AU$67,21)</f>
        <v>20.729559748427675</v>
      </c>
      <c r="E19" s="409">
        <f>+VLOOKUP($A$1,data!$A$37:$AU$67,22)</f>
        <v>19.865828092243191</v>
      </c>
      <c r="F19" s="409">
        <f>+VLOOKUP($A$1,data!$A$37:$AU$67,23)</f>
        <v>50.096436058700213</v>
      </c>
      <c r="G19" s="409">
        <f>+VLOOKUP($A$1,data!$A$37:$AU$67,24)</f>
        <v>80.32704402515725</v>
      </c>
      <c r="H19" s="409">
        <f>+VLOOKUP($A$1,data!$A$37:$AU$67,25)</f>
        <v>53.983228511530399</v>
      </c>
      <c r="I19" s="409">
        <f>+VLOOKUP($A$1,data!$A$37:$AU$67,26)</f>
        <v>31.094339622641513</v>
      </c>
      <c r="J19" s="409">
        <f>+VLOOKUP($A$1,data!$A$37:$AU$67,27)</f>
        <v>38.867924528301899</v>
      </c>
      <c r="K19" s="409">
        <f>+VLOOKUP($A$1,data!$A$37:$AU$67,28)</f>
        <v>25.048218029350107</v>
      </c>
      <c r="L19" s="409">
        <f>+VLOOKUP($A$1,data!$A$37:$AU$67,29)</f>
        <v>28.935010482180296</v>
      </c>
      <c r="M19" s="409">
        <f>+VLOOKUP($A$1,data!$A$37:$AU$67,30)</f>
        <v>19.433962264150949</v>
      </c>
      <c r="N19" s="409">
        <f>SUM(B19:M19)</f>
        <v>412.00000000000011</v>
      </c>
      <c r="O19" s="630">
        <f t="shared" ref="O19:O20" si="0">SUM(B19:M19)</f>
        <v>412.00000000000011</v>
      </c>
      <c r="P19" s="412">
        <f>+O20-O19</f>
        <v>-231.00000000000011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8.4153000000000006E-2</v>
      </c>
      <c r="AK19" s="423">
        <f>+VLOOKUP($A$1,data!$A$69:$AU$99,20)</f>
        <v>8.7217000000000003E-2</v>
      </c>
      <c r="AL19" s="423">
        <f>+VLOOKUP($A$1,data!$A$69:$AU$99,21)</f>
        <v>8.5499000000000006E-2</v>
      </c>
      <c r="AM19" s="423">
        <f>+VLOOKUP($A$1,data!$A$69:$AU$99,22)</f>
        <v>9.4826999999999995E-2</v>
      </c>
      <c r="AN19" s="423">
        <f>+VLOOKUP($A$1,data!$A$69:$AU$99,23)</f>
        <v>9.0485999999999997E-2</v>
      </c>
      <c r="AO19" s="423">
        <f>+VLOOKUP($A$1,data!$A$69:$AU$99,24)</f>
        <v>9.1575000000000004E-2</v>
      </c>
      <c r="AP19" s="423">
        <f>+VLOOKUP($A$1,data!$A$69:$AU$99,25)</f>
        <v>0.102287</v>
      </c>
      <c r="AQ19" s="423">
        <f>+VLOOKUP($A$1,data!$A$69:$AU$99,26)</f>
        <v>0.116118</v>
      </c>
      <c r="AR19" s="423">
        <f>+VLOOKUP($A$1,data!$A$69:$AU$99,27)</f>
        <v>0.10492700000000001</v>
      </c>
      <c r="AS19" s="423">
        <f>+VLOOKUP($A$1,data!$A$69:$AU$99,28)</f>
        <v>0.101539</v>
      </c>
      <c r="AT19" s="423">
        <f>+VLOOKUP($A$1,data!$A$69:$AU$99,29)</f>
        <v>0.103196</v>
      </c>
      <c r="AU19" s="423">
        <f>+VLOOKUP($A$1,data!$A$69:$AU$99,30)</f>
        <v>0.102005</v>
      </c>
      <c r="AV19" s="423">
        <f>SUM(AJ19:AU19)</f>
        <v>1.163829</v>
      </c>
      <c r="AW19" s="424">
        <f t="shared" ref="AW19:AW20" si="1">SUM(AJ19:AU19)</f>
        <v>1.163829</v>
      </c>
      <c r="AX19" s="425">
        <f>+AW20-AW19</f>
        <v>0.21494156999999992</v>
      </c>
      <c r="AY19" s="311" t="s">
        <v>94</v>
      </c>
      <c r="AZ19" s="312">
        <f>+VLOOKUP($A$1,data!$A$101:$AU$131,19)</f>
        <v>2.3389E-2</v>
      </c>
      <c r="BA19" s="312">
        <f>+VLOOKUP($A$1,data!$A$101:$AU$131,20)</f>
        <v>2.2602000000000001E-2</v>
      </c>
      <c r="BB19" s="312">
        <f>+VLOOKUP($A$1,data!$A$101:$AU$131,21)</f>
        <v>3.3465000000000002E-2</v>
      </c>
      <c r="BC19" s="312">
        <f>+VLOOKUP($A$1,data!$A$101:$AU$131,22)</f>
        <v>3.1580999999999998E-2</v>
      </c>
      <c r="BD19" s="312">
        <f>+VLOOKUP($A$1,data!$A$101:$AU$131,23)</f>
        <v>2.8885999999999998E-2</v>
      </c>
      <c r="BE19" s="312">
        <f>+VLOOKUP($A$1,data!$A$101:$AU$131,24)</f>
        <v>3.4687999999999997E-2</v>
      </c>
      <c r="BF19" s="312">
        <f>+VLOOKUP($A$1,data!$A$101:$AU$131,25)</f>
        <v>4.4783999999999997E-2</v>
      </c>
      <c r="BG19" s="312">
        <f>+VLOOKUP($A$1,data!$A$101:$AU$131,26)</f>
        <v>2.6669000000000002E-2</v>
      </c>
      <c r="BH19" s="312">
        <f>+VLOOKUP($A$1,data!$A$101:$AU$131,27)</f>
        <v>2.6713000000000001E-2</v>
      </c>
      <c r="BI19" s="312">
        <f>+VLOOKUP($A$1,data!$A$101:$AU$131,28)</f>
        <v>2.7675000000000002E-2</v>
      </c>
      <c r="BJ19" s="312">
        <f>+VLOOKUP($A$1,data!$A$101:$AU$131,29)</f>
        <v>2.5634000000000001E-2</v>
      </c>
      <c r="BK19" s="312">
        <f>+VLOOKUP($A$1,data!$A$101:$AU$131,30)</f>
        <v>2.1555000000000001E-2</v>
      </c>
      <c r="BL19" s="312">
        <f>SUM(AZ19:BK19)</f>
        <v>0.34764099999999998</v>
      </c>
      <c r="BM19" s="313">
        <f t="shared" ref="BM19:BM20" si="2">SUM(AZ19:BK19)</f>
        <v>0.34764099999999998</v>
      </c>
      <c r="BN19" s="314">
        <f>+BM20-BM19</f>
        <v>-2.3280310000000082E-2</v>
      </c>
    </row>
    <row r="20" spans="1:66" s="247" customFormat="1" ht="19.5" thickBot="1" x14ac:dyDescent="0.35">
      <c r="A20" s="413" t="s">
        <v>93</v>
      </c>
      <c r="B20" s="414">
        <f>+VLOOKUP($A$1,data!$A$37:$AU$67,3)</f>
        <v>24</v>
      </c>
      <c r="C20" s="414">
        <f>+VLOOKUP($A$1,data!$A$37:$AU$67,4)</f>
        <v>18</v>
      </c>
      <c r="D20" s="414">
        <f>+VLOOKUP($A$1,data!$A$37:$AU$67,5)</f>
        <v>12</v>
      </c>
      <c r="E20" s="414">
        <f>+VLOOKUP($A$1,data!$A$37:$AU$67,6)</f>
        <v>13</v>
      </c>
      <c r="F20" s="414">
        <f>+VLOOKUP($A$1,data!$A$37:$AU$67,7)</f>
        <v>10</v>
      </c>
      <c r="G20" s="414">
        <f>+VLOOKUP($A$1,data!$A$37:$AU$67,8)</f>
        <v>24</v>
      </c>
      <c r="H20" s="414">
        <f>+VLOOKUP($A$1,data!$A$37:$AU$67,9)</f>
        <v>26</v>
      </c>
      <c r="I20" s="414">
        <f>+VLOOKUP($A$1,data!$A$37:$AU$67,10)</f>
        <v>15</v>
      </c>
      <c r="J20" s="414">
        <f>+VLOOKUP($A$1,data!$A$37:$AU$67,11)</f>
        <v>15</v>
      </c>
      <c r="K20" s="414">
        <f>+VLOOKUP($A$1,data!$A$37:$AU$67,12)</f>
        <v>7</v>
      </c>
      <c r="L20" s="414">
        <f>+VLOOKUP($A$1,data!$A$37:$AU$67,13)</f>
        <v>10</v>
      </c>
      <c r="M20" s="414">
        <f>+VLOOKUP($A$1,data!$A$37:$AU$67,14)</f>
        <v>7</v>
      </c>
      <c r="N20" s="414">
        <f>SUM(B20:M20)</f>
        <v>181</v>
      </c>
      <c r="O20" s="631">
        <f t="shared" si="0"/>
        <v>181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0.103203</v>
      </c>
      <c r="AK20" s="420">
        <f>+VLOOKUP($A$1,data!$A$69:$AU$99,4)</f>
        <v>0.105242</v>
      </c>
      <c r="AL20" s="420">
        <f>+VLOOKUP($A$1,data!$A$69:$AU$99,5)</f>
        <v>0.10981857</v>
      </c>
      <c r="AM20" s="420">
        <f>+VLOOKUP($A$1,data!$A$69:$AU$99,6)</f>
        <v>0.11737</v>
      </c>
      <c r="AN20" s="420">
        <f>+VLOOKUP($A$1,data!$A$69:$AU$99,7)</f>
        <v>0.11895799999999999</v>
      </c>
      <c r="AO20" s="420">
        <f>+VLOOKUP($A$1,data!$A$69:$AU$99,8)</f>
        <v>0.112329</v>
      </c>
      <c r="AP20" s="420">
        <f>+VLOOKUP($A$1,data!$A$69:$AU$99,9)</f>
        <v>0.12903500000000001</v>
      </c>
      <c r="AQ20" s="420">
        <f>+VLOOKUP($A$1,data!$A$69:$AU$99,10)</f>
        <v>0.12409199999999999</v>
      </c>
      <c r="AR20" s="420">
        <f>+VLOOKUP($A$1,data!$A$69:$AU$99,11)</f>
        <v>0.118738</v>
      </c>
      <c r="AS20" s="420">
        <f>+VLOOKUP($A$1,data!$A$69:$AU$99,12)</f>
        <v>0.107629</v>
      </c>
      <c r="AT20" s="420">
        <f>+VLOOKUP($A$1,data!$A$69:$AU$99,13)</f>
        <v>0.116539</v>
      </c>
      <c r="AU20" s="420">
        <f>+VLOOKUP($A$1,data!$A$69:$AU$99,14)</f>
        <v>0.115817</v>
      </c>
      <c r="AV20" s="420">
        <f>SUM(AJ20:AU20)</f>
        <v>1.3787705699999999</v>
      </c>
      <c r="AW20" s="421">
        <f t="shared" si="1"/>
        <v>1.3787705699999999</v>
      </c>
      <c r="AX20" s="422"/>
      <c r="AY20" s="315" t="s">
        <v>93</v>
      </c>
      <c r="AZ20" s="316">
        <f>+VLOOKUP($A$1,data!$A$101:$AU$131,3)</f>
        <v>3.4156390000000016E-2</v>
      </c>
      <c r="BA20" s="316">
        <f>+VLOOKUP($A$1,data!$A$101:$AU$131,4)</f>
        <v>3.2348369999999994E-2</v>
      </c>
      <c r="BB20" s="316">
        <f>+VLOOKUP($A$1,data!$A$101:$AU$131,5)</f>
        <v>3.9565260000000012E-2</v>
      </c>
      <c r="BC20" s="316">
        <f>+VLOOKUP($A$1,data!$A$101:$AU$131,6)</f>
        <v>3.2374270000000017E-2</v>
      </c>
      <c r="BD20" s="316">
        <f>+VLOOKUP($A$1,data!$A$101:$AU$131,7)</f>
        <v>2.1154789999999979E-2</v>
      </c>
      <c r="BE20" s="316">
        <f>+VLOOKUP($A$1,data!$A$101:$AU$131,8)</f>
        <v>4.1296950000000013E-2</v>
      </c>
      <c r="BF20" s="316">
        <f>+VLOOKUP($A$1,data!$A$101:$AU$131,9)</f>
        <v>1.6971229999999983E-2</v>
      </c>
      <c r="BG20" s="316">
        <f>+VLOOKUP($A$1,data!$A$101:$AU$131,10)</f>
        <v>1.6019739999999991E-2</v>
      </c>
      <c r="BH20" s="316">
        <f>+VLOOKUP($A$1,data!$A$101:$AU$131,11)</f>
        <v>1.3233729999999982E-2</v>
      </c>
      <c r="BI20" s="316">
        <f>+VLOOKUP($A$1,data!$A$101:$AU$131,12)</f>
        <v>3.3857330000000019E-2</v>
      </c>
      <c r="BJ20" s="316">
        <f>+VLOOKUP($A$1,data!$A$101:$AU$131,13)</f>
        <v>2.279747E-2</v>
      </c>
      <c r="BK20" s="316">
        <f>+VLOOKUP($A$1,data!$A$101:$AU$131,14)</f>
        <v>2.0585160000000005E-2</v>
      </c>
      <c r="BL20" s="316">
        <f>SUM(AZ20:BK20)</f>
        <v>0.3243606899999999</v>
      </c>
      <c r="BM20" s="317">
        <f t="shared" si="2"/>
        <v>0.3243606899999999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61.348008385744244</v>
      </c>
      <c r="W21" s="671">
        <f>+VLOOKUP($A$1,data!$A$261:$AK$291,16)</f>
        <v>46</v>
      </c>
      <c r="X21" s="671">
        <f>+VLOOKUP($A$1,data!$A$261:$AK$291,36)</f>
        <v>208.6373165618449</v>
      </c>
      <c r="Y21" s="671">
        <f>+VLOOKUP($A$1,data!$A$261:$AK$291,17)</f>
        <v>92</v>
      </c>
      <c r="Z21" s="671">
        <f>+VLOOKUP($A$1,data!$A$261:$AK$291,37)</f>
        <v>327.58280922431874</v>
      </c>
      <c r="AA21" s="671">
        <f>+VLOOKUP($A$1,data!$A$261:$AK$291,18)</f>
        <v>148</v>
      </c>
      <c r="AB21" s="671">
        <f>+VLOOKUP($A$1,data!$A$261:$AK$291,34)</f>
        <v>392.00000000000011</v>
      </c>
      <c r="AC21" s="671">
        <f>+VLOOKUP($A$1,data!$A$261:$AK$291,15)</f>
        <v>172</v>
      </c>
      <c r="AD21" s="671">
        <f>+AA21-Z21</f>
        <v>-179.58280922431874</v>
      </c>
      <c r="AE21" s="684">
        <f>+AC21-AB21</f>
        <v>-220.00000000000011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3</v>
      </c>
      <c r="W22" s="672">
        <f>+VLOOKUP($A$1,data!$A$229:$AK$259,16)</f>
        <v>8</v>
      </c>
      <c r="X22" s="672">
        <f>+VLOOKUP($A$1,data!$A$229:$AK$259,36)</f>
        <v>6</v>
      </c>
      <c r="Y22" s="672">
        <f>+VLOOKUP($A$1,data!$A$229:$AK$259,17)</f>
        <v>9</v>
      </c>
      <c r="Z22" s="672">
        <f>+VLOOKUP($A$1,data!$A$229:$AK$259,37)</f>
        <v>11</v>
      </c>
      <c r="AA22" s="672">
        <f>+VLOOKUP($A$1,data!$A$229:$AK$259,18)</f>
        <v>9</v>
      </c>
      <c r="AB22" s="672">
        <f>+VLOOKUP($A$1,data!$A$229:$AK$259,34)</f>
        <v>20</v>
      </c>
      <c r="AC22" s="765">
        <f>+VLOOKUP($A$1,data!$A$229:$AK$259,15)</f>
        <v>9</v>
      </c>
      <c r="AD22" s="671">
        <f>+AA22-Z22</f>
        <v>-2</v>
      </c>
      <c r="AE22" s="685">
        <f>+AC22-AB22</f>
        <v>-11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64.348008385744237</v>
      </c>
      <c r="W23" s="689">
        <f t="shared" ref="W23:AC23" si="3">SUM(W21:W22)</f>
        <v>54</v>
      </c>
      <c r="X23" s="689">
        <f t="shared" si="3"/>
        <v>214.6373165618449</v>
      </c>
      <c r="Y23" s="689">
        <f t="shared" si="3"/>
        <v>101</v>
      </c>
      <c r="Z23" s="689">
        <f t="shared" si="3"/>
        <v>338.58280922431874</v>
      </c>
      <c r="AA23" s="689">
        <f t="shared" si="3"/>
        <v>157</v>
      </c>
      <c r="AB23" s="689">
        <f t="shared" si="3"/>
        <v>412.00000000000011</v>
      </c>
      <c r="AC23" s="764">
        <f t="shared" si="3"/>
        <v>181</v>
      </c>
      <c r="AD23" s="689">
        <f>+AA23-Z23</f>
        <v>-181.58280922431874</v>
      </c>
      <c r="AE23" s="686">
        <f>+AC23-AB23</f>
        <v>-231.00000000000011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20</v>
      </c>
      <c r="D39" s="406">
        <f t="shared" ref="D39:N41" si="4">+C39+C18</f>
        <v>48</v>
      </c>
      <c r="E39" s="406">
        <f t="shared" si="4"/>
        <v>73</v>
      </c>
      <c r="F39" s="406">
        <f t="shared" si="4"/>
        <v>94</v>
      </c>
      <c r="G39" s="406">
        <f t="shared" si="4"/>
        <v>114</v>
      </c>
      <c r="H39" s="406">
        <f t="shared" si="4"/>
        <v>150</v>
      </c>
      <c r="I39" s="406">
        <f t="shared" si="4"/>
        <v>214</v>
      </c>
      <c r="J39" s="406">
        <f t="shared" si="4"/>
        <v>248</v>
      </c>
      <c r="K39" s="406">
        <f t="shared" si="4"/>
        <v>277</v>
      </c>
      <c r="L39" s="406">
        <f t="shared" si="4"/>
        <v>293</v>
      </c>
      <c r="M39" s="406">
        <f t="shared" si="4"/>
        <v>321</v>
      </c>
      <c r="N39" s="406">
        <f t="shared" si="4"/>
        <v>344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9.0230000000000005E-2</v>
      </c>
      <c r="AL39" s="418">
        <f t="shared" ref="AL39:AV41" si="5">+AK39+AK18</f>
        <v>0.18663600000000002</v>
      </c>
      <c r="AM39" s="418">
        <f t="shared" si="5"/>
        <v>0.27830220999999999</v>
      </c>
      <c r="AN39" s="418">
        <f t="shared" si="5"/>
        <v>0.38359553000000002</v>
      </c>
      <c r="AO39" s="418">
        <f t="shared" si="5"/>
        <v>0.48273956000000001</v>
      </c>
      <c r="AP39" s="418">
        <f t="shared" si="5"/>
        <v>0.58924107000000003</v>
      </c>
      <c r="AQ39" s="418">
        <f t="shared" si="5"/>
        <v>0.70700157000000008</v>
      </c>
      <c r="AR39" s="418">
        <f t="shared" si="5"/>
        <v>0.84538557000000014</v>
      </c>
      <c r="AS39" s="418">
        <f t="shared" si="5"/>
        <v>0.9594210700000001</v>
      </c>
      <c r="AT39" s="418">
        <f t="shared" si="5"/>
        <v>1.06928807</v>
      </c>
      <c r="AU39" s="418">
        <f t="shared" si="5"/>
        <v>1.1716790699999999</v>
      </c>
      <c r="AV39" s="418">
        <f t="shared" si="5"/>
        <v>1.2814338999999999</v>
      </c>
      <c r="AW39" s="158"/>
      <c r="AX39" s="158"/>
      <c r="AY39" s="308" t="s">
        <v>92</v>
      </c>
      <c r="AZ39" s="464">
        <f>+VLOOKUP($A$1,data!$A$133:$BK$163,26)</f>
        <v>18.178615625028229</v>
      </c>
      <c r="BA39" s="464">
        <f>+VLOOKUP($A$1,data!$A$133:$BK$163,27)</f>
        <v>18.25208890091675</v>
      </c>
      <c r="BB39" s="464">
        <f>+VLOOKUP($A$1,data!$A$133:$BK$163,28)</f>
        <v>31.931809946385659</v>
      </c>
      <c r="BC39" s="464">
        <f>+VLOOKUP($A$1,data!$A$133:$BK$163,29)</f>
        <v>23.309276283994564</v>
      </c>
      <c r="BD39" s="464">
        <f>+VLOOKUP($A$1,data!$A$133:$BK$163,30)</f>
        <v>27.973081769573948</v>
      </c>
      <c r="BE39" s="464">
        <f>+VLOOKUP($A$1,data!$A$133:$BK$163,31)</f>
        <v>28.212341289263815</v>
      </c>
      <c r="BF39" s="464">
        <f>+VLOOKUP($A$1,data!$A$133:$BK$163,32)</f>
        <v>27.258049133400817</v>
      </c>
      <c r="BG39" s="464">
        <f>+VLOOKUP($A$1,data!$A$133:$BK$163,33)</f>
        <v>25.751250886138489</v>
      </c>
      <c r="BH39" s="464">
        <f>+VLOOKUP($A$1,data!$A$133:$BK$163,34)</f>
        <v>26.362660207387801</v>
      </c>
      <c r="BI39" s="464">
        <f>+VLOOKUP($A$1,data!$A$133:$BK$163,35)</f>
        <v>8.0546886649625336</v>
      </c>
      <c r="BJ39" s="464">
        <f>+VLOOKUP($A$1,data!$A$133:$BK$163,36)</f>
        <v>12.961351538889646</v>
      </c>
      <c r="BK39" s="464">
        <f>+VLOOKUP($A$1,data!$A$133:$BK$163,37)</f>
        <v>22.32349148839495</v>
      </c>
      <c r="BL39" s="464">
        <f>+VLOOKUP($A$1,data!$A$133:$BK$163,38)</f>
        <v>16.526476652531407</v>
      </c>
      <c r="BM39" s="464">
        <f>+VLOOKUP($A$1,data!$A$133:$BK$163,39)</f>
        <v>21.78127948792072</v>
      </c>
      <c r="BN39" s="464">
        <f>+VLOOKUP($A$1,data!$A$133:$BK$163,40)</f>
        <v>14.478532913601793</v>
      </c>
      <c r="BO39" s="464">
        <f>+VLOOKUP($A$1,data!$A$133:$BK$163,41)</f>
        <v>21.193890622956349</v>
      </c>
    </row>
    <row r="40" spans="1:67" ht="21.75" thickBot="1" x14ac:dyDescent="0.4">
      <c r="A40"/>
      <c r="B40" s="408" t="s">
        <v>94</v>
      </c>
      <c r="C40" s="409">
        <f>+B19</f>
        <v>16.842767295597486</v>
      </c>
      <c r="D40" s="409">
        <f t="shared" si="4"/>
        <v>43.618448637316568</v>
      </c>
      <c r="E40" s="409">
        <f t="shared" si="4"/>
        <v>64.348008385744237</v>
      </c>
      <c r="F40" s="409">
        <f t="shared" si="4"/>
        <v>84.213836477987428</v>
      </c>
      <c r="G40" s="409">
        <f t="shared" si="4"/>
        <v>134.31027253668765</v>
      </c>
      <c r="H40" s="409">
        <f t="shared" si="4"/>
        <v>214.6373165618449</v>
      </c>
      <c r="I40" s="409">
        <f t="shared" si="4"/>
        <v>268.6205450733753</v>
      </c>
      <c r="J40" s="409">
        <f t="shared" si="4"/>
        <v>299.71488469601684</v>
      </c>
      <c r="K40" s="409">
        <f t="shared" si="4"/>
        <v>338.58280922431874</v>
      </c>
      <c r="L40" s="409">
        <f t="shared" si="4"/>
        <v>363.63102725366883</v>
      </c>
      <c r="M40" s="409">
        <f t="shared" si="4"/>
        <v>392.56603773584914</v>
      </c>
      <c r="N40" s="409">
        <f t="shared" si="4"/>
        <v>412.00000000000011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8.4153000000000006E-2</v>
      </c>
      <c r="AL40" s="423">
        <f t="shared" si="5"/>
        <v>0.17137000000000002</v>
      </c>
      <c r="AM40" s="423">
        <f t="shared" si="5"/>
        <v>0.25686900000000001</v>
      </c>
      <c r="AN40" s="423">
        <f t="shared" si="5"/>
        <v>0.35169600000000001</v>
      </c>
      <c r="AO40" s="423">
        <f t="shared" si="5"/>
        <v>0.44218200000000002</v>
      </c>
      <c r="AP40" s="423">
        <f t="shared" si="5"/>
        <v>0.53375700000000004</v>
      </c>
      <c r="AQ40" s="423">
        <f t="shared" si="5"/>
        <v>0.63604400000000005</v>
      </c>
      <c r="AR40" s="423">
        <f t="shared" si="5"/>
        <v>0.752162</v>
      </c>
      <c r="AS40" s="423">
        <f t="shared" si="5"/>
        <v>0.85708899999999999</v>
      </c>
      <c r="AT40" s="423">
        <f t="shared" si="5"/>
        <v>0.95862800000000004</v>
      </c>
      <c r="AU40" s="423">
        <f t="shared" si="5"/>
        <v>1.0618240000000001</v>
      </c>
      <c r="AV40" s="423">
        <f t="shared" si="5"/>
        <v>1.163829</v>
      </c>
      <c r="AW40" s="158"/>
      <c r="AX40" s="158"/>
      <c r="AY40" s="311" t="s">
        <v>94</v>
      </c>
      <c r="AZ40" s="458">
        <f>+VLOOKUP($A$1,data!$A$133:$BK$163,22)</f>
        <v>23.000191866196484</v>
      </c>
      <c r="BA40" s="458">
        <f>+$AZ$40</f>
        <v>23.000191866196484</v>
      </c>
      <c r="BB40" s="458">
        <f t="shared" ref="BB40:BO40" si="6">+$AZ$40</f>
        <v>23.000191866196484</v>
      </c>
      <c r="BC40" s="458">
        <f t="shared" si="6"/>
        <v>23.000191866196484</v>
      </c>
      <c r="BD40" s="458">
        <f t="shared" si="6"/>
        <v>23.000191866196484</v>
      </c>
      <c r="BE40" s="458">
        <f t="shared" si="6"/>
        <v>23.000191866196484</v>
      </c>
      <c r="BF40" s="458">
        <f t="shared" si="6"/>
        <v>23.000191866196484</v>
      </c>
      <c r="BG40" s="458">
        <f t="shared" si="6"/>
        <v>23.000191866196484</v>
      </c>
      <c r="BH40" s="458">
        <f t="shared" si="6"/>
        <v>23.000191866196484</v>
      </c>
      <c r="BI40" s="458">
        <f t="shared" si="6"/>
        <v>23.000191866196484</v>
      </c>
      <c r="BJ40" s="458">
        <f t="shared" si="6"/>
        <v>23.000191866196484</v>
      </c>
      <c r="BK40" s="458">
        <f t="shared" si="6"/>
        <v>23.000191866196484</v>
      </c>
      <c r="BL40" s="458">
        <f t="shared" si="6"/>
        <v>23.000191866196484</v>
      </c>
      <c r="BM40" s="458">
        <f t="shared" si="6"/>
        <v>23.000191866196484</v>
      </c>
      <c r="BN40" s="458">
        <f t="shared" si="6"/>
        <v>23.000191866196484</v>
      </c>
      <c r="BO40" s="458">
        <f t="shared" si="6"/>
        <v>23.000191866196484</v>
      </c>
    </row>
    <row r="41" spans="1:67" ht="21.75" thickBot="1" x14ac:dyDescent="0.4">
      <c r="A41"/>
      <c r="B41" s="413" t="s">
        <v>93</v>
      </c>
      <c r="C41" s="414">
        <f>+B20</f>
        <v>24</v>
      </c>
      <c r="D41" s="414">
        <f t="shared" si="4"/>
        <v>42</v>
      </c>
      <c r="E41" s="414">
        <f t="shared" si="4"/>
        <v>54</v>
      </c>
      <c r="F41" s="414">
        <f t="shared" si="4"/>
        <v>67</v>
      </c>
      <c r="G41" s="414">
        <f t="shared" si="4"/>
        <v>77</v>
      </c>
      <c r="H41" s="414">
        <f t="shared" si="4"/>
        <v>101</v>
      </c>
      <c r="I41" s="414">
        <f t="shared" si="4"/>
        <v>127</v>
      </c>
      <c r="J41" s="414">
        <f t="shared" si="4"/>
        <v>142</v>
      </c>
      <c r="K41" s="414">
        <f t="shared" si="4"/>
        <v>157</v>
      </c>
      <c r="L41" s="414">
        <f t="shared" si="4"/>
        <v>164</v>
      </c>
      <c r="M41" s="414">
        <f t="shared" si="4"/>
        <v>174</v>
      </c>
      <c r="N41" s="414">
        <f t="shared" si="4"/>
        <v>181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0.103203</v>
      </c>
      <c r="AL41" s="420">
        <f t="shared" si="5"/>
        <v>0.20844499999999999</v>
      </c>
      <c r="AM41" s="420">
        <f t="shared" si="5"/>
        <v>0.31826357</v>
      </c>
      <c r="AN41" s="420">
        <f t="shared" si="5"/>
        <v>0.43563357000000003</v>
      </c>
      <c r="AO41" s="420">
        <f t="shared" si="5"/>
        <v>0.55459157000000003</v>
      </c>
      <c r="AP41" s="420">
        <f t="shared" si="5"/>
        <v>0.66692057000000005</v>
      </c>
      <c r="AQ41" s="420">
        <f t="shared" si="5"/>
        <v>0.79595557000000006</v>
      </c>
      <c r="AR41" s="420">
        <f t="shared" si="5"/>
        <v>0.92004757000000004</v>
      </c>
      <c r="AS41" s="420">
        <f t="shared" si="5"/>
        <v>1.0387855699999999</v>
      </c>
      <c r="AT41" s="420">
        <f t="shared" si="5"/>
        <v>1.1464145699999999</v>
      </c>
      <c r="AU41" s="420">
        <f t="shared" si="5"/>
        <v>1.2629535699999999</v>
      </c>
      <c r="AV41" s="420">
        <f t="shared" si="5"/>
        <v>1.3787705699999999</v>
      </c>
      <c r="AW41" s="158"/>
      <c r="AX41" s="158"/>
      <c r="AY41" s="315" t="s">
        <v>93</v>
      </c>
      <c r="AZ41" s="442">
        <f>+VLOOKUP($A$1,data!$A$133:$BK$163,3)</f>
        <v>24.866439782529618</v>
      </c>
      <c r="BA41" s="442">
        <f>+VLOOKUP($A$1,data!$A$133:$BK$163,4)</f>
        <v>23.510635228323025</v>
      </c>
      <c r="BB41" s="442">
        <f>+VLOOKUP($A$1,data!$A$133:$BK$163,5)</f>
        <v>26.485637702554556</v>
      </c>
      <c r="BC41" s="442">
        <f>+VLOOKUP($A$1,data!$A$133:$BK$163,6)</f>
        <v>24.996847409605259</v>
      </c>
      <c r="BD41" s="442">
        <f>+VLOOKUP($A$1,data!$A$133:$BK$163,7)</f>
        <v>21.619705381715114</v>
      </c>
      <c r="BE41" s="442">
        <f>+VLOOKUP($A$1,data!$A$133:$BK$163,8)</f>
        <v>15.098400367304071</v>
      </c>
      <c r="BF41" s="442">
        <f>+VLOOKUP($A$1,data!$A$133:$BK$163,9)</f>
        <v>26.881493653904183</v>
      </c>
      <c r="BG41" s="442">
        <f>+VLOOKUP($A$1,data!$A$133:$BK$163,10)</f>
        <v>23.149595202488637</v>
      </c>
      <c r="BH41" s="442">
        <f>+VLOOKUP($A$1,data!$A$133:$BK$163,11)</f>
        <v>11.623634142186935</v>
      </c>
      <c r="BI41" s="442">
        <f>+VLOOKUP($A$1,data!$A$133:$BK$163,12)</f>
        <v>11.433545825638873</v>
      </c>
      <c r="BJ41" s="442">
        <f>+VLOOKUP($A$1,data!$A$133:$BK$163,13)</f>
        <v>10.027700629521172</v>
      </c>
      <c r="BK41" s="442">
        <f>+VLOOKUP($A$1,data!$A$133:$BK$163,14)</f>
        <v>19.217631175770737</v>
      </c>
      <c r="BL41" s="442">
        <f>+VLOOKUP($A$1,data!$A$133:$BK$163,15)</f>
        <v>23.92975349632718</v>
      </c>
      <c r="BM41" s="442">
        <f>+VLOOKUP($A$1,data!$A$133:$BK$163,16)</f>
        <v>16.354409835485793</v>
      </c>
      <c r="BN41" s="442">
        <f>+VLOOKUP($A$1,data!$A$133:$BK$163,17)</f>
        <v>15.08223251353837</v>
      </c>
      <c r="BO41" s="442">
        <f>+VLOOKUP($A$1,data!$A$133:$BK$163,18)</f>
        <v>19.043351219696572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21.193890622956349</v>
      </c>
      <c r="BA43" s="826">
        <f>+VLOOKUP($A$1,data!$A$133:$BK$163,26)</f>
        <v>18.178615625028229</v>
      </c>
      <c r="BB43" s="473">
        <f>+AZ45-AZ43</f>
        <v>-2.1505394032597778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23.000191866196484</v>
      </c>
      <c r="BA44" s="830"/>
      <c r="BB44" s="472">
        <f>+AZ45-AZ44</f>
        <v>-3.9568406464999129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19.043351219696572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1008</v>
      </c>
      <c r="B47" s="817" t="str">
        <f>+VLOOKUP($A$1,data!$A$4:$AH$32,2,0)</f>
        <v>แม่แตง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1008</v>
      </c>
      <c r="T47" s="817" t="str">
        <f>+VLOOKUP($A$1,data!$A$4:$AH$32,2,0)</f>
        <v>แม่แตง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1008</v>
      </c>
      <c r="AJ47" s="817" t="str">
        <f>+VLOOKUP($A$1,data!$A$4:$AH$32,2,0)</f>
        <v>แม่แตง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1.8526508000000004</v>
      </c>
      <c r="C64" s="632">
        <f>+VLOOKUP($A$1,data!$A$165:$AU$195,36)</f>
        <v>1.9554097199999998</v>
      </c>
      <c r="D64" s="632">
        <f>+VLOOKUP($A$1,data!$A$165:$AU$195,37)</f>
        <v>1.8985084100000003</v>
      </c>
      <c r="E64" s="632">
        <f>+VLOOKUP($A$1,data!$A$165:$AU$195,38)</f>
        <v>2.1602298100000001</v>
      </c>
      <c r="F64" s="632">
        <f>+VLOOKUP($A$1,data!$A$165:$AU$195,39)</f>
        <v>2.2579211200000002</v>
      </c>
      <c r="G64" s="632">
        <f>+VLOOKUP($A$1,data!$A$165:$AU$195,40)</f>
        <v>2.1966791400000001</v>
      </c>
      <c r="H64" s="632">
        <f>+VLOOKUP($A$1,data!$A$165:$AU$195,41)</f>
        <v>2.4000737999999999</v>
      </c>
      <c r="I64" s="632">
        <f>+VLOOKUP($A$1,data!$A$165:$AU$195,42)</f>
        <v>2.7785699299999997</v>
      </c>
      <c r="J64" s="632">
        <f>+VLOOKUP($A$1,data!$A$165:$AU$195,43)</f>
        <v>2.3127732999999999</v>
      </c>
      <c r="K64" s="632">
        <f>+VLOOKUP($A$1,data!$A$165:$AU$195,44)</f>
        <v>2.2253382500000001</v>
      </c>
      <c r="L64" s="632">
        <f>+VLOOKUP($A$1,data!$A$165:$AU$195,45)</f>
        <v>2.0617992600000004</v>
      </c>
      <c r="M64" s="632">
        <f>+VLOOKUP($A$1,data!$A$165:$AU$195,46)</f>
        <v>2.2529813700000001</v>
      </c>
      <c r="N64" s="632">
        <f>SUM(B64:M64)</f>
        <v>26.352934910000002</v>
      </c>
      <c r="O64" s="632">
        <f>SUM(B64:M64)</f>
        <v>26.352934910000002</v>
      </c>
      <c r="P64" s="635">
        <f>+O66-O64</f>
        <v>2.0467574200000023</v>
      </c>
      <c r="S64" s="605" t="s">
        <v>92</v>
      </c>
      <c r="T64" s="640">
        <f>+VLOOKUP($A$1,data!$A$197:$AU$227,35)</f>
        <v>0.88388347</v>
      </c>
      <c r="U64" s="640">
        <f>+VLOOKUP($A$1,data!$A$197:$AU$227,36)</f>
        <v>1.0645957899999998</v>
      </c>
      <c r="V64" s="640">
        <f>+VLOOKUP($A$1,data!$A$197:$AU$227,37)</f>
        <v>1.0092266399999998</v>
      </c>
      <c r="W64" s="640">
        <f>+VLOOKUP($A$1,data!$A$197:$AU$227,38)</f>
        <v>1.0361366599999997</v>
      </c>
      <c r="X64" s="640">
        <f>+VLOOKUP($A$1,data!$A$197:$AU$227,39)</f>
        <v>1.1049902700000001</v>
      </c>
      <c r="Y64" s="640">
        <f>+VLOOKUP($A$1,data!$A$197:$AU$227,40)</f>
        <v>1.2084945499999999</v>
      </c>
      <c r="Z64" s="640">
        <f>+VLOOKUP($A$1,data!$A$197:$AU$227,41)</f>
        <v>1.0760013799999999</v>
      </c>
      <c r="AA64" s="640">
        <f>+VLOOKUP($A$1,data!$A$197:$AU$227,42)</f>
        <v>1.0970516299999999</v>
      </c>
      <c r="AB64" s="640">
        <f>+VLOOKUP($A$1,data!$A$197:$AU$227,43)</f>
        <v>1.0747145300000003</v>
      </c>
      <c r="AC64" s="640">
        <f>+VLOOKUP($A$1,data!$A$197:$AU$227,44)</f>
        <v>0.99596702000000004</v>
      </c>
      <c r="AD64" s="640">
        <f>+VLOOKUP($A$1,data!$A$197:$AU$227,45)</f>
        <v>0.98055031000000004</v>
      </c>
      <c r="AE64" s="640">
        <f>+VLOOKUP($A$1,data!$A$197:$AU$227,46)</f>
        <v>1.2516732099999999</v>
      </c>
      <c r="AF64" s="640">
        <f>SUM(T64:AE64)</f>
        <v>12.783285459999998</v>
      </c>
      <c r="AG64" s="640">
        <f>SUM(T64:AE64)</f>
        <v>12.783285459999998</v>
      </c>
      <c r="AH64" s="641">
        <f>+AG66-AG64</f>
        <v>-0.65284264999999841</v>
      </c>
      <c r="AI64" s="621" t="s">
        <v>92</v>
      </c>
      <c r="AJ64" s="648">
        <f>+B64-T64</f>
        <v>0.96876733000000037</v>
      </c>
      <c r="AK64" s="648">
        <f t="shared" ref="AK64:AU66" si="7">+C64-U64</f>
        <v>0.89081392999999998</v>
      </c>
      <c r="AL64" s="648">
        <f t="shared" si="7"/>
        <v>0.88928177000000042</v>
      </c>
      <c r="AM64" s="648">
        <f t="shared" si="7"/>
        <v>1.1240931500000004</v>
      </c>
      <c r="AN64" s="648">
        <f t="shared" si="7"/>
        <v>1.1529308500000002</v>
      </c>
      <c r="AO64" s="648">
        <f t="shared" si="7"/>
        <v>0.98818459000000014</v>
      </c>
      <c r="AP64" s="648">
        <f t="shared" si="7"/>
        <v>1.32407242</v>
      </c>
      <c r="AQ64" s="648">
        <f t="shared" si="7"/>
        <v>1.6815182999999998</v>
      </c>
      <c r="AR64" s="648">
        <f t="shared" si="7"/>
        <v>1.2380587699999996</v>
      </c>
      <c r="AS64" s="648">
        <f t="shared" si="7"/>
        <v>1.2293712299999999</v>
      </c>
      <c r="AT64" s="648">
        <f t="shared" si="7"/>
        <v>1.0812489500000004</v>
      </c>
      <c r="AU64" s="648">
        <f t="shared" si="7"/>
        <v>1.0013081600000002</v>
      </c>
      <c r="AV64" s="648">
        <f>SUM(AJ64:AU64)</f>
        <v>13.569649450000004</v>
      </c>
      <c r="AW64" s="648">
        <f>SUM(AJ64:AU64)</f>
        <v>13.569649450000004</v>
      </c>
      <c r="AX64" s="651">
        <f>+AW66-AW64</f>
        <v>2.6996000699999989</v>
      </c>
    </row>
    <row r="65" spans="1:50" ht="21.75" thickBot="1" x14ac:dyDescent="0.4">
      <c r="A65" s="538" t="s">
        <v>94</v>
      </c>
      <c r="B65" s="633">
        <f>+VLOOKUP($A$1,data!$A$165:$AU$195,19)</f>
        <v>1.7470270000000001</v>
      </c>
      <c r="C65" s="633">
        <f>+VLOOKUP($A$1,data!$A$165:$AU$195,20)</f>
        <v>1.784405</v>
      </c>
      <c r="D65" s="633">
        <f>+VLOOKUP($A$1,data!$A$165:$AU$195,21)</f>
        <v>1.7945800000000001</v>
      </c>
      <c r="E65" s="633">
        <f>+VLOOKUP($A$1,data!$A$165:$AU$195,22)</f>
        <v>1.935467</v>
      </c>
      <c r="F65" s="633">
        <f>+VLOOKUP($A$1,data!$A$165:$AU$195,23)</f>
        <v>1.9624470000000001</v>
      </c>
      <c r="G65" s="633">
        <f>+VLOOKUP($A$1,data!$A$165:$AU$195,24)</f>
        <v>1.899597</v>
      </c>
      <c r="H65" s="633">
        <f>+VLOOKUP($A$1,data!$A$165:$AU$195,25)</f>
        <v>2.1388210000000001</v>
      </c>
      <c r="I65" s="633">
        <f>+VLOOKUP($A$1,data!$A$165:$AU$195,26)</f>
        <v>2.36863</v>
      </c>
      <c r="J65" s="633">
        <f>+VLOOKUP($A$1,data!$A$165:$AU$195,27)</f>
        <v>2.1544400000000001</v>
      </c>
      <c r="K65" s="633">
        <f>+VLOOKUP($A$1,data!$A$165:$AU$195,28)</f>
        <v>2.1080610000000002</v>
      </c>
      <c r="L65" s="633">
        <f>+VLOOKUP($A$1,data!$A$165:$AU$195,29)</f>
        <v>2.1415389999999999</v>
      </c>
      <c r="M65" s="633">
        <f>+VLOOKUP($A$1,data!$A$165:$AU$195,30)</f>
        <v>2.0854140000000001</v>
      </c>
      <c r="N65" s="633">
        <f>SUM(B65:M65)</f>
        <v>24.120427999999997</v>
      </c>
      <c r="O65" s="636">
        <f t="shared" ref="O65:O66" si="8">SUM(B65:M65)</f>
        <v>24.120427999999997</v>
      </c>
      <c r="P65" s="637">
        <f>+O66-O65</f>
        <v>4.2792643300000073</v>
      </c>
      <c r="S65" s="601" t="s">
        <v>94</v>
      </c>
      <c r="T65" s="642">
        <f>+VLOOKUP($A$1,data!$A$197:$AU$227,19)</f>
        <v>0.95327300000000004</v>
      </c>
      <c r="U65" s="642">
        <f>+VLOOKUP($A$1,data!$A$197:$AU$227,20)</f>
        <v>1.079583</v>
      </c>
      <c r="V65" s="642">
        <f>+VLOOKUP($A$1,data!$A$197:$AU$227,21)</f>
        <v>1.0757190000000001</v>
      </c>
      <c r="W65" s="642">
        <f>+VLOOKUP($A$1,data!$A$197:$AU$227,22)</f>
        <v>1.0814649999999999</v>
      </c>
      <c r="X65" s="642">
        <f>+VLOOKUP($A$1,data!$A$197:$AU$227,23)</f>
        <v>1.1032230000000001</v>
      </c>
      <c r="Y65" s="642">
        <f>+VLOOKUP($A$1,data!$A$197:$AU$227,24)</f>
        <v>1.214391</v>
      </c>
      <c r="Z65" s="642">
        <f>+VLOOKUP($A$1,data!$A$197:$AU$227,25)</f>
        <v>1.1033010000000001</v>
      </c>
      <c r="AA65" s="642">
        <f>+VLOOKUP($A$1,data!$A$197:$AU$227,26)</f>
        <v>1.135097</v>
      </c>
      <c r="AB65" s="642">
        <f>+VLOOKUP($A$1,data!$A$197:$AU$227,27)</f>
        <v>1.1699740000000001</v>
      </c>
      <c r="AC65" s="642">
        <f>+VLOOKUP($A$1,data!$A$197:$AU$227,28)</f>
        <v>1.1813990000000001</v>
      </c>
      <c r="AD65" s="642">
        <f>+VLOOKUP($A$1,data!$A$197:$AU$227,29)</f>
        <v>1.1186780000000001</v>
      </c>
      <c r="AE65" s="642">
        <f>+VLOOKUP($A$1,data!$A$197:$AU$227,30)</f>
        <v>1.2117739999999999</v>
      </c>
      <c r="AF65" s="642">
        <f>SUM(T65:AE65)</f>
        <v>13.427877000000001</v>
      </c>
      <c r="AG65" s="643">
        <f t="shared" ref="AG65:AG66" si="9">SUM(T65:AE65)</f>
        <v>13.427877000000001</v>
      </c>
      <c r="AH65" s="644">
        <f>+AG66-AG65</f>
        <v>-1.2974341900000006</v>
      </c>
      <c r="AI65" s="617" t="s">
        <v>94</v>
      </c>
      <c r="AJ65" s="649">
        <f>+B65-T65</f>
        <v>0.79375400000000007</v>
      </c>
      <c r="AK65" s="649">
        <f t="shared" si="7"/>
        <v>0.70482200000000006</v>
      </c>
      <c r="AL65" s="649">
        <f t="shared" si="7"/>
        <v>0.71886099999999997</v>
      </c>
      <c r="AM65" s="649">
        <f t="shared" si="7"/>
        <v>0.85400200000000015</v>
      </c>
      <c r="AN65" s="649">
        <f t="shared" si="7"/>
        <v>0.85922399999999999</v>
      </c>
      <c r="AO65" s="649">
        <f t="shared" si="7"/>
        <v>0.68520599999999998</v>
      </c>
      <c r="AP65" s="649">
        <f t="shared" si="7"/>
        <v>1.03552</v>
      </c>
      <c r="AQ65" s="649">
        <f t="shared" si="7"/>
        <v>1.233533</v>
      </c>
      <c r="AR65" s="649">
        <f t="shared" si="7"/>
        <v>0.98446600000000006</v>
      </c>
      <c r="AS65" s="649">
        <f t="shared" si="7"/>
        <v>0.9266620000000001</v>
      </c>
      <c r="AT65" s="649">
        <f t="shared" si="7"/>
        <v>1.0228609999999998</v>
      </c>
      <c r="AU65" s="649">
        <f t="shared" si="7"/>
        <v>0.87364000000000019</v>
      </c>
      <c r="AV65" s="649">
        <f>SUM(AJ65:AU65)</f>
        <v>10.692551</v>
      </c>
      <c r="AW65" s="652">
        <f t="shared" ref="AW65:AW66" si="10">SUM(AJ65:AU65)</f>
        <v>10.692551</v>
      </c>
      <c r="AX65" s="653">
        <f>+AW66-AW65</f>
        <v>5.5766985200000025</v>
      </c>
    </row>
    <row r="66" spans="1:50" ht="21.75" thickBot="1" x14ac:dyDescent="0.4">
      <c r="A66" s="546" t="s">
        <v>93</v>
      </c>
      <c r="B66" s="634">
        <f>+VLOOKUP($A$1,data!$A$165:$AU$195,3)</f>
        <v>2.1278294300000002</v>
      </c>
      <c r="C66" s="634">
        <f>+VLOOKUP($A$1,data!$A$165:$AU$195,4)</f>
        <v>2.1894062800000005</v>
      </c>
      <c r="D66" s="634">
        <f>+VLOOKUP($A$1,data!$A$165:$AU$195,5)</f>
        <v>2.2736740600000007</v>
      </c>
      <c r="E66" s="634">
        <f>+VLOOKUP($A$1,data!$A$165:$AU$195,6)</f>
        <v>2.4346078499999999</v>
      </c>
      <c r="F66" s="634">
        <f>+VLOOKUP($A$1,data!$A$165:$AU$195,7)</f>
        <v>2.4422278900000003</v>
      </c>
      <c r="G66" s="634">
        <f>+VLOOKUP($A$1,data!$A$165:$AU$195,8)</f>
        <v>2.3095569</v>
      </c>
      <c r="H66" s="634">
        <f>+VLOOKUP($A$1,data!$A$165:$AU$195,9)</f>
        <v>2.6479307900000002</v>
      </c>
      <c r="I66" s="634">
        <f>+VLOOKUP($A$1,data!$A$165:$AU$195,10)</f>
        <v>2.5182723800000004</v>
      </c>
      <c r="J66" s="634">
        <f>+VLOOKUP($A$1,data!$A$165:$AU$195,11)</f>
        <v>2.4169882800000009</v>
      </c>
      <c r="K66" s="634">
        <f>+VLOOKUP($A$1,data!$A$165:$AU$195,12)</f>
        <v>2.2074740900000003</v>
      </c>
      <c r="L66" s="634">
        <f>+VLOOKUP($A$1,data!$A$165:$AU$195,13)</f>
        <v>2.4367073099999996</v>
      </c>
      <c r="M66" s="634">
        <f>+VLOOKUP($A$1,data!$A$165:$AU$195,14)</f>
        <v>2.3950170700000002</v>
      </c>
      <c r="N66" s="634">
        <f>SUM(B66:M66)</f>
        <v>28.399692330000004</v>
      </c>
      <c r="O66" s="638">
        <f t="shared" si="8"/>
        <v>28.399692330000004</v>
      </c>
      <c r="P66" s="639"/>
      <c r="S66" s="608" t="s">
        <v>93</v>
      </c>
      <c r="T66" s="645">
        <f>+VLOOKUP($A$1,data!$A$197:$AU$227,3)</f>
        <v>1.0540850500000001</v>
      </c>
      <c r="U66" s="645">
        <f>+VLOOKUP($A$1,data!$A$197:$AU$227,4)</f>
        <v>0.96969540999999981</v>
      </c>
      <c r="V66" s="645">
        <f>+VLOOKUP($A$1,data!$A$197:$AU$227,5)</f>
        <v>1.1470850799999999</v>
      </c>
      <c r="W66" s="645">
        <f>+VLOOKUP($A$1,data!$A$197:$AU$227,6)</f>
        <v>0.86163213999999988</v>
      </c>
      <c r="X66" s="645">
        <f>+VLOOKUP($A$1,data!$A$197:$AU$227,7)</f>
        <v>0.93898509999999991</v>
      </c>
      <c r="Y66" s="645">
        <f>+VLOOKUP($A$1,data!$A$197:$AU$227,8)</f>
        <v>1.0098317999999999</v>
      </c>
      <c r="Z66" s="645">
        <f>+VLOOKUP($A$1,data!$A$197:$AU$227,9)</f>
        <v>0.97628800000000016</v>
      </c>
      <c r="AA66" s="645">
        <f>+VLOOKUP($A$1,data!$A$197:$AU$227,10)</f>
        <v>0.93626854000000015</v>
      </c>
      <c r="AB66" s="645">
        <f>+VLOOKUP($A$1,data!$A$197:$AU$227,11)</f>
        <v>1.0179731700000001</v>
      </c>
      <c r="AC66" s="645">
        <f>+VLOOKUP($A$1,data!$A$197:$AU$227,12)</f>
        <v>1.0407246000000001</v>
      </c>
      <c r="AD66" s="645">
        <f>+VLOOKUP($A$1,data!$A$197:$AU$227,13)</f>
        <v>1.0676963999999998</v>
      </c>
      <c r="AE66" s="645">
        <f>+VLOOKUP($A$1,data!$A$197:$AU$227,14)</f>
        <v>1.1101775200000004</v>
      </c>
      <c r="AF66" s="645">
        <f>SUM(T66:AE66)</f>
        <v>12.13044281</v>
      </c>
      <c r="AG66" s="646">
        <f t="shared" si="9"/>
        <v>12.13044281</v>
      </c>
      <c r="AH66" s="647"/>
      <c r="AI66" s="624" t="s">
        <v>93</v>
      </c>
      <c r="AJ66" s="650">
        <f>+B66-T66</f>
        <v>1.0737443800000002</v>
      </c>
      <c r="AK66" s="650">
        <f t="shared" si="7"/>
        <v>1.2197108700000006</v>
      </c>
      <c r="AL66" s="650">
        <f t="shared" si="7"/>
        <v>1.1265889800000009</v>
      </c>
      <c r="AM66" s="650">
        <f t="shared" si="7"/>
        <v>1.5729757100000001</v>
      </c>
      <c r="AN66" s="650">
        <f t="shared" si="7"/>
        <v>1.5032427900000003</v>
      </c>
      <c r="AO66" s="650">
        <f t="shared" si="7"/>
        <v>1.2997251000000001</v>
      </c>
      <c r="AP66" s="650">
        <f t="shared" si="7"/>
        <v>1.6716427899999999</v>
      </c>
      <c r="AQ66" s="650">
        <f t="shared" si="7"/>
        <v>1.5820038400000003</v>
      </c>
      <c r="AR66" s="650">
        <f t="shared" si="7"/>
        <v>1.3990151100000008</v>
      </c>
      <c r="AS66" s="650">
        <f>+K66-AC66</f>
        <v>1.1667494900000002</v>
      </c>
      <c r="AT66" s="650">
        <f>+L66-AD66</f>
        <v>1.3690109099999999</v>
      </c>
      <c r="AU66" s="650">
        <f>+M66-AE66</f>
        <v>1.2848395499999998</v>
      </c>
      <c r="AV66" s="650">
        <f>SUM(AJ66:AU66)</f>
        <v>16.269249520000002</v>
      </c>
      <c r="AW66" s="654">
        <f t="shared" si="10"/>
        <v>16.269249520000002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1.8526508000000004</v>
      </c>
      <c r="D85" s="628">
        <f t="shared" ref="D85:N87" si="11">+C85+C64</f>
        <v>3.8080605200000002</v>
      </c>
      <c r="E85" s="628">
        <f t="shared" si="11"/>
        <v>5.7065689300000004</v>
      </c>
      <c r="F85" s="628">
        <f t="shared" si="11"/>
        <v>7.8667987400000001</v>
      </c>
      <c r="G85" s="628">
        <f t="shared" si="11"/>
        <v>10.124719860000001</v>
      </c>
      <c r="H85" s="628">
        <f t="shared" si="11"/>
        <v>12.321399000000001</v>
      </c>
      <c r="I85" s="628">
        <f t="shared" si="11"/>
        <v>14.721472800000001</v>
      </c>
      <c r="J85" s="628">
        <f t="shared" si="11"/>
        <v>17.500042730000001</v>
      </c>
      <c r="K85" s="628">
        <f t="shared" si="11"/>
        <v>19.81281603</v>
      </c>
      <c r="L85" s="628">
        <f t="shared" si="11"/>
        <v>22.038154280000001</v>
      </c>
      <c r="M85" s="628">
        <f t="shared" si="11"/>
        <v>24.099953540000001</v>
      </c>
      <c r="N85" s="628">
        <f t="shared" si="11"/>
        <v>26.352934910000002</v>
      </c>
      <c r="S85"/>
      <c r="T85" s="605" t="s">
        <v>92</v>
      </c>
      <c r="U85" s="640">
        <f>+T64</f>
        <v>0.88388347</v>
      </c>
      <c r="V85" s="640">
        <f t="shared" ref="V85:AF87" si="12">+U85+U64</f>
        <v>1.9484792599999998</v>
      </c>
      <c r="W85" s="640">
        <f t="shared" si="12"/>
        <v>2.9577058999999997</v>
      </c>
      <c r="X85" s="640">
        <f t="shared" si="12"/>
        <v>3.9938425599999992</v>
      </c>
      <c r="Y85" s="640">
        <f t="shared" si="12"/>
        <v>5.0988328299999992</v>
      </c>
      <c r="Z85" s="640">
        <f t="shared" si="12"/>
        <v>6.3073273799999994</v>
      </c>
      <c r="AA85" s="640">
        <f t="shared" si="12"/>
        <v>7.3833287599999995</v>
      </c>
      <c r="AB85" s="640">
        <f t="shared" si="12"/>
        <v>8.4803803899999988</v>
      </c>
      <c r="AC85" s="640">
        <f t="shared" si="12"/>
        <v>9.5550949199999984</v>
      </c>
      <c r="AD85" s="640">
        <f t="shared" si="12"/>
        <v>10.551061939999999</v>
      </c>
      <c r="AE85" s="640">
        <f t="shared" si="12"/>
        <v>11.531612249999998</v>
      </c>
      <c r="AF85" s="640">
        <f t="shared" si="12"/>
        <v>12.783285459999998</v>
      </c>
      <c r="AG85" s="158"/>
      <c r="AH85" s="158"/>
      <c r="AI85"/>
      <c r="AJ85" s="621" t="s">
        <v>92</v>
      </c>
      <c r="AK85" s="648">
        <f>+AJ64</f>
        <v>0.96876733000000037</v>
      </c>
      <c r="AL85" s="648">
        <f t="shared" ref="AL85:AV87" si="13">+AK85+AK64</f>
        <v>1.8595812600000003</v>
      </c>
      <c r="AM85" s="648">
        <f t="shared" si="13"/>
        <v>2.7488630300000008</v>
      </c>
      <c r="AN85" s="648">
        <f t="shared" si="13"/>
        <v>3.872956180000001</v>
      </c>
      <c r="AO85" s="648">
        <f t="shared" si="13"/>
        <v>5.0258870300000016</v>
      </c>
      <c r="AP85" s="648">
        <f t="shared" si="13"/>
        <v>6.0140716200000019</v>
      </c>
      <c r="AQ85" s="648">
        <f t="shared" si="13"/>
        <v>7.3381440400000022</v>
      </c>
      <c r="AR85" s="648">
        <f t="shared" si="13"/>
        <v>9.0196623400000018</v>
      </c>
      <c r="AS85" s="648">
        <f t="shared" si="13"/>
        <v>10.257721110000002</v>
      </c>
      <c r="AT85" s="648">
        <f t="shared" si="13"/>
        <v>11.487092340000002</v>
      </c>
      <c r="AU85" s="648">
        <f t="shared" si="13"/>
        <v>12.568341290000003</v>
      </c>
      <c r="AV85" s="648">
        <f t="shared" si="13"/>
        <v>13.569649450000004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1.7470270000000001</v>
      </c>
      <c r="D86" s="633">
        <f t="shared" si="11"/>
        <v>3.5314320000000001</v>
      </c>
      <c r="E86" s="633">
        <f t="shared" si="11"/>
        <v>5.3260120000000004</v>
      </c>
      <c r="F86" s="633">
        <f t="shared" si="11"/>
        <v>7.2614790000000005</v>
      </c>
      <c r="G86" s="633">
        <f t="shared" si="11"/>
        <v>9.2239260000000005</v>
      </c>
      <c r="H86" s="633">
        <f t="shared" si="11"/>
        <v>11.123523</v>
      </c>
      <c r="I86" s="633">
        <f t="shared" si="11"/>
        <v>13.262344000000001</v>
      </c>
      <c r="J86" s="633">
        <f t="shared" si="11"/>
        <v>15.630974</v>
      </c>
      <c r="K86" s="633">
        <f t="shared" si="11"/>
        <v>17.785413999999999</v>
      </c>
      <c r="L86" s="633">
        <f t="shared" si="11"/>
        <v>19.893474999999999</v>
      </c>
      <c r="M86" s="633">
        <f t="shared" si="11"/>
        <v>22.035013999999997</v>
      </c>
      <c r="N86" s="633">
        <f t="shared" si="11"/>
        <v>24.120427999999997</v>
      </c>
      <c r="S86"/>
      <c r="T86" s="601" t="s">
        <v>94</v>
      </c>
      <c r="U86" s="642">
        <f>+T65</f>
        <v>0.95327300000000004</v>
      </c>
      <c r="V86" s="642">
        <f t="shared" si="12"/>
        <v>2.0328559999999998</v>
      </c>
      <c r="W86" s="642">
        <f t="shared" si="12"/>
        <v>3.1085750000000001</v>
      </c>
      <c r="X86" s="642">
        <f t="shared" si="12"/>
        <v>4.1900399999999998</v>
      </c>
      <c r="Y86" s="642">
        <f t="shared" si="12"/>
        <v>5.2932629999999996</v>
      </c>
      <c r="Z86" s="642">
        <f t="shared" si="12"/>
        <v>6.5076539999999996</v>
      </c>
      <c r="AA86" s="642">
        <f t="shared" si="12"/>
        <v>7.6109549999999997</v>
      </c>
      <c r="AB86" s="642">
        <f t="shared" si="12"/>
        <v>8.7460519999999988</v>
      </c>
      <c r="AC86" s="642">
        <f t="shared" si="12"/>
        <v>9.9160259999999987</v>
      </c>
      <c r="AD86" s="642">
        <f t="shared" si="12"/>
        <v>11.097424999999999</v>
      </c>
      <c r="AE86" s="642">
        <f t="shared" si="12"/>
        <v>12.216103</v>
      </c>
      <c r="AF86" s="642">
        <f t="shared" si="12"/>
        <v>13.427877000000001</v>
      </c>
      <c r="AG86" s="158"/>
      <c r="AH86" s="158"/>
      <c r="AI86"/>
      <c r="AJ86" s="617" t="s">
        <v>94</v>
      </c>
      <c r="AK86" s="649">
        <f>+AJ65</f>
        <v>0.79375400000000007</v>
      </c>
      <c r="AL86" s="649">
        <f t="shared" si="13"/>
        <v>1.4985760000000001</v>
      </c>
      <c r="AM86" s="649">
        <f t="shared" si="13"/>
        <v>2.2174370000000003</v>
      </c>
      <c r="AN86" s="649">
        <f t="shared" si="13"/>
        <v>3.0714390000000007</v>
      </c>
      <c r="AO86" s="649">
        <f t="shared" si="13"/>
        <v>3.9306630000000009</v>
      </c>
      <c r="AP86" s="649">
        <f t="shared" si="13"/>
        <v>4.6158690000000009</v>
      </c>
      <c r="AQ86" s="649">
        <f t="shared" si="13"/>
        <v>5.6513890000000009</v>
      </c>
      <c r="AR86" s="649">
        <f t="shared" si="13"/>
        <v>6.8849220000000013</v>
      </c>
      <c r="AS86" s="649">
        <f t="shared" si="13"/>
        <v>7.8693880000000016</v>
      </c>
      <c r="AT86" s="649">
        <f t="shared" si="13"/>
        <v>8.796050000000001</v>
      </c>
      <c r="AU86" s="649">
        <f t="shared" si="13"/>
        <v>9.8189109999999999</v>
      </c>
      <c r="AV86" s="649">
        <f t="shared" si="13"/>
        <v>10.692551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2.1278294300000002</v>
      </c>
      <c r="D87" s="629">
        <f t="shared" si="11"/>
        <v>4.3172357100000003</v>
      </c>
      <c r="E87" s="629">
        <f t="shared" si="11"/>
        <v>6.5909097700000014</v>
      </c>
      <c r="F87" s="629">
        <f t="shared" si="11"/>
        <v>9.0255176200000022</v>
      </c>
      <c r="G87" s="629">
        <f t="shared" si="11"/>
        <v>11.467745510000002</v>
      </c>
      <c r="H87" s="629">
        <f t="shared" si="11"/>
        <v>13.777302410000003</v>
      </c>
      <c r="I87" s="629">
        <f t="shared" si="11"/>
        <v>16.425233200000001</v>
      </c>
      <c r="J87" s="629">
        <f t="shared" si="11"/>
        <v>18.94350558</v>
      </c>
      <c r="K87" s="629">
        <f t="shared" si="11"/>
        <v>21.360493860000002</v>
      </c>
      <c r="L87" s="629">
        <f t="shared" si="11"/>
        <v>23.567967950000003</v>
      </c>
      <c r="M87" s="629">
        <f t="shared" si="11"/>
        <v>26.004675260000003</v>
      </c>
      <c r="N87" s="629">
        <f t="shared" si="11"/>
        <v>28.399692330000004</v>
      </c>
      <c r="S87"/>
      <c r="T87" s="608" t="s">
        <v>93</v>
      </c>
      <c r="U87" s="645">
        <f>+T66</f>
        <v>1.0540850500000001</v>
      </c>
      <c r="V87" s="645">
        <f t="shared" si="12"/>
        <v>2.0237804599999998</v>
      </c>
      <c r="W87" s="645">
        <f t="shared" si="12"/>
        <v>3.1708655399999994</v>
      </c>
      <c r="X87" s="645">
        <f t="shared" si="12"/>
        <v>4.0324976799999996</v>
      </c>
      <c r="Y87" s="645">
        <f t="shared" si="12"/>
        <v>4.9714827799999997</v>
      </c>
      <c r="Z87" s="645">
        <f t="shared" si="12"/>
        <v>5.9813145799999994</v>
      </c>
      <c r="AA87" s="645">
        <f t="shared" si="12"/>
        <v>6.9576025799999996</v>
      </c>
      <c r="AB87" s="645">
        <f t="shared" si="12"/>
        <v>7.89387112</v>
      </c>
      <c r="AC87" s="645">
        <f t="shared" si="12"/>
        <v>8.9118442899999994</v>
      </c>
      <c r="AD87" s="645">
        <f t="shared" si="12"/>
        <v>9.9525688900000002</v>
      </c>
      <c r="AE87" s="645">
        <f t="shared" si="12"/>
        <v>11.020265289999999</v>
      </c>
      <c r="AF87" s="645">
        <f t="shared" si="12"/>
        <v>12.13044281</v>
      </c>
      <c r="AG87" s="158"/>
      <c r="AH87" s="158"/>
      <c r="AI87"/>
      <c r="AJ87" s="624" t="s">
        <v>93</v>
      </c>
      <c r="AK87" s="650">
        <f>+AJ66</f>
        <v>1.0737443800000002</v>
      </c>
      <c r="AL87" s="650">
        <f t="shared" si="13"/>
        <v>2.2934552500000009</v>
      </c>
      <c r="AM87" s="650">
        <f t="shared" si="13"/>
        <v>3.420044230000002</v>
      </c>
      <c r="AN87" s="650">
        <f t="shared" si="13"/>
        <v>4.9930199400000017</v>
      </c>
      <c r="AO87" s="650">
        <f t="shared" si="13"/>
        <v>6.4962627300000015</v>
      </c>
      <c r="AP87" s="650">
        <f t="shared" si="13"/>
        <v>7.7959878300000014</v>
      </c>
      <c r="AQ87" s="650">
        <f t="shared" si="13"/>
        <v>9.4676306200000013</v>
      </c>
      <c r="AR87" s="650">
        <f t="shared" si="13"/>
        <v>11.049634460000002</v>
      </c>
      <c r="AS87" s="650">
        <f t="shared" si="13"/>
        <v>12.448649570000002</v>
      </c>
      <c r="AT87" s="650">
        <f t="shared" si="13"/>
        <v>13.615399060000003</v>
      </c>
      <c r="AU87" s="650">
        <f t="shared" si="13"/>
        <v>14.984409970000003</v>
      </c>
      <c r="AV87" s="650">
        <f t="shared" si="13"/>
        <v>16.269249520000002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347" priority="15" operator="lessThan">
      <formula>0</formula>
    </cfRule>
  </conditionalFormatting>
  <conditionalFormatting sqref="O41">
    <cfRule type="cellIs" dxfId="346" priority="14" operator="lessThan">
      <formula>0</formula>
    </cfRule>
  </conditionalFormatting>
  <conditionalFormatting sqref="AX18:AX22">
    <cfRule type="cellIs" dxfId="345" priority="13" operator="lessThan">
      <formula>0</formula>
    </cfRule>
  </conditionalFormatting>
  <conditionalFormatting sqref="BN21:BN22">
    <cfRule type="cellIs" dxfId="344" priority="12" operator="lessThan">
      <formula>0</formula>
    </cfRule>
  </conditionalFormatting>
  <conditionalFormatting sqref="BB43:BB46">
    <cfRule type="cellIs" dxfId="343" priority="11" operator="greaterThan">
      <formula>0</formula>
    </cfRule>
  </conditionalFormatting>
  <conditionalFormatting sqref="AX18:AX20">
    <cfRule type="cellIs" dxfId="342" priority="10" operator="lessThan">
      <formula>0</formula>
    </cfRule>
  </conditionalFormatting>
  <conditionalFormatting sqref="BN18:BN20">
    <cfRule type="cellIs" dxfId="341" priority="9" operator="greaterThan">
      <formula>0</formula>
    </cfRule>
  </conditionalFormatting>
  <conditionalFormatting sqref="P18:P20">
    <cfRule type="cellIs" dxfId="340" priority="8" operator="lessThan">
      <formula>0</formula>
    </cfRule>
  </conditionalFormatting>
  <conditionalFormatting sqref="P67:P68">
    <cfRule type="cellIs" dxfId="339" priority="7" operator="lessThan">
      <formula>0</formula>
    </cfRule>
  </conditionalFormatting>
  <conditionalFormatting sqref="P64:P66">
    <cfRule type="cellIs" dxfId="338" priority="6" operator="lessThan">
      <formula>0</formula>
    </cfRule>
  </conditionalFormatting>
  <conditionalFormatting sqref="AH67:AH68">
    <cfRule type="cellIs" dxfId="337" priority="5" operator="lessThan">
      <formula>0</formula>
    </cfRule>
  </conditionalFormatting>
  <conditionalFormatting sqref="AH64:AH66">
    <cfRule type="cellIs" dxfId="336" priority="4" operator="greaterThan">
      <formula>0</formula>
    </cfRule>
  </conditionalFormatting>
  <conditionalFormatting sqref="AX67:AX68">
    <cfRule type="cellIs" dxfId="335" priority="3" operator="lessThan">
      <formula>0</formula>
    </cfRule>
  </conditionalFormatting>
  <conditionalFormatting sqref="AX64:AX66">
    <cfRule type="cellIs" dxfId="334" priority="2" operator="lessThan">
      <formula>0</formula>
    </cfRule>
  </conditionalFormatting>
  <conditionalFormatting sqref="S24:AH24 S21:T23 V21:AH23">
    <cfRule type="cellIs" dxfId="333" priority="1" operator="lessThan">
      <formula>0</formula>
    </cfRule>
  </conditionalFormatting>
  <pageMargins left="0.39370078740157483" right="0.19685039370078741" top="0.74803149606299213" bottom="0.33" header="0.31496062992125984" footer="0.31496062992125984"/>
  <pageSetup paperSize="9" scale="80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25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1009</v>
      </c>
      <c r="B3" s="807" t="str">
        <f>+VLOOKUP($A3,data!$A$4:$AH$32,2,0)</f>
        <v>ฝาง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3420</v>
      </c>
      <c r="C9" s="180">
        <f>+VLOOKUP($A$3,data!$A$4:$AH$32,8,0)/10^6</f>
        <v>0.52959999999999996</v>
      </c>
      <c r="D9" s="181">
        <f>+VLOOKUP($A$3,data!$A$4:$AH$32,9,0)</f>
        <v>0.43286363487756235</v>
      </c>
      <c r="E9" s="180">
        <f>+VLOOKUP($A$3,data!$A$4:$AH$32,10,0)/10^6</f>
        <v>7.3247024099999996</v>
      </c>
      <c r="F9" s="182">
        <f>+E9/C9</f>
        <v>13.830631438821753</v>
      </c>
      <c r="G9" s="179">
        <f>+VLOOKUP($A$3,data!$A$4:$AH$32,23,0)</f>
        <v>3634</v>
      </c>
      <c r="H9" s="180">
        <f>+VLOOKUP($A$3,data!$A$4:$AH$32,24,0)/10^6</f>
        <v>0.49976100000000001</v>
      </c>
      <c r="I9" s="181">
        <f>+VLOOKUP($A$3,data!$A$4:$AH$32,25,0)</f>
        <v>0.38820760396316484</v>
      </c>
      <c r="J9" s="180">
        <f>+VLOOKUP($A$3,data!$A$4:$AH$32,26,0)/10^6</f>
        <v>6.72306575</v>
      </c>
      <c r="K9" s="182">
        <f>+J9/H9</f>
        <v>13.452561824552136</v>
      </c>
    </row>
    <row r="10" spans="1:12" ht="26.25" x14ac:dyDescent="0.4">
      <c r="A10" s="187" t="s">
        <v>4</v>
      </c>
      <c r="B10" s="189">
        <f>+B9/B20</f>
        <v>0.66809923813244776</v>
      </c>
      <c r="C10" s="190"/>
      <c r="D10" s="190"/>
      <c r="E10" s="190"/>
      <c r="F10" s="191"/>
      <c r="G10" s="189">
        <f>+G9/G20</f>
        <v>0.68436911487758945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1404</v>
      </c>
      <c r="C13" s="180">
        <f>+VLOOKUP($A$3,data!$A$4:$AH$32,12,0)/10^6</f>
        <v>0.52293000000000001</v>
      </c>
      <c r="D13" s="181">
        <f>+VLOOKUP($A$3,data!$A$4:$AH$32,13,0)</f>
        <v>1.105466768138001</v>
      </c>
      <c r="E13" s="180">
        <f>+VLOOKUP($A$3,data!$A$4:$AH$32,14,0)/10^6</f>
        <v>11.11807175</v>
      </c>
      <c r="F13" s="182">
        <f>+E13/C13</f>
        <v>21.261109039450787</v>
      </c>
      <c r="G13" s="179">
        <f>+VLOOKUP($A$3,data!$A$4:$AH$32,27,0)</f>
        <v>1383</v>
      </c>
      <c r="H13" s="180">
        <f>+VLOOKUP($A$3,data!$A$4:$AH$32,28,0)/10^6</f>
        <v>0.58091099999999996</v>
      </c>
      <c r="I13" s="181">
        <f>+VLOOKUP($A$3,data!$A$4:$AH$32,29,0)</f>
        <v>1.1421148089712019</v>
      </c>
      <c r="J13" s="180">
        <f>+VLOOKUP($A$3,data!$A$4:$AH$32,30,0)/10^6</f>
        <v>12.662266449999999</v>
      </c>
      <c r="K13" s="182">
        <f>+J13/H13</f>
        <v>21.797257152989012</v>
      </c>
    </row>
    <row r="14" spans="1:12" ht="26.25" x14ac:dyDescent="0.4">
      <c r="A14" s="187" t="s">
        <v>29</v>
      </c>
      <c r="B14" s="189">
        <f>+B13/B20</f>
        <v>0.27427231881226805</v>
      </c>
      <c r="C14" s="190"/>
      <c r="D14" s="190"/>
      <c r="E14" s="190"/>
      <c r="F14" s="191"/>
      <c r="G14" s="189">
        <f>+G13/G20</f>
        <v>0.26045197740112996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295</v>
      </c>
      <c r="C17" s="180">
        <f>+VLOOKUP($A$3,data!$A$4:$AH$32,16,0)/10^6</f>
        <v>0.177396</v>
      </c>
      <c r="D17" s="181">
        <f>+VLOOKUP($A$3,data!$A$4:$AH$32,17,0)</f>
        <v>1.6503104867781475</v>
      </c>
      <c r="E17" s="180">
        <f>+VLOOKUP($A$3,data!$A$4:$AH$32,18,0)/10^6</f>
        <v>4.7996017999999996</v>
      </c>
      <c r="F17" s="182">
        <f>+E17/C17</f>
        <v>27.055862589911833</v>
      </c>
      <c r="G17" s="179">
        <f>+VLOOKUP($A$3,data!$A$4:$AH$32,31,0)</f>
        <v>293</v>
      </c>
      <c r="H17" s="180">
        <f>+VLOOKUP($A$3,data!$A$4:$AH$32,32,0)/10^6</f>
        <v>0.152279</v>
      </c>
      <c r="I17" s="181">
        <f>+VLOOKUP($A$3,data!$A$4:$AH$32,33,0)</f>
        <v>1.4190569378436306</v>
      </c>
      <c r="J17" s="180">
        <f>+VLOOKUP($A$3,data!$A$4:$AH$32,34,0)/10^6</f>
        <v>4.0751613499999992</v>
      </c>
      <c r="K17" s="182">
        <f>+J17/H17</f>
        <v>26.76115124212793</v>
      </c>
    </row>
    <row r="18" spans="1:11" ht="26.25" x14ac:dyDescent="0.4">
      <c r="A18" s="187" t="s">
        <v>30</v>
      </c>
      <c r="B18" s="189">
        <f>+B17/B20</f>
        <v>5.7628443055284237E-2</v>
      </c>
      <c r="C18" s="190"/>
      <c r="D18" s="190"/>
      <c r="E18" s="190"/>
      <c r="F18" s="191"/>
      <c r="G18" s="189">
        <f>+G17/G20</f>
        <v>5.5178907721280604E-2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5119</v>
      </c>
      <c r="C20" s="180">
        <f>+VLOOKUP($A$3,data!$A$4:$AH$32,4,0)/10^6</f>
        <v>1.2299260000000001</v>
      </c>
      <c r="D20" s="181">
        <f>+VLOOKUP($A$3,data!$A$4:$AH$32,5,0)</f>
        <v>0.68177243782956043</v>
      </c>
      <c r="E20" s="180">
        <f>+VLOOKUP($A$3,data!$A$4:$AH$32,6,0)/10^6</f>
        <v>23.242375959999997</v>
      </c>
      <c r="F20" s="182">
        <f>+E20/C20</f>
        <v>18.897377533282487</v>
      </c>
      <c r="G20" s="179">
        <f>+VLOOKUP($A$3,data!$A$4:$AH$32,19,0)</f>
        <v>5310</v>
      </c>
      <c r="H20" s="180">
        <f>+VLOOKUP($A$3,data!$A$4:$AH$32,20,0)/10^6</f>
        <v>1.2329509999999999</v>
      </c>
      <c r="I20" s="181">
        <f>+VLOOKUP($A$3,data!$A$4:$AH$32,21,0)</f>
        <v>0.64779901144989538</v>
      </c>
      <c r="J20" s="180">
        <f>+VLOOKUP($A$3,data!$A$4:$AH$32,22,0)/10^6</f>
        <v>23.460493550000002</v>
      </c>
      <c r="K20" s="182">
        <f>+J20/H20</f>
        <v>19.02792045263762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ฝาง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view="pageLayout" zoomScale="85" zoomScaleNormal="100" zoomScalePageLayoutView="85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6.25" style="158" bestFit="1" customWidth="1"/>
    <col min="3" max="5" width="5.375" style="158" bestFit="1" customWidth="1"/>
    <col min="6" max="6" width="5.75" style="158" bestFit="1" customWidth="1"/>
    <col min="7" max="9" width="6.375" style="158" bestFit="1" customWidth="1"/>
    <col min="10" max="10" width="6.625" style="158" bestFit="1" customWidth="1"/>
    <col min="11" max="11" width="6.375" style="158" bestFit="1" customWidth="1"/>
    <col min="12" max="12" width="6.625" style="158" bestFit="1" customWidth="1"/>
    <col min="13" max="14" width="6.3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40" width="7.25" style="158" customWidth="1"/>
    <col min="41" max="46" width="7.25" customWidth="1"/>
    <col min="47" max="48" width="6.625" bestFit="1" customWidth="1"/>
    <col min="49" max="49" width="7.875" bestFit="1" customWidth="1"/>
    <col min="50" max="50" width="7.125" bestFit="1" customWidth="1"/>
    <col min="51" max="51" width="10.125" customWidth="1"/>
    <col min="52" max="67" width="7" bestFit="1" customWidth="1"/>
  </cols>
  <sheetData>
    <row r="1" spans="1:66" ht="27" thickBot="1" x14ac:dyDescent="0.25">
      <c r="A1" s="248">
        <v>1009</v>
      </c>
      <c r="B1" s="817" t="str">
        <f>+VLOOKUP($A$1,data!$A$4:$AH$32,2,0)</f>
        <v>ฝาง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1009</v>
      </c>
      <c r="T1" s="817" t="str">
        <f>+VLOOKUP($A$1,data!$A$4:$AH$32,2,0)</f>
        <v>ฝาง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1009</v>
      </c>
      <c r="AJ1" s="817" t="str">
        <f>+VLOOKUP($A$1,data!$A$4:$AH$32,2,0)</f>
        <v>ฝาง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1009</v>
      </c>
      <c r="AZ1" s="817" t="str">
        <f>+VLOOKUP($A$1,data!$A$4:$AH$32,2,0)</f>
        <v>ฝาง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36</v>
      </c>
      <c r="C18" s="406">
        <f>+VLOOKUP($A$1,data!$A$37:$AU$67,36)</f>
        <v>20</v>
      </c>
      <c r="D18" s="406">
        <f>+VLOOKUP($A$1,data!$A$37:$AU$67,37)</f>
        <v>13</v>
      </c>
      <c r="E18" s="406">
        <f>+VLOOKUP($A$1,data!$A$37:$AU$67,38)</f>
        <v>36</v>
      </c>
      <c r="F18" s="406">
        <f>+VLOOKUP($A$1,data!$A$37:$AU$67,39)</f>
        <v>18</v>
      </c>
      <c r="G18" s="406">
        <f>+VLOOKUP($A$1,data!$A$37:$AU$67,40)</f>
        <v>53</v>
      </c>
      <c r="H18" s="406">
        <f>+VLOOKUP($A$1,data!$A$37:$AU$67,41)</f>
        <v>39</v>
      </c>
      <c r="I18" s="406">
        <f>+VLOOKUP($A$1,data!$A$37:$AU$67,42)</f>
        <v>39</v>
      </c>
      <c r="J18" s="406">
        <f>+VLOOKUP($A$1,data!$A$37:$AU$67,43)</f>
        <v>65</v>
      </c>
      <c r="K18" s="406">
        <f>+VLOOKUP($A$1,data!$A$37:$AU$67,44)</f>
        <v>32</v>
      </c>
      <c r="L18" s="406">
        <f>+VLOOKUP($A$1,data!$A$37:$AU$67,45)</f>
        <v>34</v>
      </c>
      <c r="M18" s="406">
        <f>+VLOOKUP($A$1,data!$A$37:$AU$67,46)</f>
        <v>35</v>
      </c>
      <c r="N18" s="406">
        <f>SUM(B18:M18)</f>
        <v>420</v>
      </c>
      <c r="O18" s="406">
        <f>SUM(B18:M18)</f>
        <v>420</v>
      </c>
      <c r="P18" s="407">
        <f>+O20-O18</f>
        <v>-178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9.8058999999999993E-2</v>
      </c>
      <c r="AK18" s="418">
        <f>+VLOOKUP($A$1,data!$A$69:$AU$99,36)</f>
        <v>0.101256</v>
      </c>
      <c r="AL18" s="418">
        <f>+VLOOKUP($A$1,data!$A$69:$AU$99,37)</f>
        <v>9.5196000000000003E-2</v>
      </c>
      <c r="AM18" s="418">
        <f>+VLOOKUP($A$1,data!$A$69:$AU$99,38)</f>
        <v>9.6860500000000002E-2</v>
      </c>
      <c r="AN18" s="418">
        <f>+VLOOKUP($A$1,data!$A$69:$AU$99,39)</f>
        <v>9.6929500000000002E-2</v>
      </c>
      <c r="AO18" s="418">
        <f>+VLOOKUP($A$1,data!$A$69:$AU$99,40)</f>
        <v>9.4788999999999998E-2</v>
      </c>
      <c r="AP18" s="418">
        <f>+VLOOKUP($A$1,data!$A$69:$AU$99,41)</f>
        <v>0.10814699999999999</v>
      </c>
      <c r="AQ18" s="418">
        <f>+VLOOKUP($A$1,data!$A$69:$AU$99,42)</f>
        <v>0.120937</v>
      </c>
      <c r="AR18" s="418">
        <f>+VLOOKUP($A$1,data!$A$69:$AU$99,43)</f>
        <v>0.110537</v>
      </c>
      <c r="AS18" s="418">
        <f>+VLOOKUP($A$1,data!$A$69:$AU$99,44)</f>
        <v>0.104839</v>
      </c>
      <c r="AT18" s="418">
        <f>+VLOOKUP($A$1,data!$A$69:$AU$99,45)</f>
        <v>0.10111199999999999</v>
      </c>
      <c r="AU18" s="418">
        <f>+VLOOKUP($A$1,data!$A$69:$AU$99,46)</f>
        <v>0.104361</v>
      </c>
      <c r="AV18" s="418">
        <f>SUM(AJ18:AU18)</f>
        <v>1.233023</v>
      </c>
      <c r="AW18" s="418">
        <f>SUM(AJ18:AU18)</f>
        <v>1.233023</v>
      </c>
      <c r="AX18" s="419">
        <f>+AW20-AW18</f>
        <v>2.420139999999904E-3</v>
      </c>
      <c r="AY18" s="308" t="s">
        <v>92</v>
      </c>
      <c r="AZ18" s="309">
        <f>+VLOOKUP($A$1,data!$A$101:$AU$131,35)</f>
        <v>3.6090880000000006E-2</v>
      </c>
      <c r="BA18" s="309">
        <f>+VLOOKUP($A$1,data!$A$101:$AU$131,36)</f>
        <v>3.0017089999999996E-2</v>
      </c>
      <c r="BB18" s="309">
        <f>+VLOOKUP($A$1,data!$A$101:$AU$131,37)</f>
        <v>3.603470000000001E-2</v>
      </c>
      <c r="BC18" s="309">
        <f>+VLOOKUP($A$1,data!$A$101:$AU$131,38)</f>
        <v>3.4616350000000004E-2</v>
      </c>
      <c r="BD18" s="309">
        <f>+VLOOKUP($A$1,data!$A$101:$AU$131,39)</f>
        <v>3.4864950000000013E-2</v>
      </c>
      <c r="BE18" s="309">
        <f>+VLOOKUP($A$1,data!$A$101:$AU$131,40)</f>
        <v>2.9971279999999999E-2</v>
      </c>
      <c r="BF18" s="309">
        <f>+VLOOKUP($A$1,data!$A$101:$AU$131,41)</f>
        <v>3.053875E-2</v>
      </c>
      <c r="BG18" s="309">
        <f>+VLOOKUP($A$1,data!$A$101:$AU$131,42)</f>
        <v>2.5901139999999986E-2</v>
      </c>
      <c r="BH18" s="309">
        <f>+VLOOKUP($A$1,data!$A$101:$AU$131,43)</f>
        <v>2.8644170000000014E-2</v>
      </c>
      <c r="BI18" s="309">
        <f>+VLOOKUP($A$1,data!$A$101:$AU$131,44)</f>
        <v>3.2963719999999974E-2</v>
      </c>
      <c r="BJ18" s="309">
        <f>+VLOOKUP($A$1,data!$A$101:$AU$131,45)</f>
        <v>3.2230119999999994E-2</v>
      </c>
      <c r="BK18" s="309">
        <f>+VLOOKUP($A$1,data!$A$101:$AU$131,46)</f>
        <v>3.4749750000000003E-2</v>
      </c>
      <c r="BL18" s="309">
        <f>SUM(AZ18:BK18)</f>
        <v>0.38662289999999999</v>
      </c>
      <c r="BM18" s="309">
        <f>SUM(AZ18:BK18)</f>
        <v>0.38662289999999999</v>
      </c>
      <c r="BN18" s="310">
        <f>+BM20-BM18</f>
        <v>-3.4038889999999988E-2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52.071283095723018</v>
      </c>
      <c r="C19" s="409">
        <f>+VLOOKUP($A$1,data!$A$37:$AU$67,20)</f>
        <v>40.812627291242364</v>
      </c>
      <c r="D19" s="409">
        <f>+VLOOKUP($A$1,data!$A$37:$AU$67,21)</f>
        <v>45.738289205702657</v>
      </c>
      <c r="E19" s="409">
        <f>+VLOOKUP($A$1,data!$A$37:$AU$67,22)</f>
        <v>50.663951120162935</v>
      </c>
      <c r="F19" s="409">
        <f>+VLOOKUP($A$1,data!$A$37:$AU$67,23)</f>
        <v>68.959266802443992</v>
      </c>
      <c r="G19" s="409">
        <f>+VLOOKUP($A$1,data!$A$37:$AU$67,24)</f>
        <v>75.292260692464353</v>
      </c>
      <c r="H19" s="409">
        <f>+VLOOKUP($A$1,data!$A$37:$AU$67,25)</f>
        <v>62.62627291242363</v>
      </c>
      <c r="I19" s="409">
        <f>+VLOOKUP($A$1,data!$A$37:$AU$67,26)</f>
        <v>52.77494908350306</v>
      </c>
      <c r="J19" s="409">
        <f>+VLOOKUP($A$1,data!$A$37:$AU$67,27)</f>
        <v>95.69857433808555</v>
      </c>
      <c r="K19" s="409">
        <f>+VLOOKUP($A$1,data!$A$37:$AU$67,28)</f>
        <v>52.77494908350306</v>
      </c>
      <c r="L19" s="409">
        <f>+VLOOKUP($A$1,data!$A$37:$AU$67,29)</f>
        <v>47.145621181262733</v>
      </c>
      <c r="M19" s="409">
        <f>+VLOOKUP($A$1,data!$A$37:$AU$67,30)</f>
        <v>46.441955193482684</v>
      </c>
      <c r="N19" s="409">
        <f>SUM(B19:M19)</f>
        <v>691.00000000000023</v>
      </c>
      <c r="O19" s="630">
        <f t="shared" ref="O19:O20" si="0">SUM(B19:M19)</f>
        <v>691.00000000000023</v>
      </c>
      <c r="P19" s="412">
        <f>+O20-O19</f>
        <v>-449.00000000000023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0.101034</v>
      </c>
      <c r="AK19" s="423">
        <f>+VLOOKUP($A$1,data!$A$69:$AU$99,20)</f>
        <v>0.105618</v>
      </c>
      <c r="AL19" s="423">
        <f>+VLOOKUP($A$1,data!$A$69:$AU$99,21)</f>
        <v>9.9734000000000003E-2</v>
      </c>
      <c r="AM19" s="423">
        <f>+VLOOKUP($A$1,data!$A$69:$AU$99,22)</f>
        <v>0.108333</v>
      </c>
      <c r="AN19" s="423">
        <f>+VLOOKUP($A$1,data!$A$69:$AU$99,23)</f>
        <v>0.103695</v>
      </c>
      <c r="AO19" s="423">
        <f>+VLOOKUP($A$1,data!$A$69:$AU$99,24)</f>
        <v>0.10038</v>
      </c>
      <c r="AP19" s="423">
        <f>+VLOOKUP($A$1,data!$A$69:$AU$99,25)</f>
        <v>0.11253100000000001</v>
      </c>
      <c r="AQ19" s="423">
        <f>+VLOOKUP($A$1,data!$A$69:$AU$99,26)</f>
        <v>0.121465</v>
      </c>
      <c r="AR19" s="423">
        <f>+VLOOKUP($A$1,data!$A$69:$AU$99,27)</f>
        <v>0.11851</v>
      </c>
      <c r="AS19" s="423">
        <f>+VLOOKUP($A$1,data!$A$69:$AU$99,28)</f>
        <v>0.114666</v>
      </c>
      <c r="AT19" s="423">
        <f>+VLOOKUP($A$1,data!$A$69:$AU$99,29)</f>
        <v>0.112855</v>
      </c>
      <c r="AU19" s="423">
        <f>+VLOOKUP($A$1,data!$A$69:$AU$99,30)</f>
        <v>0.110099</v>
      </c>
      <c r="AV19" s="423">
        <f>SUM(AJ19:AU19)</f>
        <v>1.3089200000000001</v>
      </c>
      <c r="AW19" s="424">
        <f t="shared" ref="AW19:AW20" si="1">SUM(AJ19:AU19)</f>
        <v>1.3089200000000001</v>
      </c>
      <c r="AX19" s="425">
        <f>+AW20-AW19</f>
        <v>-7.3476860000000199E-2</v>
      </c>
      <c r="AY19" s="311" t="s">
        <v>94</v>
      </c>
      <c r="AZ19" s="312">
        <f>+VLOOKUP($A$1,data!$A$101:$AU$131,19)</f>
        <v>3.2837999999999999E-2</v>
      </c>
      <c r="BA19" s="312">
        <f>+VLOOKUP($A$1,data!$A$101:$AU$131,20)</f>
        <v>2.8597999999999998E-2</v>
      </c>
      <c r="BB19" s="312">
        <f>+VLOOKUP($A$1,data!$A$101:$AU$131,21)</f>
        <v>3.5647999999999999E-2</v>
      </c>
      <c r="BC19" s="312">
        <f>+VLOOKUP($A$1,data!$A$101:$AU$131,22)</f>
        <v>3.1151000000000002E-2</v>
      </c>
      <c r="BD19" s="312">
        <f>+VLOOKUP($A$1,data!$A$101:$AU$131,23)</f>
        <v>2.7999E-2</v>
      </c>
      <c r="BE19" s="312">
        <f>+VLOOKUP($A$1,data!$A$101:$AU$131,24)</f>
        <v>3.3009999999999998E-2</v>
      </c>
      <c r="BF19" s="312">
        <f>+VLOOKUP($A$1,data!$A$101:$AU$131,25)</f>
        <v>3.2350999999999998E-2</v>
      </c>
      <c r="BG19" s="312">
        <f>+VLOOKUP($A$1,data!$A$101:$AU$131,26)</f>
        <v>2.8794E-2</v>
      </c>
      <c r="BH19" s="312">
        <f>+VLOOKUP($A$1,data!$A$101:$AU$131,27)</f>
        <v>2.8162E-2</v>
      </c>
      <c r="BI19" s="312">
        <f>+VLOOKUP($A$1,data!$A$101:$AU$131,28)</f>
        <v>2.8768999999999999E-2</v>
      </c>
      <c r="BJ19" s="312">
        <f>+VLOOKUP($A$1,data!$A$101:$AU$131,29)</f>
        <v>3.2736000000000001E-2</v>
      </c>
      <c r="BK19" s="312">
        <f>+VLOOKUP($A$1,data!$A$101:$AU$131,30)</f>
        <v>2.9124000000000001E-2</v>
      </c>
      <c r="BL19" s="312">
        <f>SUM(AZ19:BK19)</f>
        <v>0.36918000000000001</v>
      </c>
      <c r="BM19" s="313">
        <f t="shared" ref="BM19:BM20" si="2">SUM(AZ19:BK19)</f>
        <v>0.36918000000000001</v>
      </c>
      <c r="BN19" s="314">
        <f>+BM20-BM19</f>
        <v>-1.6595990000000005E-2</v>
      </c>
    </row>
    <row r="20" spans="1:66" s="247" customFormat="1" ht="19.5" thickBot="1" x14ac:dyDescent="0.35">
      <c r="A20" s="413" t="s">
        <v>93</v>
      </c>
      <c r="B20" s="414">
        <f>+VLOOKUP($A$1,data!$A$37:$AU$67,3)</f>
        <v>25</v>
      </c>
      <c r="C20" s="414">
        <f>+VLOOKUP($A$1,data!$A$37:$AU$67,4)</f>
        <v>48</v>
      </c>
      <c r="D20" s="414">
        <f>+VLOOKUP($A$1,data!$A$37:$AU$67,5)</f>
        <v>19</v>
      </c>
      <c r="E20" s="414">
        <f>+VLOOKUP($A$1,data!$A$37:$AU$67,6)</f>
        <v>17</v>
      </c>
      <c r="F20" s="414">
        <f>+VLOOKUP($A$1,data!$A$37:$AU$67,7)</f>
        <v>10</v>
      </c>
      <c r="G20" s="414">
        <f>+VLOOKUP($A$1,data!$A$37:$AU$67,8)</f>
        <v>20</v>
      </c>
      <c r="H20" s="414">
        <f>+VLOOKUP($A$1,data!$A$37:$AU$67,9)</f>
        <v>31</v>
      </c>
      <c r="I20" s="414">
        <f>+VLOOKUP($A$1,data!$A$37:$AU$67,10)</f>
        <v>20</v>
      </c>
      <c r="J20" s="414">
        <f>+VLOOKUP($A$1,data!$A$37:$AU$67,11)</f>
        <v>12</v>
      </c>
      <c r="K20" s="414">
        <f>+VLOOKUP($A$1,data!$A$37:$AU$67,12)</f>
        <v>15</v>
      </c>
      <c r="L20" s="414">
        <f>+VLOOKUP($A$1,data!$A$37:$AU$67,13)</f>
        <v>15</v>
      </c>
      <c r="M20" s="414">
        <f>+VLOOKUP($A$1,data!$A$37:$AU$67,14)</f>
        <v>10</v>
      </c>
      <c r="N20" s="414">
        <f>SUM(B20:M20)</f>
        <v>242</v>
      </c>
      <c r="O20" s="631">
        <f t="shared" si="0"/>
        <v>242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0.100191</v>
      </c>
      <c r="AK20" s="420">
        <f>+VLOOKUP($A$1,data!$A$69:$AU$99,4)</f>
        <v>0.10304000000000001</v>
      </c>
      <c r="AL20" s="420">
        <f>+VLOOKUP($A$1,data!$A$69:$AU$99,5)</f>
        <v>9.7383139999999993E-2</v>
      </c>
      <c r="AM20" s="420">
        <f>+VLOOKUP($A$1,data!$A$69:$AU$99,6)</f>
        <v>9.9271999999999999E-2</v>
      </c>
      <c r="AN20" s="420">
        <f>+VLOOKUP($A$1,data!$A$69:$AU$99,7)</f>
        <v>0.100578</v>
      </c>
      <c r="AO20" s="420">
        <f>+VLOOKUP($A$1,data!$A$69:$AU$99,8)</f>
        <v>9.5977000000000007E-2</v>
      </c>
      <c r="AP20" s="420">
        <f>+VLOOKUP($A$1,data!$A$69:$AU$99,9)</f>
        <v>0.104722</v>
      </c>
      <c r="AQ20" s="420">
        <f>+VLOOKUP($A$1,data!$A$69:$AU$99,10)</f>
        <v>0.111168</v>
      </c>
      <c r="AR20" s="420">
        <f>+VLOOKUP($A$1,data!$A$69:$AU$99,11)</f>
        <v>0.10986799999999999</v>
      </c>
      <c r="AS20" s="420">
        <f>+VLOOKUP($A$1,data!$A$69:$AU$99,12)</f>
        <v>0.105144</v>
      </c>
      <c r="AT20" s="420">
        <f>+VLOOKUP($A$1,data!$A$69:$AU$99,13)</f>
        <v>0.104231</v>
      </c>
      <c r="AU20" s="420">
        <f>+VLOOKUP($A$1,data!$A$69:$AU$99,14)</f>
        <v>0.103869</v>
      </c>
      <c r="AV20" s="420">
        <f>SUM(AJ20:AU20)</f>
        <v>1.2354431399999999</v>
      </c>
      <c r="AW20" s="421">
        <f t="shared" si="1"/>
        <v>1.2354431399999999</v>
      </c>
      <c r="AX20" s="422"/>
      <c r="AY20" s="315" t="s">
        <v>93</v>
      </c>
      <c r="AZ20" s="316">
        <f>+VLOOKUP($A$1,data!$A$101:$AU$131,3)</f>
        <v>2.9325359999999984E-2</v>
      </c>
      <c r="BA20" s="316">
        <f>+VLOOKUP($A$1,data!$A$101:$AU$131,4)</f>
        <v>3.046975E-2</v>
      </c>
      <c r="BB20" s="316">
        <f>+VLOOKUP($A$1,data!$A$101:$AU$131,5)</f>
        <v>3.9155840000000011E-2</v>
      </c>
      <c r="BC20" s="316">
        <f>+VLOOKUP($A$1,data!$A$101:$AU$131,6)</f>
        <v>3.5163160000000006E-2</v>
      </c>
      <c r="BD20" s="316">
        <f>+VLOOKUP($A$1,data!$A$101:$AU$131,7)</f>
        <v>2.896075E-2</v>
      </c>
      <c r="BE20" s="316">
        <f>+VLOOKUP($A$1,data!$A$101:$AU$131,8)</f>
        <v>3.2466449999999994E-2</v>
      </c>
      <c r="BF20" s="316">
        <f>+VLOOKUP($A$1,data!$A$101:$AU$131,9)</f>
        <v>3.219898999999999E-2</v>
      </c>
      <c r="BG20" s="316">
        <f>+VLOOKUP($A$1,data!$A$101:$AU$131,10)</f>
        <v>2.6200500000000002E-2</v>
      </c>
      <c r="BH20" s="316">
        <f>+VLOOKUP($A$1,data!$A$101:$AU$131,11)</f>
        <v>2.1433910000000004E-2</v>
      </c>
      <c r="BI20" s="316">
        <f>+VLOOKUP($A$1,data!$A$101:$AU$131,12)</f>
        <v>2.4455579999999987E-2</v>
      </c>
      <c r="BJ20" s="316">
        <f>+VLOOKUP($A$1,data!$A$101:$AU$131,13)</f>
        <v>2.5707090000000012E-2</v>
      </c>
      <c r="BK20" s="316">
        <f>+VLOOKUP($A$1,data!$A$101:$AU$131,14)</f>
        <v>2.7046630000000006E-2</v>
      </c>
      <c r="BL20" s="316">
        <f>SUM(AZ20:BK20)</f>
        <v>0.35258401</v>
      </c>
      <c r="BM20" s="317">
        <f t="shared" si="2"/>
        <v>0.35258401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123.62219959266804</v>
      </c>
      <c r="W21" s="671">
        <f>+VLOOKUP($A$1,data!$A$261:$AK$291,16)</f>
        <v>87</v>
      </c>
      <c r="X21" s="671">
        <f>+VLOOKUP($A$1,data!$A$261:$AK$291,36)</f>
        <v>302.53767820773936</v>
      </c>
      <c r="Y21" s="671">
        <f>+VLOOKUP($A$1,data!$A$261:$AK$291,17)</f>
        <v>130</v>
      </c>
      <c r="Z21" s="671">
        <f>+VLOOKUP($A$1,data!$A$261:$AK$291,37)</f>
        <v>487.63747454175166</v>
      </c>
      <c r="AA21" s="671">
        <f>+VLOOKUP($A$1,data!$A$261:$AK$291,18)</f>
        <v>184</v>
      </c>
      <c r="AB21" s="671">
        <f>+VLOOKUP($A$1,data!$A$261:$AK$291,34)</f>
        <v>588.00000000000023</v>
      </c>
      <c r="AC21" s="671">
        <f>+VLOOKUP($A$1,data!$A$261:$AK$291,15)</f>
        <v>223</v>
      </c>
      <c r="AD21" s="671">
        <f>+AA21-Z21</f>
        <v>-303.63747454175166</v>
      </c>
      <c r="AE21" s="684">
        <f>+AC21-AB21</f>
        <v>-365.00000000000023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15</v>
      </c>
      <c r="W22" s="672">
        <f>+VLOOKUP($A$1,data!$A$229:$AK$259,16)</f>
        <v>5</v>
      </c>
      <c r="X22" s="672">
        <f>+VLOOKUP($A$1,data!$A$229:$AK$259,36)</f>
        <v>31</v>
      </c>
      <c r="Y22" s="672">
        <f>+VLOOKUP($A$1,data!$A$229:$AK$259,17)</f>
        <v>9</v>
      </c>
      <c r="Z22" s="672">
        <f>+VLOOKUP($A$1,data!$A$229:$AK$259,37)</f>
        <v>57</v>
      </c>
      <c r="AA22" s="672">
        <f>+VLOOKUP($A$1,data!$A$229:$AK$259,18)</f>
        <v>18</v>
      </c>
      <c r="AB22" s="672">
        <f>+VLOOKUP($A$1,data!$A$229:$AK$259,34)</f>
        <v>103</v>
      </c>
      <c r="AC22" s="765">
        <f>+VLOOKUP($A$1,data!$A$229:$AK$259,15)</f>
        <v>19</v>
      </c>
      <c r="AD22" s="671">
        <f>+AA22-Z22</f>
        <v>-39</v>
      </c>
      <c r="AE22" s="685">
        <f>+AC22-AB22</f>
        <v>-84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138.62219959266804</v>
      </c>
      <c r="W23" s="689">
        <f t="shared" ref="W23:AC23" si="3">SUM(W21:W22)</f>
        <v>92</v>
      </c>
      <c r="X23" s="689">
        <f t="shared" si="3"/>
        <v>333.53767820773936</v>
      </c>
      <c r="Y23" s="689">
        <f t="shared" si="3"/>
        <v>139</v>
      </c>
      <c r="Z23" s="689">
        <f t="shared" si="3"/>
        <v>544.63747454175166</v>
      </c>
      <c r="AA23" s="689">
        <f t="shared" si="3"/>
        <v>202</v>
      </c>
      <c r="AB23" s="689">
        <f t="shared" si="3"/>
        <v>691.00000000000023</v>
      </c>
      <c r="AC23" s="764">
        <f t="shared" si="3"/>
        <v>242</v>
      </c>
      <c r="AD23" s="689">
        <f>+AA23-Z23</f>
        <v>-342.63747454175166</v>
      </c>
      <c r="AE23" s="686">
        <f>+AC23-AB23</f>
        <v>-449.00000000000023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36</v>
      </c>
      <c r="D39" s="406">
        <f t="shared" ref="D39:N41" si="4">+C39+C18</f>
        <v>56</v>
      </c>
      <c r="E39" s="406">
        <f t="shared" si="4"/>
        <v>69</v>
      </c>
      <c r="F39" s="406">
        <f t="shared" si="4"/>
        <v>105</v>
      </c>
      <c r="G39" s="406">
        <f t="shared" si="4"/>
        <v>123</v>
      </c>
      <c r="H39" s="406">
        <f t="shared" si="4"/>
        <v>176</v>
      </c>
      <c r="I39" s="406">
        <f t="shared" si="4"/>
        <v>215</v>
      </c>
      <c r="J39" s="406">
        <f t="shared" si="4"/>
        <v>254</v>
      </c>
      <c r="K39" s="406">
        <f t="shared" si="4"/>
        <v>319</v>
      </c>
      <c r="L39" s="406">
        <f t="shared" si="4"/>
        <v>351</v>
      </c>
      <c r="M39" s="406">
        <f t="shared" si="4"/>
        <v>385</v>
      </c>
      <c r="N39" s="406">
        <f t="shared" si="4"/>
        <v>420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9.8058999999999993E-2</v>
      </c>
      <c r="AL39" s="418">
        <f t="shared" ref="AL39:AV41" si="5">+AK39+AK18</f>
        <v>0.19931499999999999</v>
      </c>
      <c r="AM39" s="418">
        <f t="shared" si="5"/>
        <v>0.29451099999999997</v>
      </c>
      <c r="AN39" s="418">
        <f t="shared" si="5"/>
        <v>0.39137149999999998</v>
      </c>
      <c r="AO39" s="418">
        <f t="shared" si="5"/>
        <v>0.48830099999999999</v>
      </c>
      <c r="AP39" s="418">
        <f t="shared" si="5"/>
        <v>0.58309</v>
      </c>
      <c r="AQ39" s="418">
        <f t="shared" si="5"/>
        <v>0.69123699999999999</v>
      </c>
      <c r="AR39" s="418">
        <f t="shared" si="5"/>
        <v>0.81217399999999995</v>
      </c>
      <c r="AS39" s="418">
        <f t="shared" si="5"/>
        <v>0.92271099999999995</v>
      </c>
      <c r="AT39" s="418">
        <f t="shared" si="5"/>
        <v>1.02755</v>
      </c>
      <c r="AU39" s="418">
        <f t="shared" si="5"/>
        <v>1.1286620000000001</v>
      </c>
      <c r="AV39" s="418">
        <f t="shared" si="5"/>
        <v>1.233023</v>
      </c>
      <c r="AW39" s="158"/>
      <c r="AX39" s="158"/>
      <c r="AY39" s="308" t="s">
        <v>92</v>
      </c>
      <c r="AZ39" s="464">
        <f>+VLOOKUP($A$1,data!$A$133:$BK$163,26)</f>
        <v>26.903400882654537</v>
      </c>
      <c r="BA39" s="464">
        <f>+VLOOKUP($A$1,data!$A$133:$BK$163,27)</f>
        <v>22.866141110870476</v>
      </c>
      <c r="BB39" s="464">
        <f>+VLOOKUP($A$1,data!$A$133:$BK$163,28)</f>
        <v>27.459047311337979</v>
      </c>
      <c r="BC39" s="464">
        <f>+VLOOKUP($A$1,data!$A$133:$BK$163,29)</f>
        <v>25.751096668284951</v>
      </c>
      <c r="BD39" s="464">
        <f>+VLOOKUP($A$1,data!$A$133:$BK$163,30)</f>
        <v>26.328855612223752</v>
      </c>
      <c r="BE39" s="464">
        <f>+VLOOKUP($A$1,data!$A$133:$BK$163,31)</f>
        <v>26.427566268932427</v>
      </c>
      <c r="BF39" s="464">
        <f>+VLOOKUP($A$1,data!$A$133:$BK$163,32)</f>
        <v>23.797253833203065</v>
      </c>
      <c r="BG39" s="464">
        <f>+VLOOKUP($A$1,data!$A$133:$BK$163,33)</f>
        <v>25.648209846994519</v>
      </c>
      <c r="BH39" s="464">
        <f>+VLOOKUP($A$1,data!$A$133:$BK$163,34)</f>
        <v>21.69596345494298</v>
      </c>
      <c r="BI39" s="464">
        <f>+VLOOKUP($A$1,data!$A$133:$BK$163,35)</f>
        <v>17.435371135593144</v>
      </c>
      <c r="BJ39" s="464">
        <f>+VLOOKUP($A$1,data!$A$133:$BK$163,36)</f>
        <v>20.543296835322622</v>
      </c>
      <c r="BK39" s="464">
        <f>+VLOOKUP($A$1,data!$A$133:$BK$163,37)</f>
        <v>23.599913137490287</v>
      </c>
      <c r="BL39" s="464">
        <f>+VLOOKUP($A$1,data!$A$133:$BK$163,38)</f>
        <v>23.914529135723708</v>
      </c>
      <c r="BM39" s="464">
        <f>+VLOOKUP($A$1,data!$A$133:$BK$163,39)</f>
        <v>24.167734702098347</v>
      </c>
      <c r="BN39" s="464">
        <f>+VLOOKUP($A$1,data!$A$133:$BK$163,40)</f>
        <v>24.979917080455678</v>
      </c>
      <c r="BO39" s="464">
        <f>+VLOOKUP($A$1,data!$A$133:$BK$163,41)</f>
        <v>23.791330758122523</v>
      </c>
    </row>
    <row r="40" spans="1:67" ht="21.75" thickBot="1" x14ac:dyDescent="0.4">
      <c r="A40"/>
      <c r="B40" s="408" t="s">
        <v>94</v>
      </c>
      <c r="C40" s="409">
        <f>+B19</f>
        <v>52.071283095723018</v>
      </c>
      <c r="D40" s="409">
        <f t="shared" si="4"/>
        <v>92.883910386965383</v>
      </c>
      <c r="E40" s="409">
        <f t="shared" si="4"/>
        <v>138.62219959266804</v>
      </c>
      <c r="F40" s="409">
        <f t="shared" si="4"/>
        <v>189.28615071283099</v>
      </c>
      <c r="G40" s="409">
        <f t="shared" si="4"/>
        <v>258.24541751527499</v>
      </c>
      <c r="H40" s="409">
        <f t="shared" si="4"/>
        <v>333.53767820773936</v>
      </c>
      <c r="I40" s="409">
        <f t="shared" si="4"/>
        <v>396.16395112016301</v>
      </c>
      <c r="J40" s="409">
        <f t="shared" si="4"/>
        <v>448.93890020366609</v>
      </c>
      <c r="K40" s="409">
        <f t="shared" si="4"/>
        <v>544.63747454175166</v>
      </c>
      <c r="L40" s="409">
        <f t="shared" si="4"/>
        <v>597.41242362525475</v>
      </c>
      <c r="M40" s="409">
        <f t="shared" si="4"/>
        <v>644.5580448065175</v>
      </c>
      <c r="N40" s="409">
        <f t="shared" si="4"/>
        <v>691.00000000000023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0.101034</v>
      </c>
      <c r="AL40" s="423">
        <f t="shared" si="5"/>
        <v>0.206652</v>
      </c>
      <c r="AM40" s="423">
        <f t="shared" si="5"/>
        <v>0.30638599999999999</v>
      </c>
      <c r="AN40" s="423">
        <f t="shared" si="5"/>
        <v>0.414719</v>
      </c>
      <c r="AO40" s="423">
        <f t="shared" si="5"/>
        <v>0.51841400000000004</v>
      </c>
      <c r="AP40" s="423">
        <f t="shared" si="5"/>
        <v>0.61879400000000007</v>
      </c>
      <c r="AQ40" s="423">
        <f t="shared" si="5"/>
        <v>0.73132500000000011</v>
      </c>
      <c r="AR40" s="423">
        <f t="shared" si="5"/>
        <v>0.85279000000000016</v>
      </c>
      <c r="AS40" s="423">
        <f t="shared" si="5"/>
        <v>0.97130000000000016</v>
      </c>
      <c r="AT40" s="423">
        <f t="shared" si="5"/>
        <v>1.0859660000000002</v>
      </c>
      <c r="AU40" s="423">
        <f t="shared" si="5"/>
        <v>1.1988210000000001</v>
      </c>
      <c r="AV40" s="423">
        <f t="shared" si="5"/>
        <v>1.3089200000000001</v>
      </c>
      <c r="AW40" s="158"/>
      <c r="AX40" s="158"/>
      <c r="AY40" s="311" t="s">
        <v>94</v>
      </c>
      <c r="AZ40" s="458">
        <f>+VLOOKUP($A$1,data!$A$133:$BK$163,22)</f>
        <v>21.999880817591325</v>
      </c>
      <c r="BA40" s="458">
        <f>+$AZ$40</f>
        <v>21.999880817591325</v>
      </c>
      <c r="BB40" s="458">
        <f t="shared" ref="BB40:BO40" si="6">+$AZ$40</f>
        <v>21.999880817591325</v>
      </c>
      <c r="BC40" s="458">
        <f t="shared" si="6"/>
        <v>21.999880817591325</v>
      </c>
      <c r="BD40" s="458">
        <f t="shared" si="6"/>
        <v>21.999880817591325</v>
      </c>
      <c r="BE40" s="458">
        <f t="shared" si="6"/>
        <v>21.999880817591325</v>
      </c>
      <c r="BF40" s="458">
        <f t="shared" si="6"/>
        <v>21.999880817591325</v>
      </c>
      <c r="BG40" s="458">
        <f t="shared" si="6"/>
        <v>21.999880817591325</v>
      </c>
      <c r="BH40" s="458">
        <f t="shared" si="6"/>
        <v>21.999880817591325</v>
      </c>
      <c r="BI40" s="458">
        <f t="shared" si="6"/>
        <v>21.999880817591325</v>
      </c>
      <c r="BJ40" s="458">
        <f t="shared" si="6"/>
        <v>21.999880817591325</v>
      </c>
      <c r="BK40" s="458">
        <f t="shared" si="6"/>
        <v>21.999880817591325</v>
      </c>
      <c r="BL40" s="458">
        <f t="shared" si="6"/>
        <v>21.999880817591325</v>
      </c>
      <c r="BM40" s="458">
        <f t="shared" si="6"/>
        <v>21.999880817591325</v>
      </c>
      <c r="BN40" s="458">
        <f t="shared" si="6"/>
        <v>21.999880817591325</v>
      </c>
      <c r="BO40" s="458">
        <f t="shared" si="6"/>
        <v>21.999880817591325</v>
      </c>
    </row>
    <row r="41" spans="1:67" ht="21.75" thickBot="1" x14ac:dyDescent="0.4">
      <c r="A41"/>
      <c r="B41" s="413" t="s">
        <v>93</v>
      </c>
      <c r="C41" s="414">
        <f>+B20</f>
        <v>25</v>
      </c>
      <c r="D41" s="414">
        <f t="shared" si="4"/>
        <v>73</v>
      </c>
      <c r="E41" s="414">
        <f t="shared" si="4"/>
        <v>92</v>
      </c>
      <c r="F41" s="414">
        <f t="shared" si="4"/>
        <v>109</v>
      </c>
      <c r="G41" s="414">
        <f t="shared" si="4"/>
        <v>119</v>
      </c>
      <c r="H41" s="414">
        <f t="shared" si="4"/>
        <v>139</v>
      </c>
      <c r="I41" s="414">
        <f t="shared" si="4"/>
        <v>170</v>
      </c>
      <c r="J41" s="414">
        <f t="shared" si="4"/>
        <v>190</v>
      </c>
      <c r="K41" s="414">
        <f t="shared" si="4"/>
        <v>202</v>
      </c>
      <c r="L41" s="414">
        <f t="shared" si="4"/>
        <v>217</v>
      </c>
      <c r="M41" s="414">
        <f t="shared" si="4"/>
        <v>232</v>
      </c>
      <c r="N41" s="414">
        <f t="shared" si="4"/>
        <v>242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0.100191</v>
      </c>
      <c r="AL41" s="420">
        <f t="shared" si="5"/>
        <v>0.20323099999999999</v>
      </c>
      <c r="AM41" s="420">
        <f t="shared" si="5"/>
        <v>0.30061413999999997</v>
      </c>
      <c r="AN41" s="420">
        <f t="shared" si="5"/>
        <v>0.39988614</v>
      </c>
      <c r="AO41" s="420">
        <f t="shared" si="5"/>
        <v>0.50046414000000006</v>
      </c>
      <c r="AP41" s="420">
        <f t="shared" si="5"/>
        <v>0.59644114000000004</v>
      </c>
      <c r="AQ41" s="420">
        <f t="shared" si="5"/>
        <v>0.70116314000000002</v>
      </c>
      <c r="AR41" s="420">
        <f t="shared" si="5"/>
        <v>0.81233114000000006</v>
      </c>
      <c r="AS41" s="420">
        <f t="shared" si="5"/>
        <v>0.92219914000000003</v>
      </c>
      <c r="AT41" s="420">
        <f t="shared" si="5"/>
        <v>1.0273431399999999</v>
      </c>
      <c r="AU41" s="420">
        <f t="shared" si="5"/>
        <v>1.1315741399999999</v>
      </c>
      <c r="AV41" s="420">
        <f t="shared" si="5"/>
        <v>1.2354431399999999</v>
      </c>
      <c r="AW41" s="158"/>
      <c r="AX41" s="158"/>
      <c r="AY41" s="315" t="s">
        <v>93</v>
      </c>
      <c r="AZ41" s="442">
        <f>+VLOOKUP($A$1,data!$A$133:$BK$163,3)</f>
        <v>22.642205200949121</v>
      </c>
      <c r="BA41" s="442">
        <f>+VLOOKUP($A$1,data!$A$133:$BK$163,4)</f>
        <v>22.822115987783665</v>
      </c>
      <c r="BB41" s="442">
        <f>+VLOOKUP($A$1,data!$A$133:$BK$163,5)</f>
        <v>28.677407726350385</v>
      </c>
      <c r="BC41" s="442">
        <f>+VLOOKUP($A$1,data!$A$133:$BK$163,6)</f>
        <v>24.764663499506419</v>
      </c>
      <c r="BD41" s="442">
        <f>+VLOOKUP($A$1,data!$A$133:$BK$163,7)</f>
        <v>26.156222821470219</v>
      </c>
      <c r="BE41" s="442">
        <f>+VLOOKUP($A$1,data!$A$133:$BK$163,8)</f>
        <v>22.356823730350957</v>
      </c>
      <c r="BF41" s="442">
        <f>+VLOOKUP($A$1,data!$A$133:$BK$163,9)</f>
        <v>25.27684362262147</v>
      </c>
      <c r="BG41" s="442">
        <f>+VLOOKUP($A$1,data!$A$133:$BK$163,10)</f>
        <v>24.690106453747802</v>
      </c>
      <c r="BH41" s="442">
        <f>+VLOOKUP($A$1,data!$A$133:$BK$163,11)</f>
        <v>23.503085679682741</v>
      </c>
      <c r="BI41" s="442">
        <f>+VLOOKUP($A$1,data!$A$133:$BK$163,12)</f>
        <v>19.073149957959796</v>
      </c>
      <c r="BJ41" s="442">
        <f>+VLOOKUP($A$1,data!$A$133:$BK$163,13)</f>
        <v>16.32414181941451</v>
      </c>
      <c r="BK41" s="442">
        <f>+VLOOKUP($A$1,data!$A$133:$BK$163,14)</f>
        <v>22.992884785340571</v>
      </c>
      <c r="BL41" s="442">
        <f>+VLOOKUP($A$1,data!$A$133:$BK$163,15)</f>
        <v>18.870107449422282</v>
      </c>
      <c r="BM41" s="442">
        <f>+VLOOKUP($A$1,data!$A$133:$BK$163,16)</f>
        <v>19.784106415601467</v>
      </c>
      <c r="BN41" s="442">
        <f>+VLOOKUP($A$1,data!$A$133:$BK$163,17)</f>
        <v>20.659588163766241</v>
      </c>
      <c r="BO41" s="442">
        <f>+VLOOKUP($A$1,data!$A$133:$BK$163,18)</f>
        <v>22.201553215793034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23.791330758122523</v>
      </c>
      <c r="BA43" s="826">
        <f>+VLOOKUP($A$1,data!$A$133:$BK$163,26)</f>
        <v>26.903400882654537</v>
      </c>
      <c r="BB43" s="473">
        <f>+AZ45-AZ43</f>
        <v>-1.5897775423294895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21.999880817591325</v>
      </c>
      <c r="BA44" s="830"/>
      <c r="BB44" s="472">
        <f>+AZ45-AZ44</f>
        <v>0.20167239820170835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22.201553215793034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1009</v>
      </c>
      <c r="B47" s="817" t="str">
        <f>+VLOOKUP($A$1,data!$A$4:$AH$32,2,0)</f>
        <v>ฝาง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1009</v>
      </c>
      <c r="T47" s="817" t="str">
        <f>+VLOOKUP($A$1,data!$A$4:$AH$32,2,0)</f>
        <v>ฝาง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1009</v>
      </c>
      <c r="AJ47" s="817" t="str">
        <f>+VLOOKUP($A$1,data!$A$4:$AH$32,2,0)</f>
        <v>ฝาง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58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59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2.0390309099999997</v>
      </c>
      <c r="C64" s="632">
        <f>+VLOOKUP($A$1,data!$A$165:$AU$195,36)</f>
        <v>2.09218057</v>
      </c>
      <c r="D64" s="632">
        <f>+VLOOKUP($A$1,data!$A$165:$AU$195,37)</f>
        <v>1.9879583799999998</v>
      </c>
      <c r="E64" s="632">
        <f>+VLOOKUP($A$1,data!$A$165:$AU$195,38)</f>
        <v>2.0181679899999998</v>
      </c>
      <c r="F64" s="632">
        <f>+VLOOKUP($A$1,data!$A$165:$AU$195,39)</f>
        <v>2.0153325300000002</v>
      </c>
      <c r="G64" s="632">
        <f>+VLOOKUP($A$1,data!$A$165:$AU$195,40)</f>
        <v>1.96988875</v>
      </c>
      <c r="H64" s="632">
        <f>+VLOOKUP($A$1,data!$A$165:$AU$195,41)</f>
        <v>2.2240766399999998</v>
      </c>
      <c r="I64" s="632">
        <f>+VLOOKUP($A$1,data!$A$165:$AU$195,42)</f>
        <v>2.4746829300000002</v>
      </c>
      <c r="J64" s="632">
        <f>+VLOOKUP($A$1,data!$A$165:$AU$195,43)</f>
        <v>2.2772406899999997</v>
      </c>
      <c r="K64" s="632">
        <f>+VLOOKUP($A$1,data!$A$165:$AU$195,44)</f>
        <v>2.1449899699999997</v>
      </c>
      <c r="L64" s="632">
        <f>+VLOOKUP($A$1,data!$A$165:$AU$195,45)</f>
        <v>2.1293243300000002</v>
      </c>
      <c r="M64" s="632">
        <f>+VLOOKUP($A$1,data!$A$165:$AU$195,46)</f>
        <v>2.1785002400000004</v>
      </c>
      <c r="N64" s="632">
        <f>SUM(B64:M64)</f>
        <v>25.55137393</v>
      </c>
      <c r="O64" s="632">
        <f>SUM(B64:M64)</f>
        <v>25.55137393</v>
      </c>
      <c r="P64" s="635">
        <f>+O66-O64</f>
        <v>1.1231471999999982</v>
      </c>
      <c r="S64" s="605" t="s">
        <v>92</v>
      </c>
      <c r="T64" s="640">
        <f>+VLOOKUP($A$1,data!$A$197:$AU$227,35)</f>
        <v>0.98139747999999993</v>
      </c>
      <c r="U64" s="640">
        <f>+VLOOKUP($A$1,data!$A$197:$AU$227,36)</f>
        <v>0.87234332000000003</v>
      </c>
      <c r="V64" s="640">
        <f>+VLOOKUP($A$1,data!$A$197:$AU$227,37)</f>
        <v>0.88881756000000012</v>
      </c>
      <c r="W64" s="640">
        <f>+VLOOKUP($A$1,data!$A$197:$AU$227,38)</f>
        <v>0.87784121999999998</v>
      </c>
      <c r="X64" s="640">
        <f>+VLOOKUP($A$1,data!$A$197:$AU$227,39)</f>
        <v>0.95450908000000023</v>
      </c>
      <c r="Y64" s="640">
        <f>+VLOOKUP($A$1,data!$A$197:$AU$227,40)</f>
        <v>0.93470149999999985</v>
      </c>
      <c r="Z64" s="640">
        <f>+VLOOKUP($A$1,data!$A$197:$AU$227,41)</f>
        <v>0.96238478999999977</v>
      </c>
      <c r="AA64" s="640">
        <f>+VLOOKUP($A$1,data!$A$197:$AU$227,42)</f>
        <v>0.99714610000000015</v>
      </c>
      <c r="AB64" s="640">
        <f>+VLOOKUP($A$1,data!$A$197:$AU$227,43)</f>
        <v>0.99444360999999992</v>
      </c>
      <c r="AC64" s="640">
        <f>+VLOOKUP($A$1,data!$A$197:$AU$227,44)</f>
        <v>0.91052173999999997</v>
      </c>
      <c r="AD64" s="640">
        <f>+VLOOKUP($A$1,data!$A$197:$AU$227,45)</f>
        <v>0.97572253999999992</v>
      </c>
      <c r="AE64" s="640">
        <f>+VLOOKUP($A$1,data!$A$197:$AU$227,46)</f>
        <v>0.87543979999999988</v>
      </c>
      <c r="AF64" s="640">
        <f>SUM(T64:AE64)</f>
        <v>11.225268740000001</v>
      </c>
      <c r="AG64" s="640">
        <f>SUM(T64:AE64)</f>
        <v>11.225268740000001</v>
      </c>
      <c r="AH64" s="641">
        <f>+AG66-AG64</f>
        <v>0.1418747999999983</v>
      </c>
      <c r="AI64" s="621" t="s">
        <v>92</v>
      </c>
      <c r="AJ64" s="648">
        <f>+B64-T64</f>
        <v>1.0576334299999997</v>
      </c>
      <c r="AK64" s="648">
        <f t="shared" ref="AK64:AU66" si="7">+C64-U64</f>
        <v>1.2198372499999999</v>
      </c>
      <c r="AL64" s="648">
        <f t="shared" si="7"/>
        <v>1.0991408199999997</v>
      </c>
      <c r="AM64" s="648">
        <f t="shared" si="7"/>
        <v>1.1403267699999997</v>
      </c>
      <c r="AN64" s="648">
        <f t="shared" si="7"/>
        <v>1.06082345</v>
      </c>
      <c r="AO64" s="648">
        <f t="shared" si="7"/>
        <v>1.0351872500000001</v>
      </c>
      <c r="AP64" s="648">
        <f t="shared" si="7"/>
        <v>1.2616918500000001</v>
      </c>
      <c r="AQ64" s="648">
        <f t="shared" si="7"/>
        <v>1.47753683</v>
      </c>
      <c r="AR64" s="648">
        <f t="shared" si="7"/>
        <v>1.2827970799999999</v>
      </c>
      <c r="AS64" s="648">
        <f t="shared" si="7"/>
        <v>1.2344682299999996</v>
      </c>
      <c r="AT64" s="648">
        <f t="shared" si="7"/>
        <v>1.1536017900000002</v>
      </c>
      <c r="AU64" s="648">
        <f t="shared" si="7"/>
        <v>1.3030604400000005</v>
      </c>
      <c r="AV64" s="648">
        <f>SUM(AJ64:AU64)</f>
        <v>14.326105189999998</v>
      </c>
      <c r="AW64" s="648">
        <f>SUM(AJ64:AU64)</f>
        <v>14.326105189999998</v>
      </c>
      <c r="AX64" s="651">
        <f>+AW66-AW64</f>
        <v>0.98127240000000171</v>
      </c>
    </row>
    <row r="65" spans="1:50" ht="21.75" thickBot="1" x14ac:dyDescent="0.4">
      <c r="A65" s="538" t="s">
        <v>94</v>
      </c>
      <c r="B65" s="633">
        <f>+VLOOKUP($A$1,data!$A$165:$AU$195,19)</f>
        <v>2.0980439999999998</v>
      </c>
      <c r="C65" s="633">
        <f>+VLOOKUP($A$1,data!$A$165:$AU$195,20)</f>
        <v>2.4471289999999999</v>
      </c>
      <c r="D65" s="633">
        <f>+VLOOKUP($A$1,data!$A$165:$AU$195,21)</f>
        <v>2.0913930000000001</v>
      </c>
      <c r="E65" s="633">
        <f>+VLOOKUP($A$1,data!$A$165:$AU$195,22)</f>
        <v>2.2539470000000001</v>
      </c>
      <c r="F65" s="633">
        <f>+VLOOKUP($A$1,data!$A$165:$AU$195,23)</f>
        <v>2.182299</v>
      </c>
      <c r="G65" s="633">
        <f>+VLOOKUP($A$1,data!$A$165:$AU$195,24)</f>
        <v>2.1307939999999999</v>
      </c>
      <c r="H65" s="633">
        <f>+VLOOKUP($A$1,data!$A$165:$AU$195,25)</f>
        <v>2.410536</v>
      </c>
      <c r="I65" s="633">
        <f>+VLOOKUP($A$1,data!$A$165:$AU$195,26)</f>
        <v>2.4838149999999999</v>
      </c>
      <c r="J65" s="633">
        <f>+VLOOKUP($A$1,data!$A$165:$AU$195,27)</f>
        <v>2.4469449999999999</v>
      </c>
      <c r="K65" s="633">
        <f>+VLOOKUP($A$1,data!$A$165:$AU$195,28)</f>
        <v>2.3483909999999999</v>
      </c>
      <c r="L65" s="633">
        <f>+VLOOKUP($A$1,data!$A$165:$AU$195,29)</f>
        <v>2.335067</v>
      </c>
      <c r="M65" s="633">
        <f>+VLOOKUP($A$1,data!$A$165:$AU$195,30)</f>
        <v>2.3176190000000001</v>
      </c>
      <c r="N65" s="633">
        <f>SUM(B65:M65)</f>
        <v>27.545978999999999</v>
      </c>
      <c r="O65" s="636">
        <f t="shared" ref="O65:O66" si="8">SUM(B65:M65)</f>
        <v>27.545978999999999</v>
      </c>
      <c r="P65" s="637">
        <f>+O66-O65</f>
        <v>-0.87145787000000041</v>
      </c>
      <c r="S65" s="601" t="s">
        <v>94</v>
      </c>
      <c r="T65" s="642">
        <f>+VLOOKUP($A$1,data!$A$197:$AU$227,19)</f>
        <v>1.004464</v>
      </c>
      <c r="U65" s="642">
        <f>+VLOOKUP($A$1,data!$A$197:$AU$227,20)</f>
        <v>0.918435</v>
      </c>
      <c r="V65" s="642">
        <f>+VLOOKUP($A$1,data!$A$197:$AU$227,21)</f>
        <v>0.96592</v>
      </c>
      <c r="W65" s="642">
        <f>+VLOOKUP($A$1,data!$A$197:$AU$227,22)</f>
        <v>1.046217</v>
      </c>
      <c r="X65" s="642">
        <f>+VLOOKUP($A$1,data!$A$197:$AU$227,23)</f>
        <v>0.99701799999999996</v>
      </c>
      <c r="Y65" s="642">
        <f>+VLOOKUP($A$1,data!$A$197:$AU$227,24)</f>
        <v>0.98669899999999999</v>
      </c>
      <c r="Z65" s="642">
        <f>+VLOOKUP($A$1,data!$A$197:$AU$227,25)</f>
        <v>0.949156</v>
      </c>
      <c r="AA65" s="642">
        <f>+VLOOKUP($A$1,data!$A$197:$AU$227,26)</f>
        <v>1.0570870000000001</v>
      </c>
      <c r="AB65" s="642">
        <f>+VLOOKUP($A$1,data!$A$197:$AU$227,27)</f>
        <v>1.0522959999999999</v>
      </c>
      <c r="AC65" s="642">
        <f>+VLOOKUP($A$1,data!$A$197:$AU$227,28)</f>
        <v>0.99802199999999996</v>
      </c>
      <c r="AD65" s="642">
        <f>+VLOOKUP($A$1,data!$A$197:$AU$227,29)</f>
        <v>1.1063130000000001</v>
      </c>
      <c r="AE65" s="642">
        <f>+VLOOKUP($A$1,data!$A$197:$AU$227,30)</f>
        <v>1.0111650000000001</v>
      </c>
      <c r="AF65" s="642">
        <f>SUM(T65:AE65)</f>
        <v>12.092792000000001</v>
      </c>
      <c r="AG65" s="643">
        <f t="shared" ref="AG65:AG66" si="9">SUM(T65:AE65)</f>
        <v>12.092792000000001</v>
      </c>
      <c r="AH65" s="644">
        <f>+AG66-AG65</f>
        <v>-0.72564846000000216</v>
      </c>
      <c r="AI65" s="617" t="s">
        <v>94</v>
      </c>
      <c r="AJ65" s="649">
        <f>+B65-T65</f>
        <v>1.0935799999999998</v>
      </c>
      <c r="AK65" s="649">
        <f t="shared" si="7"/>
        <v>1.5286939999999998</v>
      </c>
      <c r="AL65" s="649">
        <f t="shared" si="7"/>
        <v>1.1254729999999999</v>
      </c>
      <c r="AM65" s="649">
        <f t="shared" si="7"/>
        <v>1.2077300000000002</v>
      </c>
      <c r="AN65" s="649">
        <f t="shared" si="7"/>
        <v>1.185281</v>
      </c>
      <c r="AO65" s="649">
        <f t="shared" si="7"/>
        <v>1.1440949999999999</v>
      </c>
      <c r="AP65" s="649">
        <f t="shared" si="7"/>
        <v>1.4613800000000001</v>
      </c>
      <c r="AQ65" s="649">
        <f t="shared" si="7"/>
        <v>1.4267279999999998</v>
      </c>
      <c r="AR65" s="649">
        <f t="shared" si="7"/>
        <v>1.394649</v>
      </c>
      <c r="AS65" s="649">
        <f t="shared" si="7"/>
        <v>1.3503689999999999</v>
      </c>
      <c r="AT65" s="649">
        <f t="shared" si="7"/>
        <v>1.2287539999999999</v>
      </c>
      <c r="AU65" s="649">
        <f t="shared" si="7"/>
        <v>1.306454</v>
      </c>
      <c r="AV65" s="649">
        <f>SUM(AJ65:AU65)</f>
        <v>15.453187000000002</v>
      </c>
      <c r="AW65" s="652">
        <f t="shared" ref="AW65:AW66" si="10">SUM(AJ65:AU65)</f>
        <v>15.453187000000002</v>
      </c>
      <c r="AX65" s="653">
        <f>+AW66-AW65</f>
        <v>-0.1458094100000018</v>
      </c>
    </row>
    <row r="66" spans="1:50" ht="21.75" thickBot="1" x14ac:dyDescent="0.4">
      <c r="A66" s="546" t="s">
        <v>93</v>
      </c>
      <c r="B66" s="634">
        <f>+VLOOKUP($A$1,data!$A$165:$AU$195,3)</f>
        <v>2.7116601</v>
      </c>
      <c r="C66" s="634">
        <f>+VLOOKUP($A$1,data!$A$165:$AU$195,4)</f>
        <v>2.2000717599999997</v>
      </c>
      <c r="D66" s="634">
        <f>+VLOOKUP($A$1,data!$A$165:$AU$195,5)</f>
        <v>2.0453417800000002</v>
      </c>
      <c r="E66" s="634">
        <f>+VLOOKUP($A$1,data!$A$165:$AU$195,6)</f>
        <v>2.07292589</v>
      </c>
      <c r="F66" s="634">
        <f>+VLOOKUP($A$1,data!$A$165:$AU$195,7)</f>
        <v>2.0984528900000003</v>
      </c>
      <c r="G66" s="634">
        <f>+VLOOKUP($A$1,data!$A$165:$AU$195,8)</f>
        <v>2.0092042299999999</v>
      </c>
      <c r="H66" s="634">
        <f>+VLOOKUP($A$1,data!$A$165:$AU$195,9)</f>
        <v>2.19898836</v>
      </c>
      <c r="I66" s="634">
        <f>+VLOOKUP($A$1,data!$A$165:$AU$195,10)</f>
        <v>2.29874321</v>
      </c>
      <c r="J66" s="634">
        <f>+VLOOKUP($A$1,data!$A$165:$AU$195,11)</f>
        <v>2.2966512400000001</v>
      </c>
      <c r="K66" s="634">
        <f>+VLOOKUP($A$1,data!$A$165:$AU$195,12)</f>
        <v>2.19767351</v>
      </c>
      <c r="L66" s="634">
        <f>+VLOOKUP($A$1,data!$A$165:$AU$195,13)</f>
        <v>2.2707057199999996</v>
      </c>
      <c r="M66" s="634">
        <f>+VLOOKUP($A$1,data!$A$165:$AU$195,14)</f>
        <v>2.2741024400000001</v>
      </c>
      <c r="N66" s="634">
        <f>SUM(B66:M66)</f>
        <v>26.674521129999999</v>
      </c>
      <c r="O66" s="638">
        <f t="shared" si="8"/>
        <v>26.674521129999999</v>
      </c>
      <c r="P66" s="639"/>
      <c r="S66" s="608" t="s">
        <v>93</v>
      </c>
      <c r="T66" s="645">
        <f>+VLOOKUP($A$1,data!$A$197:$AU$227,3)</f>
        <v>0.87427484000000011</v>
      </c>
      <c r="U66" s="645">
        <f>+VLOOKUP($A$1,data!$A$197:$AU$227,4)</f>
        <v>0.89729745000000005</v>
      </c>
      <c r="V66" s="645">
        <f>+VLOOKUP($A$1,data!$A$197:$AU$227,5)</f>
        <v>1.0894944700000002</v>
      </c>
      <c r="W66" s="645">
        <f>+VLOOKUP($A$1,data!$A$197:$AU$227,6)</f>
        <v>0.91024853000000006</v>
      </c>
      <c r="X66" s="645">
        <f>+VLOOKUP($A$1,data!$A$197:$AU$227,7)</f>
        <v>0.89768084999999997</v>
      </c>
      <c r="Y66" s="645">
        <f>+VLOOKUP($A$1,data!$A$197:$AU$227,8)</f>
        <v>1.0020404499999997</v>
      </c>
      <c r="Z66" s="645">
        <f>+VLOOKUP($A$1,data!$A$197:$AU$227,9)</f>
        <v>0.91356322999999995</v>
      </c>
      <c r="AA66" s="645">
        <f>+VLOOKUP($A$1,data!$A$197:$AU$227,10)</f>
        <v>0.95168834999999985</v>
      </c>
      <c r="AB66" s="645">
        <f>+VLOOKUP($A$1,data!$A$197:$AU$227,11)</f>
        <v>0.93579648999999998</v>
      </c>
      <c r="AC66" s="645">
        <f>+VLOOKUP($A$1,data!$A$197:$AU$227,12)</f>
        <v>0.91546402000000004</v>
      </c>
      <c r="AD66" s="645">
        <f>+VLOOKUP($A$1,data!$A$197:$AU$227,13)</f>
        <v>0.90855110999999988</v>
      </c>
      <c r="AE66" s="645">
        <f>+VLOOKUP($A$1,data!$A$197:$AU$227,14)</f>
        <v>1.0710437499999999</v>
      </c>
      <c r="AF66" s="645">
        <f>SUM(T66:AE66)</f>
        <v>11.367143539999999</v>
      </c>
      <c r="AG66" s="646">
        <f t="shared" si="9"/>
        <v>11.367143539999999</v>
      </c>
      <c r="AH66" s="647"/>
      <c r="AI66" s="624" t="s">
        <v>93</v>
      </c>
      <c r="AJ66" s="650">
        <f>+B66-T66</f>
        <v>1.83738526</v>
      </c>
      <c r="AK66" s="650">
        <f t="shared" si="7"/>
        <v>1.3027743099999998</v>
      </c>
      <c r="AL66" s="650">
        <f t="shared" si="7"/>
        <v>0.95584731000000001</v>
      </c>
      <c r="AM66" s="650">
        <f t="shared" si="7"/>
        <v>1.16267736</v>
      </c>
      <c r="AN66" s="650">
        <f t="shared" si="7"/>
        <v>1.2007720400000004</v>
      </c>
      <c r="AO66" s="650">
        <f t="shared" si="7"/>
        <v>1.0071637800000002</v>
      </c>
      <c r="AP66" s="650">
        <f t="shared" si="7"/>
        <v>1.2854251300000001</v>
      </c>
      <c r="AQ66" s="650">
        <f t="shared" si="7"/>
        <v>1.3470548600000001</v>
      </c>
      <c r="AR66" s="650">
        <f t="shared" si="7"/>
        <v>1.3608547500000001</v>
      </c>
      <c r="AS66" s="650">
        <f>+K66-AC66</f>
        <v>1.2822094900000001</v>
      </c>
      <c r="AT66" s="650">
        <f>+L66-AD66</f>
        <v>1.3621546099999997</v>
      </c>
      <c r="AU66" s="650">
        <f>+M66-AE66</f>
        <v>1.2030586900000002</v>
      </c>
      <c r="AV66" s="650">
        <f>SUM(AJ66:AU66)</f>
        <v>15.30737759</v>
      </c>
      <c r="AW66" s="654">
        <f t="shared" si="10"/>
        <v>15.30737759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2.0390309099999997</v>
      </c>
      <c r="D85" s="628">
        <f t="shared" ref="D85:N87" si="11">+C85+C64</f>
        <v>4.1312114799999993</v>
      </c>
      <c r="E85" s="628">
        <f t="shared" si="11"/>
        <v>6.1191698599999995</v>
      </c>
      <c r="F85" s="628">
        <f t="shared" si="11"/>
        <v>8.1373378499999998</v>
      </c>
      <c r="G85" s="628">
        <f t="shared" si="11"/>
        <v>10.15267038</v>
      </c>
      <c r="H85" s="628">
        <f t="shared" si="11"/>
        <v>12.122559129999999</v>
      </c>
      <c r="I85" s="628">
        <f t="shared" si="11"/>
        <v>14.346635769999999</v>
      </c>
      <c r="J85" s="628">
        <f t="shared" si="11"/>
        <v>16.821318699999999</v>
      </c>
      <c r="K85" s="628">
        <f t="shared" si="11"/>
        <v>19.098559389999998</v>
      </c>
      <c r="L85" s="628">
        <f t="shared" si="11"/>
        <v>21.243549359999999</v>
      </c>
      <c r="M85" s="628">
        <f t="shared" si="11"/>
        <v>23.372873689999999</v>
      </c>
      <c r="N85" s="628">
        <f t="shared" si="11"/>
        <v>25.55137393</v>
      </c>
      <c r="S85"/>
      <c r="T85" s="605" t="s">
        <v>92</v>
      </c>
      <c r="U85" s="640">
        <f>+T64</f>
        <v>0.98139747999999993</v>
      </c>
      <c r="V85" s="640">
        <f t="shared" ref="V85:AF87" si="12">+U85+U64</f>
        <v>1.8537408</v>
      </c>
      <c r="W85" s="640">
        <f t="shared" si="12"/>
        <v>2.7425583600000003</v>
      </c>
      <c r="X85" s="640">
        <f t="shared" si="12"/>
        <v>3.6203995800000004</v>
      </c>
      <c r="Y85" s="640">
        <f t="shared" si="12"/>
        <v>4.5749086600000002</v>
      </c>
      <c r="Z85" s="640">
        <f t="shared" si="12"/>
        <v>5.5096101600000003</v>
      </c>
      <c r="AA85" s="640">
        <f t="shared" si="12"/>
        <v>6.47199495</v>
      </c>
      <c r="AB85" s="640">
        <f t="shared" si="12"/>
        <v>7.4691410500000002</v>
      </c>
      <c r="AC85" s="640">
        <f t="shared" si="12"/>
        <v>8.4635846600000004</v>
      </c>
      <c r="AD85" s="640">
        <f t="shared" si="12"/>
        <v>9.3741064000000005</v>
      </c>
      <c r="AE85" s="640">
        <f t="shared" si="12"/>
        <v>10.34982894</v>
      </c>
      <c r="AF85" s="640">
        <f t="shared" si="12"/>
        <v>11.225268740000001</v>
      </c>
      <c r="AG85" s="158"/>
      <c r="AH85" s="158"/>
      <c r="AI85"/>
      <c r="AJ85" s="621" t="s">
        <v>92</v>
      </c>
      <c r="AK85" s="648">
        <f>+AJ64</f>
        <v>1.0576334299999997</v>
      </c>
      <c r="AL85" s="648">
        <f t="shared" ref="AL85:AV87" si="13">+AK85+AK64</f>
        <v>2.2774706799999995</v>
      </c>
      <c r="AM85" s="648">
        <f t="shared" si="13"/>
        <v>3.3766114999999992</v>
      </c>
      <c r="AN85" s="648">
        <f t="shared" si="13"/>
        <v>4.5169382699999989</v>
      </c>
      <c r="AO85" s="648">
        <f t="shared" si="13"/>
        <v>5.5777617199999989</v>
      </c>
      <c r="AP85" s="648">
        <f t="shared" si="13"/>
        <v>6.6129489699999988</v>
      </c>
      <c r="AQ85" s="648">
        <f t="shared" si="13"/>
        <v>7.8746408199999989</v>
      </c>
      <c r="AR85" s="648">
        <f t="shared" si="13"/>
        <v>9.352177649999998</v>
      </c>
      <c r="AS85" s="648">
        <f t="shared" si="13"/>
        <v>10.634974729999998</v>
      </c>
      <c r="AT85" s="648">
        <f t="shared" si="13"/>
        <v>11.869442959999997</v>
      </c>
      <c r="AU85" s="648">
        <f t="shared" si="13"/>
        <v>13.023044749999997</v>
      </c>
      <c r="AV85" s="648">
        <f t="shared" si="13"/>
        <v>14.326105189999998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2.0980439999999998</v>
      </c>
      <c r="D86" s="633">
        <f t="shared" si="11"/>
        <v>4.5451730000000001</v>
      </c>
      <c r="E86" s="633">
        <f t="shared" si="11"/>
        <v>6.6365660000000002</v>
      </c>
      <c r="F86" s="633">
        <f t="shared" si="11"/>
        <v>8.8905130000000003</v>
      </c>
      <c r="G86" s="633">
        <f t="shared" si="11"/>
        <v>11.072812000000001</v>
      </c>
      <c r="H86" s="633">
        <f t="shared" si="11"/>
        <v>13.203606000000001</v>
      </c>
      <c r="I86" s="633">
        <f t="shared" si="11"/>
        <v>15.614142000000001</v>
      </c>
      <c r="J86" s="633">
        <f t="shared" si="11"/>
        <v>18.097957000000001</v>
      </c>
      <c r="K86" s="633">
        <f t="shared" si="11"/>
        <v>20.544902</v>
      </c>
      <c r="L86" s="633">
        <f t="shared" si="11"/>
        <v>22.893293</v>
      </c>
      <c r="M86" s="633">
        <f t="shared" si="11"/>
        <v>25.228359999999999</v>
      </c>
      <c r="N86" s="633">
        <f t="shared" si="11"/>
        <v>27.545978999999999</v>
      </c>
      <c r="S86"/>
      <c r="T86" s="601" t="s">
        <v>94</v>
      </c>
      <c r="U86" s="642">
        <f>+T65</f>
        <v>1.004464</v>
      </c>
      <c r="V86" s="642">
        <f t="shared" si="12"/>
        <v>1.9228990000000001</v>
      </c>
      <c r="W86" s="642">
        <f t="shared" si="12"/>
        <v>2.8888190000000002</v>
      </c>
      <c r="X86" s="642">
        <f t="shared" si="12"/>
        <v>3.9350360000000002</v>
      </c>
      <c r="Y86" s="642">
        <f t="shared" si="12"/>
        <v>4.9320539999999999</v>
      </c>
      <c r="Z86" s="642">
        <f t="shared" si="12"/>
        <v>5.9187529999999997</v>
      </c>
      <c r="AA86" s="642">
        <f t="shared" si="12"/>
        <v>6.867909</v>
      </c>
      <c r="AB86" s="642">
        <f t="shared" si="12"/>
        <v>7.9249960000000002</v>
      </c>
      <c r="AC86" s="642">
        <f t="shared" si="12"/>
        <v>8.9772920000000003</v>
      </c>
      <c r="AD86" s="642">
        <f t="shared" si="12"/>
        <v>9.9753140000000009</v>
      </c>
      <c r="AE86" s="642">
        <f t="shared" si="12"/>
        <v>11.081627000000001</v>
      </c>
      <c r="AF86" s="642">
        <f t="shared" si="12"/>
        <v>12.092792000000001</v>
      </c>
      <c r="AG86" s="158"/>
      <c r="AH86" s="158"/>
      <c r="AI86"/>
      <c r="AJ86" s="617" t="s">
        <v>94</v>
      </c>
      <c r="AK86" s="649">
        <f>+AJ65</f>
        <v>1.0935799999999998</v>
      </c>
      <c r="AL86" s="649">
        <f t="shared" si="13"/>
        <v>2.6222739999999995</v>
      </c>
      <c r="AM86" s="649">
        <f t="shared" si="13"/>
        <v>3.7477469999999995</v>
      </c>
      <c r="AN86" s="649">
        <f t="shared" si="13"/>
        <v>4.9554770000000001</v>
      </c>
      <c r="AO86" s="649">
        <f t="shared" si="13"/>
        <v>6.1407579999999999</v>
      </c>
      <c r="AP86" s="649">
        <f t="shared" si="13"/>
        <v>7.284853</v>
      </c>
      <c r="AQ86" s="649">
        <f t="shared" si="13"/>
        <v>8.7462330000000001</v>
      </c>
      <c r="AR86" s="649">
        <f t="shared" si="13"/>
        <v>10.172961000000001</v>
      </c>
      <c r="AS86" s="649">
        <f t="shared" si="13"/>
        <v>11.56761</v>
      </c>
      <c r="AT86" s="649">
        <f t="shared" si="13"/>
        <v>12.917979000000001</v>
      </c>
      <c r="AU86" s="649">
        <f t="shared" si="13"/>
        <v>14.146733000000001</v>
      </c>
      <c r="AV86" s="649">
        <f t="shared" si="13"/>
        <v>15.453187000000002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2.7116601</v>
      </c>
      <c r="D87" s="629">
        <f t="shared" si="11"/>
        <v>4.9117318599999997</v>
      </c>
      <c r="E87" s="629">
        <f t="shared" si="11"/>
        <v>6.9570736399999999</v>
      </c>
      <c r="F87" s="629">
        <f t="shared" si="11"/>
        <v>9.0299995299999996</v>
      </c>
      <c r="G87" s="629">
        <f t="shared" si="11"/>
        <v>11.12845242</v>
      </c>
      <c r="H87" s="629">
        <f t="shared" si="11"/>
        <v>13.13765665</v>
      </c>
      <c r="I87" s="629">
        <f t="shared" si="11"/>
        <v>15.33664501</v>
      </c>
      <c r="J87" s="629">
        <f t="shared" si="11"/>
        <v>17.635388219999999</v>
      </c>
      <c r="K87" s="629">
        <f t="shared" si="11"/>
        <v>19.932039459999999</v>
      </c>
      <c r="L87" s="629">
        <f t="shared" si="11"/>
        <v>22.12971297</v>
      </c>
      <c r="M87" s="629">
        <f t="shared" si="11"/>
        <v>24.400418689999999</v>
      </c>
      <c r="N87" s="629">
        <f t="shared" si="11"/>
        <v>26.674521129999999</v>
      </c>
      <c r="S87"/>
      <c r="T87" s="608" t="s">
        <v>93</v>
      </c>
      <c r="U87" s="645">
        <f>+T66</f>
        <v>0.87427484000000011</v>
      </c>
      <c r="V87" s="645">
        <f t="shared" si="12"/>
        <v>1.7715722900000002</v>
      </c>
      <c r="W87" s="645">
        <f t="shared" si="12"/>
        <v>2.8610667600000004</v>
      </c>
      <c r="X87" s="645">
        <f t="shared" si="12"/>
        <v>3.7713152900000004</v>
      </c>
      <c r="Y87" s="645">
        <f t="shared" si="12"/>
        <v>4.6689961400000008</v>
      </c>
      <c r="Z87" s="645">
        <f t="shared" si="12"/>
        <v>5.6710365900000008</v>
      </c>
      <c r="AA87" s="645">
        <f t="shared" si="12"/>
        <v>6.5845998200000011</v>
      </c>
      <c r="AB87" s="645">
        <f t="shared" si="12"/>
        <v>7.5362881700000006</v>
      </c>
      <c r="AC87" s="645">
        <f t="shared" si="12"/>
        <v>8.4720846600000002</v>
      </c>
      <c r="AD87" s="645">
        <f t="shared" si="12"/>
        <v>9.3875486800000001</v>
      </c>
      <c r="AE87" s="645">
        <f t="shared" si="12"/>
        <v>10.29609979</v>
      </c>
      <c r="AF87" s="645">
        <f t="shared" si="12"/>
        <v>11.367143539999999</v>
      </c>
      <c r="AG87" s="158"/>
      <c r="AH87" s="158"/>
      <c r="AI87"/>
      <c r="AJ87" s="624" t="s">
        <v>93</v>
      </c>
      <c r="AK87" s="650">
        <f>+AJ66</f>
        <v>1.83738526</v>
      </c>
      <c r="AL87" s="650">
        <f t="shared" si="13"/>
        <v>3.1401595699999998</v>
      </c>
      <c r="AM87" s="650">
        <f t="shared" si="13"/>
        <v>4.09600688</v>
      </c>
      <c r="AN87" s="650">
        <f t="shared" si="13"/>
        <v>5.25868424</v>
      </c>
      <c r="AO87" s="650">
        <f t="shared" si="13"/>
        <v>6.4594562800000004</v>
      </c>
      <c r="AP87" s="650">
        <f t="shared" si="13"/>
        <v>7.4666200600000003</v>
      </c>
      <c r="AQ87" s="650">
        <f t="shared" si="13"/>
        <v>8.7520451900000005</v>
      </c>
      <c r="AR87" s="650">
        <f t="shared" si="13"/>
        <v>10.099100050000001</v>
      </c>
      <c r="AS87" s="650">
        <f t="shared" si="13"/>
        <v>11.4599548</v>
      </c>
      <c r="AT87" s="650">
        <f t="shared" si="13"/>
        <v>12.74216429</v>
      </c>
      <c r="AU87" s="650">
        <f t="shared" si="13"/>
        <v>14.104318899999999</v>
      </c>
      <c r="AV87" s="650">
        <f t="shared" si="13"/>
        <v>15.30737759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332" priority="15" operator="lessThan">
      <formula>0</formula>
    </cfRule>
  </conditionalFormatting>
  <conditionalFormatting sqref="O41">
    <cfRule type="cellIs" dxfId="331" priority="14" operator="lessThan">
      <formula>0</formula>
    </cfRule>
  </conditionalFormatting>
  <conditionalFormatting sqref="AX18:AX22">
    <cfRule type="cellIs" dxfId="330" priority="13" operator="lessThan">
      <formula>0</formula>
    </cfRule>
  </conditionalFormatting>
  <conditionalFormatting sqref="BN21:BN22">
    <cfRule type="cellIs" dxfId="329" priority="12" operator="lessThan">
      <formula>0</formula>
    </cfRule>
  </conditionalFormatting>
  <conditionalFormatting sqref="BB43:BB46">
    <cfRule type="cellIs" dxfId="328" priority="11" operator="greaterThan">
      <formula>0</formula>
    </cfRule>
  </conditionalFormatting>
  <conditionalFormatting sqref="AX18:AX20">
    <cfRule type="cellIs" dxfId="327" priority="10" operator="lessThan">
      <formula>0</formula>
    </cfRule>
  </conditionalFormatting>
  <conditionalFormatting sqref="BN18:BN20">
    <cfRule type="cellIs" dxfId="326" priority="9" operator="greaterThan">
      <formula>0</formula>
    </cfRule>
  </conditionalFormatting>
  <conditionalFormatting sqref="P18:P20">
    <cfRule type="cellIs" dxfId="325" priority="8" operator="lessThan">
      <formula>0</formula>
    </cfRule>
  </conditionalFormatting>
  <conditionalFormatting sqref="P67:P68">
    <cfRule type="cellIs" dxfId="324" priority="7" operator="lessThan">
      <formula>0</formula>
    </cfRule>
  </conditionalFormatting>
  <conditionalFormatting sqref="P64:P66">
    <cfRule type="cellIs" dxfId="323" priority="6" operator="lessThan">
      <formula>0</formula>
    </cfRule>
  </conditionalFormatting>
  <conditionalFormatting sqref="AH67:AH68">
    <cfRule type="cellIs" dxfId="322" priority="5" operator="lessThan">
      <formula>0</formula>
    </cfRule>
  </conditionalFormatting>
  <conditionalFormatting sqref="AH64:AH66">
    <cfRule type="cellIs" dxfId="321" priority="4" operator="greaterThan">
      <formula>0</formula>
    </cfRule>
  </conditionalFormatting>
  <conditionalFormatting sqref="AX67:AX68">
    <cfRule type="cellIs" dxfId="320" priority="3" operator="lessThan">
      <formula>0</formula>
    </cfRule>
  </conditionalFormatting>
  <conditionalFormatting sqref="AX64:AX66">
    <cfRule type="cellIs" dxfId="319" priority="2" operator="lessThan">
      <formula>0</formula>
    </cfRule>
  </conditionalFormatting>
  <conditionalFormatting sqref="S24:AH24 S21:T23 V21:AH23">
    <cfRule type="cellIs" dxfId="318" priority="1" operator="lessThan">
      <formula>0</formula>
    </cfRule>
  </conditionalFormatting>
  <pageMargins left="0.39370078740157483" right="0.19685039370078741" top="0.74803149606299213" bottom="0.31" header="0.31496062992125984" footer="0.31496062992125984"/>
  <pageSetup paperSize="9" scale="80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25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1030</v>
      </c>
      <c r="B3" s="807" t="str">
        <f>+VLOOKUP($A3,data!$A$4:$AH$32,2,0)</f>
        <v>จอมทอง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2986</v>
      </c>
      <c r="C9" s="180">
        <f>+VLOOKUP($A$3,data!$A$4:$AH$32,8,0)/10^6</f>
        <v>0.54915899999999995</v>
      </c>
      <c r="D9" s="181">
        <f>+VLOOKUP($A$3,data!$A$4:$AH$32,9,0)</f>
        <v>0.50992889526502361</v>
      </c>
      <c r="E9" s="180">
        <f>+VLOOKUP($A$3,data!$A$4:$AH$32,10,0)/10^6</f>
        <v>7.808400970000001</v>
      </c>
      <c r="F9" s="182">
        <f>+E9/C9</f>
        <v>14.218834563396031</v>
      </c>
      <c r="G9" s="179">
        <f>+VLOOKUP($A$3,data!$A$4:$AH$32,23,0)</f>
        <v>3099</v>
      </c>
      <c r="H9" s="180">
        <f>+VLOOKUP($A$3,data!$A$4:$AH$32,24,0)/10^6</f>
        <v>0.53949199999999997</v>
      </c>
      <c r="I9" s="181">
        <f>+VLOOKUP($A$3,data!$A$4:$AH$32,25,0)</f>
        <v>0.48580452718902306</v>
      </c>
      <c r="J9" s="180">
        <f>+VLOOKUP($A$3,data!$A$4:$AH$32,26,0)/10^6</f>
        <v>7.5358030599999992</v>
      </c>
      <c r="K9" s="182">
        <f>+J9/H9</f>
        <v>13.968331430308512</v>
      </c>
    </row>
    <row r="10" spans="1:12" ht="26.25" x14ac:dyDescent="0.4">
      <c r="A10" s="187" t="s">
        <v>4</v>
      </c>
      <c r="B10" s="189">
        <f>+B9/B20</f>
        <v>0.7697860273266306</v>
      </c>
      <c r="C10" s="190"/>
      <c r="D10" s="190"/>
      <c r="E10" s="190"/>
      <c r="F10" s="191"/>
      <c r="G10" s="189">
        <f>+G9/G20</f>
        <v>0.76424167694204681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707</v>
      </c>
      <c r="C13" s="180">
        <f>+VLOOKUP($A$3,data!$A$4:$AH$32,12,0)/10^6</f>
        <v>0.21740100000000001</v>
      </c>
      <c r="D13" s="181">
        <f>+VLOOKUP($A$3,data!$A$4:$AH$32,13,0)</f>
        <v>0.90519631927384769</v>
      </c>
      <c r="E13" s="180">
        <f>+VLOOKUP($A$3,data!$A$4:$AH$32,14,0)/10^6</f>
        <v>4.6245196500000008</v>
      </c>
      <c r="F13" s="182">
        <f>+E13/C13</f>
        <v>21.271841665861704</v>
      </c>
      <c r="G13" s="179">
        <f>+VLOOKUP($A$3,data!$A$4:$AH$32,27,0)</f>
        <v>758</v>
      </c>
      <c r="H13" s="180">
        <f>+VLOOKUP($A$3,data!$A$4:$AH$32,28,0)/10^6</f>
        <v>0.22594400000000001</v>
      </c>
      <c r="I13" s="181">
        <f>+VLOOKUP($A$3,data!$A$4:$AH$32,29,0)</f>
        <v>0.84508485670204314</v>
      </c>
      <c r="J13" s="180">
        <f>+VLOOKUP($A$3,data!$A$4:$AH$32,30,0)/10^6</f>
        <v>4.7703742600000005</v>
      </c>
      <c r="K13" s="182">
        <f>+J13/H13</f>
        <v>21.113082268172647</v>
      </c>
    </row>
    <row r="14" spans="1:12" ht="26.25" x14ac:dyDescent="0.4">
      <c r="A14" s="187" t="s">
        <v>29</v>
      </c>
      <c r="B14" s="189">
        <f>+B13/B20</f>
        <v>0.18226346996648621</v>
      </c>
      <c r="C14" s="190"/>
      <c r="D14" s="190"/>
      <c r="E14" s="190"/>
      <c r="F14" s="191"/>
      <c r="G14" s="189">
        <f>+G13/G20</f>
        <v>0.18692971639950678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186</v>
      </c>
      <c r="C17" s="180">
        <f>+VLOOKUP($A$3,data!$A$4:$AH$32,16,0)/10^6</f>
        <v>6.9099999999999995E-2</v>
      </c>
      <c r="D17" s="181">
        <f>+VLOOKUP($A$3,data!$A$4:$AH$32,17,0)</f>
        <v>1.0488369445603916</v>
      </c>
      <c r="E17" s="180">
        <f>+VLOOKUP($A$3,data!$A$4:$AH$32,18,0)/10^6</f>
        <v>1.78524175</v>
      </c>
      <c r="F17" s="182">
        <f>+E17/C17</f>
        <v>25.835625904486253</v>
      </c>
      <c r="G17" s="179">
        <f>+VLOOKUP($A$3,data!$A$4:$AH$32,31,0)</f>
        <v>198</v>
      </c>
      <c r="H17" s="180">
        <f>+VLOOKUP($A$3,data!$A$4:$AH$32,32,0)/10^6</f>
        <v>8.3317000000000002E-2</v>
      </c>
      <c r="I17" s="181">
        <f>+VLOOKUP($A$3,data!$A$4:$AH$32,33,0)</f>
        <v>1.1888841324200912</v>
      </c>
      <c r="J17" s="180">
        <f>+VLOOKUP($A$3,data!$A$4:$AH$32,34,0)/10^6</f>
        <v>2.1661429999999999</v>
      </c>
      <c r="K17" s="182">
        <f>+J17/H17</f>
        <v>25.99881176710635</v>
      </c>
    </row>
    <row r="18" spans="1:11" ht="26.25" x14ac:dyDescent="0.4">
      <c r="A18" s="187" t="s">
        <v>30</v>
      </c>
      <c r="B18" s="189">
        <f>+B17/B20</f>
        <v>4.7950502706883218E-2</v>
      </c>
      <c r="C18" s="190"/>
      <c r="D18" s="190"/>
      <c r="E18" s="190"/>
      <c r="F18" s="191"/>
      <c r="G18" s="189">
        <f>+G17/G20</f>
        <v>4.8828606658446363E-2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3879</v>
      </c>
      <c r="C20" s="180">
        <f>+VLOOKUP($A$3,data!$A$4:$AH$32,4,0)/10^6</f>
        <v>0.83565999999999996</v>
      </c>
      <c r="D20" s="181">
        <f>+VLOOKUP($A$3,data!$A$4:$AH$32,5,0)</f>
        <v>0.60424371920158215</v>
      </c>
      <c r="E20" s="180">
        <f>+VLOOKUP($A$3,data!$A$4:$AH$32,6,0)/10^6</f>
        <v>14.218162370000002</v>
      </c>
      <c r="F20" s="182">
        <f>+E20/C20</f>
        <v>17.014290943685232</v>
      </c>
      <c r="G20" s="179">
        <f>+VLOOKUP($A$3,data!$A$4:$AH$32,19,0)</f>
        <v>4055</v>
      </c>
      <c r="H20" s="180">
        <f>+VLOOKUP($A$3,data!$A$4:$AH$32,20,0)/10^6</f>
        <v>0.84875299999999998</v>
      </c>
      <c r="I20" s="181">
        <f>+VLOOKUP($A$3,data!$A$4:$AH$32,21,0)</f>
        <v>0.58617360346143355</v>
      </c>
      <c r="J20" s="180">
        <f>+VLOOKUP($A$3,data!$A$4:$AH$32,22,0)/10^6</f>
        <v>14.472320319999998</v>
      </c>
      <c r="K20" s="182">
        <f>+J20/H20</f>
        <v>17.051274422594087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จอมทอง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="55" zoomScaleNormal="100" zoomScalePageLayoutView="55" workbookViewId="0">
      <selection activeCell="AW65" sqref="AW65:AW66"/>
    </sheetView>
  </sheetViews>
  <sheetFormatPr defaultRowHeight="21" x14ac:dyDescent="0.35"/>
  <cols>
    <col min="1" max="1" width="14.125" style="158" bestFit="1" customWidth="1"/>
    <col min="2" max="2" width="7.125" style="158" bestFit="1" customWidth="1"/>
    <col min="3" max="3" width="6.125" style="158" bestFit="1" customWidth="1"/>
    <col min="4" max="5" width="6.375" style="158" bestFit="1" customWidth="1"/>
    <col min="6" max="6" width="6.125" style="158" bestFit="1" customWidth="1"/>
    <col min="7" max="7" width="6.75" style="158" bestFit="1" customWidth="1"/>
    <col min="8" max="8" width="6.375" style="158" bestFit="1" customWidth="1"/>
    <col min="9" max="9" width="6.75" style="158" bestFit="1" customWidth="1"/>
    <col min="10" max="14" width="7.3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4.625" style="299" customWidth="1"/>
    <col min="19" max="19" width="10.75" style="158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40" width="7.125" style="158" customWidth="1"/>
    <col min="41" max="46" width="7.125" customWidth="1"/>
    <col min="47" max="47" width="7.625" bestFit="1" customWidth="1"/>
    <col min="48" max="48" width="7.875" bestFit="1" customWidth="1"/>
    <col min="49" max="49" width="8.75" bestFit="1" customWidth="1"/>
    <col min="50" max="50" width="7.375" bestFit="1" customWidth="1"/>
    <col min="51" max="51" width="8.375" customWidth="1"/>
    <col min="52" max="64" width="6.875" bestFit="1" customWidth="1"/>
    <col min="65" max="65" width="7.125" bestFit="1" customWidth="1"/>
    <col min="66" max="66" width="7.375" bestFit="1" customWidth="1"/>
    <col min="67" max="67" width="6.75" bestFit="1" customWidth="1"/>
  </cols>
  <sheetData>
    <row r="1" spans="1:66" ht="27" thickBot="1" x14ac:dyDescent="0.25">
      <c r="A1" s="248">
        <v>1030</v>
      </c>
      <c r="B1" s="817" t="str">
        <f>+VLOOKUP($A$1,data!$A$4:$AH$32,2,0)</f>
        <v>จอมทอง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1030</v>
      </c>
      <c r="T1" s="817" t="str">
        <f>+VLOOKUP($A$1,data!$A$4:$AH$32,2,0)</f>
        <v>จอมทอง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1030</v>
      </c>
      <c r="AJ1" s="817" t="str">
        <f>+VLOOKUP($A$1,data!$A$4:$AH$32,2,0)</f>
        <v>จอมทอง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1030</v>
      </c>
      <c r="AZ1" s="817" t="str">
        <f>+VLOOKUP($A$1,data!$A$4:$AH$32,2,0)</f>
        <v>จอมทอง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4</v>
      </c>
      <c r="C18" s="406">
        <f>+VLOOKUP($A$1,data!$A$37:$AU$67,36)</f>
        <v>11</v>
      </c>
      <c r="D18" s="406">
        <f>+VLOOKUP($A$1,data!$A$37:$AU$67,37)</f>
        <v>9</v>
      </c>
      <c r="E18" s="406">
        <f>+VLOOKUP($A$1,data!$A$37:$AU$67,38)</f>
        <v>18</v>
      </c>
      <c r="F18" s="406">
        <f>+VLOOKUP($A$1,data!$A$37:$AU$67,39)</f>
        <v>13</v>
      </c>
      <c r="G18" s="406">
        <f>+VLOOKUP($A$1,data!$A$37:$AU$67,40)</f>
        <v>22</v>
      </c>
      <c r="H18" s="406">
        <f>+VLOOKUP($A$1,data!$A$37:$AU$67,41)</f>
        <v>21</v>
      </c>
      <c r="I18" s="406">
        <f>+VLOOKUP($A$1,data!$A$37:$AU$67,42)</f>
        <v>29</v>
      </c>
      <c r="J18" s="406">
        <f>+VLOOKUP($A$1,data!$A$37:$AU$67,43)</f>
        <v>47</v>
      </c>
      <c r="K18" s="406">
        <f>+VLOOKUP($A$1,data!$A$37:$AU$67,44)</f>
        <v>7</v>
      </c>
      <c r="L18" s="406">
        <f>+VLOOKUP($A$1,data!$A$37:$AU$67,45)</f>
        <v>3</v>
      </c>
      <c r="M18" s="406">
        <f>+VLOOKUP($A$1,data!$A$37:$AU$67,46)</f>
        <v>27</v>
      </c>
      <c r="N18" s="406">
        <f>SUM(B18:M18)</f>
        <v>211</v>
      </c>
      <c r="O18" s="406">
        <f>SUM(B18:M18)</f>
        <v>211</v>
      </c>
      <c r="P18" s="407">
        <f>+O20-O18</f>
        <v>-33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6.4283000000000007E-2</v>
      </c>
      <c r="AK18" s="418">
        <f>+VLOOKUP($A$1,data!$A$69:$AU$99,36)</f>
        <v>6.5339999999999995E-2</v>
      </c>
      <c r="AL18" s="418">
        <f>+VLOOKUP($A$1,data!$A$69:$AU$99,37)</f>
        <v>6.4062999999999995E-2</v>
      </c>
      <c r="AM18" s="418">
        <f>+VLOOKUP($A$1,data!$A$69:$AU$99,38)</f>
        <v>6.9395999999999999E-2</v>
      </c>
      <c r="AN18" s="418">
        <f>+VLOOKUP($A$1,data!$A$69:$AU$99,39)</f>
        <v>6.5980999999999998E-2</v>
      </c>
      <c r="AO18" s="418">
        <f>+VLOOKUP($A$1,data!$A$69:$AU$99,40)</f>
        <v>6.4479999999999996E-2</v>
      </c>
      <c r="AP18" s="418">
        <f>+VLOOKUP($A$1,data!$A$69:$AU$99,41)</f>
        <v>8.0378000000000005E-2</v>
      </c>
      <c r="AQ18" s="418">
        <f>+VLOOKUP($A$1,data!$A$69:$AU$99,42)</f>
        <v>8.7321999999999997E-2</v>
      </c>
      <c r="AR18" s="418">
        <f>+VLOOKUP($A$1,data!$A$69:$AU$99,43)</f>
        <v>7.8157000000000004E-2</v>
      </c>
      <c r="AS18" s="418">
        <f>+VLOOKUP($A$1,data!$A$69:$AU$99,44)</f>
        <v>6.5587999999999994E-2</v>
      </c>
      <c r="AT18" s="418">
        <f>+VLOOKUP($A$1,data!$A$69:$AU$99,45)</f>
        <v>6.5489000000000006E-2</v>
      </c>
      <c r="AU18" s="418">
        <f>+VLOOKUP($A$1,data!$A$69:$AU$99,46)</f>
        <v>6.7281999999999995E-2</v>
      </c>
      <c r="AV18" s="418">
        <f>SUM(AJ18:AU18)</f>
        <v>0.83775899999999992</v>
      </c>
      <c r="AW18" s="418">
        <f>SUM(AJ18:AU18)</f>
        <v>0.83775899999999992</v>
      </c>
      <c r="AX18" s="419">
        <f>+AW20-AW18</f>
        <v>1.1977000000000126E-2</v>
      </c>
      <c r="AY18" s="308" t="s">
        <v>92</v>
      </c>
      <c r="AZ18" s="309">
        <f>+VLOOKUP($A$1,data!$A$101:$AU$131,35)</f>
        <v>1.2455000000000001E-2</v>
      </c>
      <c r="BA18" s="309">
        <f>+VLOOKUP($A$1,data!$A$101:$AU$131,36)</f>
        <v>1.4274999999999999E-2</v>
      </c>
      <c r="BB18" s="309">
        <f>+VLOOKUP($A$1,data!$A$101:$AU$131,37)</f>
        <v>1.3733E-2</v>
      </c>
      <c r="BC18" s="309">
        <f>+VLOOKUP($A$1,data!$A$101:$AU$131,38)</f>
        <v>1.4133E-2</v>
      </c>
      <c r="BD18" s="309">
        <f>+VLOOKUP($A$1,data!$A$101:$AU$131,39)</f>
        <v>1.3589E-2</v>
      </c>
      <c r="BE18" s="309">
        <f>+VLOOKUP($A$1,data!$A$101:$AU$131,40)</f>
        <v>1.1735000000000001E-2</v>
      </c>
      <c r="BF18" s="309">
        <f>+VLOOKUP($A$1,data!$A$101:$AU$131,41)</f>
        <v>1.1769E-2</v>
      </c>
      <c r="BG18" s="309">
        <f>+VLOOKUP($A$1,data!$A$101:$AU$131,42)</f>
        <v>1.0805E-2</v>
      </c>
      <c r="BH18" s="309">
        <f>+VLOOKUP($A$1,data!$A$101:$AU$131,43)</f>
        <v>9.7380000000000001E-3</v>
      </c>
      <c r="BI18" s="309">
        <f>+VLOOKUP($A$1,data!$A$101:$AU$131,44)</f>
        <v>1.3102000000000001E-2</v>
      </c>
      <c r="BJ18" s="309">
        <f>+VLOOKUP($A$1,data!$A$101:$AU$131,45)</f>
        <v>1.6303000000000002E-2</v>
      </c>
      <c r="BK18" s="309">
        <f>+VLOOKUP($A$1,data!$A$101:$AU$131,46)</f>
        <v>1.3200999999999999E-2</v>
      </c>
      <c r="BL18" s="309">
        <f>SUM(AZ18:BK18)</f>
        <v>0.15483799999999998</v>
      </c>
      <c r="BM18" s="309">
        <f>SUM(AZ18:BK18)</f>
        <v>0.15483799999999998</v>
      </c>
      <c r="BN18" s="310">
        <f>+BM20-BM18</f>
        <v>3.4405000000000019E-2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20.237154150197625</v>
      </c>
      <c r="C19" s="409">
        <f>+VLOOKUP($A$1,data!$A$37:$AU$67,20)</f>
        <v>28.458498023715411</v>
      </c>
      <c r="D19" s="409">
        <f>+VLOOKUP($A$1,data!$A$37:$AU$67,21)</f>
        <v>13.280632411067192</v>
      </c>
      <c r="E19" s="409">
        <f>+VLOOKUP($A$1,data!$A$37:$AU$67,22)</f>
        <v>25.928853754940707</v>
      </c>
      <c r="F19" s="409">
        <f>+VLOOKUP($A$1,data!$A$37:$AU$67,23)</f>
        <v>20.237154150197625</v>
      </c>
      <c r="G19" s="409">
        <f>+VLOOKUP($A$1,data!$A$37:$AU$67,24)</f>
        <v>30.355731225296442</v>
      </c>
      <c r="H19" s="409">
        <f>+VLOOKUP($A$1,data!$A$37:$AU$67,25)</f>
        <v>30.988142292490114</v>
      </c>
      <c r="I19" s="409">
        <f>+VLOOKUP($A$1,data!$A$37:$AU$67,26)</f>
        <v>35.415019762845851</v>
      </c>
      <c r="J19" s="409">
        <f>+VLOOKUP($A$1,data!$A$37:$AU$67,27)</f>
        <v>45.533596837944657</v>
      </c>
      <c r="K19" s="409">
        <f>+VLOOKUP($A$1,data!$A$37:$AU$67,28)</f>
        <v>17.07509881422925</v>
      </c>
      <c r="L19" s="409">
        <f>+VLOOKUP($A$1,data!$A$37:$AU$67,29)</f>
        <v>17.707509881422926</v>
      </c>
      <c r="M19" s="409">
        <f>+VLOOKUP($A$1,data!$A$37:$AU$67,30)</f>
        <v>34.782608695652172</v>
      </c>
      <c r="N19" s="409">
        <f>SUM(B19:M19)</f>
        <v>320</v>
      </c>
      <c r="O19" s="630">
        <f t="shared" ref="O19:O20" si="0">SUM(B19:M19)</f>
        <v>320</v>
      </c>
      <c r="P19" s="412">
        <f>+O20-O19</f>
        <v>-142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6.2441000000000003E-2</v>
      </c>
      <c r="AK19" s="423">
        <f>+VLOOKUP($A$1,data!$A$69:$AU$99,20)</f>
        <v>6.3703999999999997E-2</v>
      </c>
      <c r="AL19" s="423">
        <f>+VLOOKUP($A$1,data!$A$69:$AU$99,21)</f>
        <v>6.2151999999999999E-2</v>
      </c>
      <c r="AM19" s="423">
        <f>+VLOOKUP($A$1,data!$A$69:$AU$99,22)</f>
        <v>6.7542000000000005E-2</v>
      </c>
      <c r="AN19" s="423">
        <f>+VLOOKUP($A$1,data!$A$69:$AU$99,23)</f>
        <v>6.2392999999999997E-2</v>
      </c>
      <c r="AO19" s="423">
        <f>+VLOOKUP($A$1,data!$A$69:$AU$99,24)</f>
        <v>6.241E-2</v>
      </c>
      <c r="AP19" s="423">
        <f>+VLOOKUP($A$1,data!$A$69:$AU$99,25)</f>
        <v>7.5242000000000003E-2</v>
      </c>
      <c r="AQ19" s="423">
        <f>+VLOOKUP($A$1,data!$A$69:$AU$99,26)</f>
        <v>7.6490000000000002E-2</v>
      </c>
      <c r="AR19" s="423">
        <f>+VLOOKUP($A$1,data!$A$69:$AU$99,27)</f>
        <v>7.4658000000000002E-2</v>
      </c>
      <c r="AS19" s="423">
        <f>+VLOOKUP($A$1,data!$A$69:$AU$99,28)</f>
        <v>6.6804000000000002E-2</v>
      </c>
      <c r="AT19" s="423">
        <f>+VLOOKUP($A$1,data!$A$69:$AU$99,29)</f>
        <v>6.7066000000000001E-2</v>
      </c>
      <c r="AU19" s="423">
        <f>+VLOOKUP($A$1,data!$A$69:$AU$99,30)</f>
        <v>6.8307000000000007E-2</v>
      </c>
      <c r="AV19" s="423">
        <f>SUM(AJ19:AU19)</f>
        <v>0.80920899999999985</v>
      </c>
      <c r="AW19" s="424">
        <f t="shared" ref="AW19:AW20" si="1">SUM(AJ19:AU19)</f>
        <v>0.80920899999999985</v>
      </c>
      <c r="AX19" s="425">
        <f>+AW20-AW19</f>
        <v>4.0527000000000202E-2</v>
      </c>
      <c r="AY19" s="311" t="s">
        <v>94</v>
      </c>
      <c r="AZ19" s="312">
        <f>+VLOOKUP($A$1,data!$A$101:$AU$131,19)</f>
        <v>1.7972999999999999E-2</v>
      </c>
      <c r="BA19" s="312">
        <f>+VLOOKUP($A$1,data!$A$101:$AU$131,20)</f>
        <v>1.7805000000000001E-2</v>
      </c>
      <c r="BB19" s="312">
        <f>+VLOOKUP($A$1,data!$A$101:$AU$131,21)</f>
        <v>1.7070999999999999E-2</v>
      </c>
      <c r="BC19" s="312">
        <f>+VLOOKUP($A$1,data!$A$101:$AU$131,22)</f>
        <v>1.7172E-2</v>
      </c>
      <c r="BD19" s="312">
        <f>+VLOOKUP($A$1,data!$A$101:$AU$131,23)</f>
        <v>1.5532000000000001E-2</v>
      </c>
      <c r="BE19" s="312">
        <f>+VLOOKUP($A$1,data!$A$101:$AU$131,24)</f>
        <v>1.5398E-2</v>
      </c>
      <c r="BF19" s="312">
        <f>+VLOOKUP($A$1,data!$A$101:$AU$131,25)</f>
        <v>1.8134000000000001E-2</v>
      </c>
      <c r="BG19" s="312">
        <f>+VLOOKUP($A$1,data!$A$101:$AU$131,26)</f>
        <v>1.7179E-2</v>
      </c>
      <c r="BH19" s="312">
        <f>+VLOOKUP($A$1,data!$A$101:$AU$131,27)</f>
        <v>1.6664000000000002E-2</v>
      </c>
      <c r="BI19" s="312">
        <f>+VLOOKUP($A$1,data!$A$101:$AU$131,28)</f>
        <v>1.77E-2</v>
      </c>
      <c r="BJ19" s="312">
        <f>+VLOOKUP($A$1,data!$A$101:$AU$131,29)</f>
        <v>1.6570999999999999E-2</v>
      </c>
      <c r="BK19" s="312">
        <f>+VLOOKUP($A$1,data!$A$101:$AU$131,30)</f>
        <v>1.5103E-2</v>
      </c>
      <c r="BL19" s="312">
        <f>SUM(AZ19:BK19)</f>
        <v>0.20230200000000001</v>
      </c>
      <c r="BM19" s="313">
        <f t="shared" ref="BM19:BM20" si="2">SUM(AZ19:BK19)</f>
        <v>0.20230200000000001</v>
      </c>
      <c r="BN19" s="314">
        <f>+BM20-BM19</f>
        <v>-1.3059000000000015E-2</v>
      </c>
    </row>
    <row r="20" spans="1:66" s="247" customFormat="1" ht="19.5" thickBot="1" x14ac:dyDescent="0.35">
      <c r="A20" s="413" t="s">
        <v>93</v>
      </c>
      <c r="B20" s="414">
        <f>+VLOOKUP($A$1,data!$A$37:$AU$67,3)</f>
        <v>27</v>
      </c>
      <c r="C20" s="414">
        <f>+VLOOKUP($A$1,data!$A$37:$AU$67,4)</f>
        <v>21</v>
      </c>
      <c r="D20" s="414">
        <f>+VLOOKUP($A$1,data!$A$37:$AU$67,5)</f>
        <v>10</v>
      </c>
      <c r="E20" s="414">
        <f>+VLOOKUP($A$1,data!$A$37:$AU$67,6)</f>
        <v>7</v>
      </c>
      <c r="F20" s="414">
        <f>+VLOOKUP($A$1,data!$A$37:$AU$67,7)</f>
        <v>6</v>
      </c>
      <c r="G20" s="414">
        <f>+VLOOKUP($A$1,data!$A$37:$AU$67,8)</f>
        <v>38</v>
      </c>
      <c r="H20" s="414">
        <f>+VLOOKUP($A$1,data!$A$37:$AU$67,9)</f>
        <v>14</v>
      </c>
      <c r="I20" s="414">
        <f>+VLOOKUP($A$1,data!$A$37:$AU$67,10)</f>
        <v>15</v>
      </c>
      <c r="J20" s="414">
        <f>+VLOOKUP($A$1,data!$A$37:$AU$67,11)</f>
        <v>4</v>
      </c>
      <c r="K20" s="414">
        <f>+VLOOKUP($A$1,data!$A$37:$AU$67,12)</f>
        <v>12</v>
      </c>
      <c r="L20" s="414">
        <f>+VLOOKUP($A$1,data!$A$37:$AU$67,13)</f>
        <v>13</v>
      </c>
      <c r="M20" s="414">
        <f>+VLOOKUP($A$1,data!$A$37:$AU$67,14)</f>
        <v>11</v>
      </c>
      <c r="N20" s="414">
        <f>SUM(B20:M20)</f>
        <v>178</v>
      </c>
      <c r="O20" s="631">
        <f t="shared" si="0"/>
        <v>178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6.4383999999999997E-2</v>
      </c>
      <c r="AK20" s="420">
        <f>+VLOOKUP($A$1,data!$A$69:$AU$99,4)</f>
        <v>6.7426E-2</v>
      </c>
      <c r="AL20" s="420">
        <f>+VLOOKUP($A$1,data!$A$69:$AU$99,5)</f>
        <v>6.7151000000000002E-2</v>
      </c>
      <c r="AM20" s="420">
        <f>+VLOOKUP($A$1,data!$A$69:$AU$99,6)</f>
        <v>7.0967000000000002E-2</v>
      </c>
      <c r="AN20" s="420">
        <f>+VLOOKUP($A$1,data!$A$69:$AU$99,7)</f>
        <v>7.1304000000000006E-2</v>
      </c>
      <c r="AO20" s="420">
        <f>+VLOOKUP($A$1,data!$A$69:$AU$99,8)</f>
        <v>6.9415000000000004E-2</v>
      </c>
      <c r="AP20" s="420">
        <f>+VLOOKUP($A$1,data!$A$69:$AU$99,9)</f>
        <v>8.0902000000000002E-2</v>
      </c>
      <c r="AQ20" s="420">
        <f>+VLOOKUP($A$1,data!$A$69:$AU$99,10)</f>
        <v>7.4695999999999999E-2</v>
      </c>
      <c r="AR20" s="420">
        <f>+VLOOKUP($A$1,data!$A$69:$AU$99,11)</f>
        <v>7.2498000000000007E-2</v>
      </c>
      <c r="AS20" s="420">
        <f>+VLOOKUP($A$1,data!$A$69:$AU$99,12)</f>
        <v>7.0806999999999995E-2</v>
      </c>
      <c r="AT20" s="420">
        <f>+VLOOKUP($A$1,data!$A$69:$AU$99,13)</f>
        <v>6.9972000000000006E-2</v>
      </c>
      <c r="AU20" s="420">
        <f>+VLOOKUP($A$1,data!$A$69:$AU$99,14)</f>
        <v>7.0213999999999999E-2</v>
      </c>
      <c r="AV20" s="420">
        <f>SUM(AJ20:AU20)</f>
        <v>0.84973600000000005</v>
      </c>
      <c r="AW20" s="421">
        <f t="shared" si="1"/>
        <v>0.84973600000000005</v>
      </c>
      <c r="AX20" s="422"/>
      <c r="AY20" s="315" t="s">
        <v>93</v>
      </c>
      <c r="AZ20" s="316">
        <f>+VLOOKUP($A$1,data!$A$101:$AU$131,3)</f>
        <v>1.5622E-2</v>
      </c>
      <c r="BA20" s="316">
        <f>+VLOOKUP($A$1,data!$A$101:$AU$131,4)</f>
        <v>1.5251000000000001E-2</v>
      </c>
      <c r="BB20" s="316">
        <f>+VLOOKUP($A$1,data!$A$101:$AU$131,5)</f>
        <v>1.9681000000000001E-2</v>
      </c>
      <c r="BC20" s="316">
        <f>+VLOOKUP($A$1,data!$A$101:$AU$131,6)</f>
        <v>1.6815E-2</v>
      </c>
      <c r="BD20" s="316">
        <f>+VLOOKUP($A$1,data!$A$101:$AU$131,7)</f>
        <v>1.7094999999999999E-2</v>
      </c>
      <c r="BE20" s="316">
        <f>+VLOOKUP($A$1,data!$A$101:$AU$131,8)</f>
        <v>1.8866999999999998E-2</v>
      </c>
      <c r="BF20" s="316">
        <f>+VLOOKUP($A$1,data!$A$101:$AU$131,9)</f>
        <v>1.6955999999999999E-2</v>
      </c>
      <c r="BG20" s="316">
        <f>+VLOOKUP($A$1,data!$A$101:$AU$131,10)</f>
        <v>1.3638000000000001E-2</v>
      </c>
      <c r="BH20" s="316">
        <f>+VLOOKUP($A$1,data!$A$101:$AU$131,11)</f>
        <v>1.3107000000000001E-2</v>
      </c>
      <c r="BI20" s="316">
        <f>+VLOOKUP($A$1,data!$A$101:$AU$131,12)</f>
        <v>1.3634E-2</v>
      </c>
      <c r="BJ20" s="316">
        <f>+VLOOKUP($A$1,data!$A$101:$AU$131,13)</f>
        <v>1.5202E-2</v>
      </c>
      <c r="BK20" s="316">
        <f>+VLOOKUP($A$1,data!$A$101:$AU$131,14)</f>
        <v>1.3375E-2</v>
      </c>
      <c r="BL20" s="316">
        <f>SUM(AZ20:BK20)</f>
        <v>0.18924299999999999</v>
      </c>
      <c r="BM20" s="317">
        <f t="shared" si="2"/>
        <v>0.18924299999999999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53.97628458498022</v>
      </c>
      <c r="W21" s="671">
        <f>+VLOOKUP($A$1,data!$A$261:$AK$291,16)</f>
        <v>56</v>
      </c>
      <c r="X21" s="671">
        <f>+VLOOKUP($A$1,data!$A$261:$AK$291,36)</f>
        <v>122.49802371541499</v>
      </c>
      <c r="Y21" s="671">
        <f>+VLOOKUP($A$1,data!$A$261:$AK$291,17)</f>
        <v>94</v>
      </c>
      <c r="Z21" s="671">
        <f>+VLOOKUP($A$1,data!$A$261:$AK$291,37)</f>
        <v>221.4347826086956</v>
      </c>
      <c r="AA21" s="671">
        <f>+VLOOKUP($A$1,data!$A$261:$AK$291,18)</f>
        <v>124</v>
      </c>
      <c r="AB21" s="671">
        <f>+VLOOKUP($A$1,data!$A$261:$AK$291,34)</f>
        <v>267.99999999999994</v>
      </c>
      <c r="AC21" s="671">
        <f>+VLOOKUP($A$1,data!$A$261:$AK$291,15)</f>
        <v>156</v>
      </c>
      <c r="AD21" s="671">
        <f>+AA21-Z21</f>
        <v>-97.434782608695599</v>
      </c>
      <c r="AE21" s="684">
        <f>+AC21-AB21</f>
        <v>-111.99999999999994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8</v>
      </c>
      <c r="W22" s="672">
        <f>+VLOOKUP($A$1,data!$A$229:$AK$259,16)</f>
        <v>2</v>
      </c>
      <c r="X22" s="672">
        <f>+VLOOKUP($A$1,data!$A$229:$AK$259,36)</f>
        <v>16</v>
      </c>
      <c r="Y22" s="672">
        <f>+VLOOKUP($A$1,data!$A$229:$AK$259,17)</f>
        <v>15</v>
      </c>
      <c r="Z22" s="672">
        <f>+VLOOKUP($A$1,data!$A$229:$AK$259,37)</f>
        <v>29</v>
      </c>
      <c r="AA22" s="672">
        <f>+VLOOKUP($A$1,data!$A$229:$AK$259,18)</f>
        <v>18</v>
      </c>
      <c r="AB22" s="672">
        <f>+VLOOKUP($A$1,data!$A$229:$AK$259,34)</f>
        <v>52</v>
      </c>
      <c r="AC22" s="765">
        <f>+VLOOKUP($A$1,data!$A$229:$AK$259,15)</f>
        <v>22</v>
      </c>
      <c r="AD22" s="671">
        <f>+AA22-Z22</f>
        <v>-11</v>
      </c>
      <c r="AE22" s="685">
        <f>+AC22-AB22</f>
        <v>-30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61.97628458498022</v>
      </c>
      <c r="W23" s="689">
        <f t="shared" ref="W23:AC23" si="3">SUM(W21:W22)</f>
        <v>58</v>
      </c>
      <c r="X23" s="689">
        <f t="shared" si="3"/>
        <v>138.498023715415</v>
      </c>
      <c r="Y23" s="689">
        <f t="shared" si="3"/>
        <v>109</v>
      </c>
      <c r="Z23" s="689">
        <f t="shared" si="3"/>
        <v>250.4347826086956</v>
      </c>
      <c r="AA23" s="689">
        <f t="shared" si="3"/>
        <v>142</v>
      </c>
      <c r="AB23" s="689">
        <f t="shared" si="3"/>
        <v>319.99999999999994</v>
      </c>
      <c r="AC23" s="764">
        <f t="shared" si="3"/>
        <v>178</v>
      </c>
      <c r="AD23" s="689">
        <f>+AA23-Z23</f>
        <v>-108.4347826086956</v>
      </c>
      <c r="AE23" s="686">
        <f>+AC23-AB23</f>
        <v>-141.99999999999994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4</v>
      </c>
      <c r="D39" s="406">
        <f t="shared" ref="D39:N41" si="4">+C39+C18</f>
        <v>15</v>
      </c>
      <c r="E39" s="406">
        <f t="shared" si="4"/>
        <v>24</v>
      </c>
      <c r="F39" s="406">
        <f t="shared" si="4"/>
        <v>42</v>
      </c>
      <c r="G39" s="406">
        <f t="shared" si="4"/>
        <v>55</v>
      </c>
      <c r="H39" s="406">
        <f t="shared" si="4"/>
        <v>77</v>
      </c>
      <c r="I39" s="406">
        <f t="shared" si="4"/>
        <v>98</v>
      </c>
      <c r="J39" s="406">
        <f t="shared" si="4"/>
        <v>127</v>
      </c>
      <c r="K39" s="406">
        <f t="shared" si="4"/>
        <v>174</v>
      </c>
      <c r="L39" s="406">
        <f t="shared" si="4"/>
        <v>181</v>
      </c>
      <c r="M39" s="406">
        <f t="shared" si="4"/>
        <v>184</v>
      </c>
      <c r="N39" s="406">
        <f t="shared" si="4"/>
        <v>211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6.4283000000000007E-2</v>
      </c>
      <c r="AL39" s="418">
        <f t="shared" ref="AL39:AV41" si="5">+AK39+AK18</f>
        <v>0.12962299999999999</v>
      </c>
      <c r="AM39" s="418">
        <f t="shared" si="5"/>
        <v>0.19368599999999997</v>
      </c>
      <c r="AN39" s="418">
        <f t="shared" si="5"/>
        <v>0.26308199999999998</v>
      </c>
      <c r="AO39" s="418">
        <f t="shared" si="5"/>
        <v>0.32906299999999999</v>
      </c>
      <c r="AP39" s="418">
        <f t="shared" si="5"/>
        <v>0.39354299999999998</v>
      </c>
      <c r="AQ39" s="418">
        <f t="shared" si="5"/>
        <v>0.47392099999999998</v>
      </c>
      <c r="AR39" s="418">
        <f t="shared" si="5"/>
        <v>0.56124299999999994</v>
      </c>
      <c r="AS39" s="418">
        <f t="shared" si="5"/>
        <v>0.63939999999999997</v>
      </c>
      <c r="AT39" s="418">
        <f t="shared" si="5"/>
        <v>0.70498799999999995</v>
      </c>
      <c r="AU39" s="418">
        <f t="shared" si="5"/>
        <v>0.77047699999999997</v>
      </c>
      <c r="AV39" s="418">
        <f t="shared" si="5"/>
        <v>0.83775899999999992</v>
      </c>
      <c r="AW39" s="158"/>
      <c r="AX39" s="158"/>
      <c r="AY39" s="308" t="s">
        <v>92</v>
      </c>
      <c r="AZ39" s="714">
        <f>+VLOOKUP($A$1,data!$A$133:$BK$163,26)</f>
        <v>16.217447916666668</v>
      </c>
      <c r="BA39" s="714">
        <f>+VLOOKUP($A$1,data!$A$133:$BK$163,27)</f>
        <v>17.927561349308014</v>
      </c>
      <c r="BB39" s="714">
        <f>+VLOOKUP($A$1,data!$A$133:$BK$163,28)</f>
        <v>17.649856055932553</v>
      </c>
      <c r="BC39" s="714">
        <f>+VLOOKUP($A$1,data!$A$133:$BK$163,29)</f>
        <v>17.274605736144196</v>
      </c>
      <c r="BD39" s="714">
        <f>+VLOOKUP($A$1,data!$A$133:$BK$163,30)</f>
        <v>16.910154707634874</v>
      </c>
      <c r="BE39" s="714">
        <f>+VLOOKUP($A$1,data!$A$133:$BK$163,31)</f>
        <v>17.06753413130032</v>
      </c>
      <c r="BF39" s="714">
        <f>+VLOOKUP($A$1,data!$A$133:$BK$163,32)</f>
        <v>15.381086571859232</v>
      </c>
      <c r="BG39" s="714">
        <f>+VLOOKUP($A$1,data!$A$133:$BK$163,33)</f>
        <v>16.870547258430523</v>
      </c>
      <c r="BH39" s="714">
        <f>+VLOOKUP($A$1,data!$A$133:$BK$163,34)</f>
        <v>12.746117356553382</v>
      </c>
      <c r="BI39" s="714">
        <f>+VLOOKUP($A$1,data!$A$133:$BK$163,35)</f>
        <v>10.987055509797342</v>
      </c>
      <c r="BJ39" s="714">
        <f>+VLOOKUP($A$1,data!$A$133:$BK$163,36)</f>
        <v>11.071570689557159</v>
      </c>
      <c r="BK39" s="714">
        <f>+VLOOKUP($A$1,data!$A$133:$BK$163,37)</f>
        <v>14.917386294006702</v>
      </c>
      <c r="BL39" s="714">
        <f>+VLOOKUP($A$1,data!$A$133:$BK$163,38)</f>
        <v>16.64676136508017</v>
      </c>
      <c r="BM39" s="714">
        <f>+VLOOKUP($A$1,data!$A$133:$BK$163,39)</f>
        <v>19.930561498306826</v>
      </c>
      <c r="BN39" s="714">
        <f>+VLOOKUP($A$1,data!$A$133:$BK$163,40)</f>
        <v>16.402221587167475</v>
      </c>
      <c r="BO39" s="714">
        <f>+VLOOKUP($A$1,data!$A$133:$BK$163,41)</f>
        <v>15.587535045729329</v>
      </c>
    </row>
    <row r="40" spans="1:67" ht="21.75" thickBot="1" x14ac:dyDescent="0.4">
      <c r="A40"/>
      <c r="B40" s="408" t="s">
        <v>94</v>
      </c>
      <c r="C40" s="409">
        <f>+B19</f>
        <v>20.237154150197625</v>
      </c>
      <c r="D40" s="409">
        <f t="shared" si="4"/>
        <v>48.695652173913032</v>
      </c>
      <c r="E40" s="409">
        <f t="shared" si="4"/>
        <v>61.97628458498022</v>
      </c>
      <c r="F40" s="409">
        <f t="shared" si="4"/>
        <v>87.905138339920924</v>
      </c>
      <c r="G40" s="409">
        <f t="shared" si="4"/>
        <v>108.14229249011855</v>
      </c>
      <c r="H40" s="409">
        <f t="shared" si="4"/>
        <v>138.498023715415</v>
      </c>
      <c r="I40" s="409">
        <f t="shared" si="4"/>
        <v>169.48616600790513</v>
      </c>
      <c r="J40" s="409">
        <f t="shared" si="4"/>
        <v>204.90118577075097</v>
      </c>
      <c r="K40" s="409">
        <f t="shared" si="4"/>
        <v>250.43478260869563</v>
      </c>
      <c r="L40" s="409">
        <f t="shared" si="4"/>
        <v>267.50988142292488</v>
      </c>
      <c r="M40" s="409">
        <f t="shared" si="4"/>
        <v>285.21739130434781</v>
      </c>
      <c r="N40" s="409">
        <f t="shared" si="4"/>
        <v>320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6.2441000000000003E-2</v>
      </c>
      <c r="AL40" s="423">
        <f t="shared" si="5"/>
        <v>0.12614500000000001</v>
      </c>
      <c r="AM40" s="423">
        <f t="shared" si="5"/>
        <v>0.18829699999999999</v>
      </c>
      <c r="AN40" s="423">
        <f t="shared" si="5"/>
        <v>0.25583899999999998</v>
      </c>
      <c r="AO40" s="423">
        <f t="shared" si="5"/>
        <v>0.31823199999999996</v>
      </c>
      <c r="AP40" s="423">
        <f t="shared" si="5"/>
        <v>0.38064199999999998</v>
      </c>
      <c r="AQ40" s="423">
        <f t="shared" si="5"/>
        <v>0.45588399999999996</v>
      </c>
      <c r="AR40" s="423">
        <f t="shared" si="5"/>
        <v>0.5323739999999999</v>
      </c>
      <c r="AS40" s="423">
        <f t="shared" si="5"/>
        <v>0.6070319999999999</v>
      </c>
      <c r="AT40" s="423">
        <f t="shared" si="5"/>
        <v>0.67383599999999988</v>
      </c>
      <c r="AU40" s="423">
        <f t="shared" si="5"/>
        <v>0.74090199999999984</v>
      </c>
      <c r="AV40" s="423">
        <f t="shared" si="5"/>
        <v>0.80920899999999985</v>
      </c>
      <c r="AW40" s="158"/>
      <c r="AX40" s="158"/>
      <c r="AY40" s="311" t="s">
        <v>94</v>
      </c>
      <c r="AZ40" s="715">
        <f>+VLOOKUP($A$1,data!$A$133:$BK$163,22)</f>
        <v>20</v>
      </c>
      <c r="BA40" s="715">
        <f>+$AZ$40</f>
        <v>20</v>
      </c>
      <c r="BB40" s="715">
        <f t="shared" ref="BB40:BO40" si="6">+$AZ$40</f>
        <v>20</v>
      </c>
      <c r="BC40" s="715">
        <f t="shared" si="6"/>
        <v>20</v>
      </c>
      <c r="BD40" s="715">
        <f t="shared" si="6"/>
        <v>20</v>
      </c>
      <c r="BE40" s="715">
        <f t="shared" si="6"/>
        <v>20</v>
      </c>
      <c r="BF40" s="715">
        <f t="shared" si="6"/>
        <v>20</v>
      </c>
      <c r="BG40" s="715">
        <f t="shared" si="6"/>
        <v>20</v>
      </c>
      <c r="BH40" s="715">
        <f t="shared" si="6"/>
        <v>20</v>
      </c>
      <c r="BI40" s="715">
        <f t="shared" si="6"/>
        <v>20</v>
      </c>
      <c r="BJ40" s="715">
        <f t="shared" si="6"/>
        <v>20</v>
      </c>
      <c r="BK40" s="715">
        <f t="shared" si="6"/>
        <v>20</v>
      </c>
      <c r="BL40" s="715">
        <f t="shared" si="6"/>
        <v>20</v>
      </c>
      <c r="BM40" s="715">
        <f t="shared" si="6"/>
        <v>20</v>
      </c>
      <c r="BN40" s="715">
        <f t="shared" si="6"/>
        <v>20</v>
      </c>
      <c r="BO40" s="715">
        <f t="shared" si="6"/>
        <v>20</v>
      </c>
    </row>
    <row r="41" spans="1:67" ht="21.75" thickBot="1" x14ac:dyDescent="0.4">
      <c r="A41"/>
      <c r="B41" s="413" t="s">
        <v>93</v>
      </c>
      <c r="C41" s="414">
        <f>+B20</f>
        <v>27</v>
      </c>
      <c r="D41" s="414">
        <f t="shared" si="4"/>
        <v>48</v>
      </c>
      <c r="E41" s="414">
        <f t="shared" si="4"/>
        <v>58</v>
      </c>
      <c r="F41" s="414">
        <f t="shared" si="4"/>
        <v>65</v>
      </c>
      <c r="G41" s="414">
        <f t="shared" si="4"/>
        <v>71</v>
      </c>
      <c r="H41" s="414">
        <f t="shared" si="4"/>
        <v>109</v>
      </c>
      <c r="I41" s="414">
        <f t="shared" si="4"/>
        <v>123</v>
      </c>
      <c r="J41" s="414">
        <f t="shared" si="4"/>
        <v>138</v>
      </c>
      <c r="K41" s="414">
        <f t="shared" si="4"/>
        <v>142</v>
      </c>
      <c r="L41" s="414">
        <f t="shared" si="4"/>
        <v>154</v>
      </c>
      <c r="M41" s="414">
        <f t="shared" si="4"/>
        <v>167</v>
      </c>
      <c r="N41" s="414">
        <f t="shared" si="4"/>
        <v>178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6.4383999999999997E-2</v>
      </c>
      <c r="AL41" s="420">
        <f t="shared" si="5"/>
        <v>0.13180999999999998</v>
      </c>
      <c r="AM41" s="420">
        <f t="shared" si="5"/>
        <v>0.198961</v>
      </c>
      <c r="AN41" s="420">
        <f t="shared" si="5"/>
        <v>0.269928</v>
      </c>
      <c r="AO41" s="420">
        <f t="shared" si="5"/>
        <v>0.34123199999999998</v>
      </c>
      <c r="AP41" s="420">
        <f t="shared" si="5"/>
        <v>0.41064699999999998</v>
      </c>
      <c r="AQ41" s="420">
        <f t="shared" si="5"/>
        <v>0.49154900000000001</v>
      </c>
      <c r="AR41" s="420">
        <f t="shared" si="5"/>
        <v>0.566245</v>
      </c>
      <c r="AS41" s="420">
        <f t="shared" si="5"/>
        <v>0.63874300000000006</v>
      </c>
      <c r="AT41" s="420">
        <f t="shared" si="5"/>
        <v>0.70955000000000001</v>
      </c>
      <c r="AU41" s="420">
        <f t="shared" si="5"/>
        <v>0.77952200000000005</v>
      </c>
      <c r="AV41" s="420">
        <f t="shared" si="5"/>
        <v>0.84973600000000005</v>
      </c>
      <c r="AW41" s="158"/>
      <c r="AX41" s="158"/>
      <c r="AY41" s="315" t="s">
        <v>93</v>
      </c>
      <c r="AZ41" s="716">
        <f>+VLOOKUP($A$1,data!$A$133:$BK$163,3)</f>
        <v>19.526035547333951</v>
      </c>
      <c r="BA41" s="716">
        <f>+VLOOKUP($A$1,data!$A$133:$BK$163,4)</f>
        <v>18.441577286303339</v>
      </c>
      <c r="BB41" s="716">
        <f>+VLOOKUP($A$1,data!$A$133:$BK$163,5)</f>
        <v>22.665607149437996</v>
      </c>
      <c r="BC41" s="716">
        <f>+VLOOKUP($A$1,data!$A$133:$BK$163,6)</f>
        <v>20.259119890036349</v>
      </c>
      <c r="BD41" s="716">
        <f>+VLOOKUP($A$1,data!$A$133:$BK$163,7)</f>
        <v>19.147991254441106</v>
      </c>
      <c r="BE41" s="716">
        <f>+VLOOKUP($A$1,data!$A$133:$BK$163,8)</f>
        <v>19.336047958375747</v>
      </c>
      <c r="BF41" s="716">
        <f>+VLOOKUP($A$1,data!$A$133:$BK$163,9)</f>
        <v>21.369593041035689</v>
      </c>
      <c r="BG41" s="716">
        <f>+VLOOKUP($A$1,data!$A$133:$BK$163,10)</f>
        <v>20.101273801094052</v>
      </c>
      <c r="BH41" s="716">
        <f>+VLOOKUP($A$1,data!$A$133:$BK$163,11)</f>
        <v>17.323960930156524</v>
      </c>
      <c r="BI41" s="716">
        <f>+VLOOKUP($A$1,data!$A$133:$BK$163,12)</f>
        <v>15.436332767402378</v>
      </c>
      <c r="BJ41" s="716">
        <f>+VLOOKUP($A$1,data!$A$133:$BK$163,13)</f>
        <v>15.308517969142363</v>
      </c>
      <c r="BK41" s="716">
        <f>+VLOOKUP($A$1,data!$A$133:$BK$163,14)</f>
        <v>18.708812986943581</v>
      </c>
      <c r="BL41" s="716">
        <f>+VLOOKUP($A$1,data!$A$133:$BK$163,15)</f>
        <v>16.146184910173965</v>
      </c>
      <c r="BM41" s="716">
        <f>+VLOOKUP($A$1,data!$A$133:$BK$163,16)</f>
        <v>17.846702903229595</v>
      </c>
      <c r="BN41" s="716">
        <f>+VLOOKUP($A$1,data!$A$133:$BK$163,17)</f>
        <v>15.997081653888937</v>
      </c>
      <c r="BO41" s="716">
        <f>+VLOOKUP($A$1,data!$A$133:$BK$163,18)</f>
        <v>18.211712127861052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15.587535045729329</v>
      </c>
      <c r="BA43" s="826">
        <f>+VLOOKUP($A$1,data!$A$133:$BK$163,26)</f>
        <v>16.217447916666668</v>
      </c>
      <c r="BB43" s="473">
        <f>+AZ45-AZ43</f>
        <v>2.6241770821317232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20</v>
      </c>
      <c r="BA44" s="830"/>
      <c r="BB44" s="472">
        <f>+AZ45-AZ44</f>
        <v>-1.7882878721389481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18.211712127861052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1030</v>
      </c>
      <c r="B47" s="817" t="str">
        <f>+VLOOKUP($A$1,data!$A$4:$AH$32,2,0)</f>
        <v>จอมทอง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1030</v>
      </c>
      <c r="T47" s="817" t="str">
        <f>+VLOOKUP($A$1,data!$A$4:$AH$32,2,0)</f>
        <v>จอมทอง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1030</v>
      </c>
      <c r="AJ47" s="817" t="str">
        <f>+VLOOKUP($A$1,data!$A$4:$AH$32,2,0)</f>
        <v>จอมทอง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4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4" customHeight="1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1.2271628799999998</v>
      </c>
      <c r="C64" s="632">
        <f>+VLOOKUP($A$1,data!$A$165:$AU$195,36)</f>
        <v>1.2345315399999999</v>
      </c>
      <c r="D64" s="632">
        <f>+VLOOKUP($A$1,data!$A$165:$AU$195,37)</f>
        <v>1.2159976399999999</v>
      </c>
      <c r="E64" s="632">
        <f>+VLOOKUP($A$1,data!$A$165:$AU$195,38)</f>
        <v>1.3377285299999997</v>
      </c>
      <c r="F64" s="632">
        <f>+VLOOKUP($A$1,data!$A$165:$AU$195,39)</f>
        <v>1.25842177</v>
      </c>
      <c r="G64" s="632">
        <f>+VLOOKUP($A$1,data!$A$165:$AU$195,40)</f>
        <v>1.2424862299999999</v>
      </c>
      <c r="H64" s="632">
        <f>+VLOOKUP($A$1,data!$A$165:$AU$195,41)</f>
        <v>1.5283720900000002</v>
      </c>
      <c r="I64" s="632">
        <f>+VLOOKUP($A$1,data!$A$165:$AU$195,42)</f>
        <v>1.67358016</v>
      </c>
      <c r="J64" s="632">
        <f>+VLOOKUP($A$1,data!$A$165:$AU$195,43)</f>
        <v>1.5190028999999998</v>
      </c>
      <c r="K64" s="632">
        <f>+VLOOKUP($A$1,data!$A$165:$AU$195,44)</f>
        <v>1.21385308</v>
      </c>
      <c r="L64" s="632">
        <f>+VLOOKUP($A$1,data!$A$165:$AU$195,45)</f>
        <v>1.1986551300000001</v>
      </c>
      <c r="M64" s="632">
        <f>+VLOOKUP($A$1,data!$A$165:$AU$195,46)</f>
        <v>1.2834313199999996</v>
      </c>
      <c r="N64" s="632">
        <f>SUM(B64:M64)</f>
        <v>15.933223270000001</v>
      </c>
      <c r="O64" s="632">
        <f>SUM(B64:M64)</f>
        <v>15.933223270000001</v>
      </c>
      <c r="P64" s="635">
        <f>+O66-O64</f>
        <v>0.41029417999999929</v>
      </c>
      <c r="S64" s="605" t="s">
        <v>92</v>
      </c>
      <c r="T64" s="640">
        <f>+VLOOKUP($A$1,data!$A$197:$AU$227,35)</f>
        <v>0.66038279999999994</v>
      </c>
      <c r="U64" s="640">
        <f>+VLOOKUP($A$1,data!$A$197:$AU$227,36)</f>
        <v>0.69848892000000007</v>
      </c>
      <c r="V64" s="640">
        <f>+VLOOKUP($A$1,data!$A$197:$AU$227,37)</f>
        <v>0.76797648000000007</v>
      </c>
      <c r="W64" s="640">
        <f>+VLOOKUP($A$1,data!$A$197:$AU$227,38)</f>
        <v>0.62251292999999996</v>
      </c>
      <c r="X64" s="640">
        <f>+VLOOKUP($A$1,data!$A$197:$AU$227,39)</f>
        <v>0.67630283000000002</v>
      </c>
      <c r="Y64" s="640">
        <f>+VLOOKUP($A$1,data!$A$197:$AU$227,40)</f>
        <v>0.76135156000000004</v>
      </c>
      <c r="Z64" s="640">
        <f>+VLOOKUP($A$1,data!$A$197:$AU$227,41)</f>
        <v>0.66998535999999997</v>
      </c>
      <c r="AA64" s="640">
        <f>+VLOOKUP($A$1,data!$A$197:$AU$227,42)</f>
        <v>0.67011001000000014</v>
      </c>
      <c r="AB64" s="640">
        <f>+VLOOKUP($A$1,data!$A$197:$AU$227,43)</f>
        <v>0.72666911000000012</v>
      </c>
      <c r="AC64" s="640">
        <f>+VLOOKUP($A$1,data!$A$197:$AU$227,44)</f>
        <v>0.66467882000000011</v>
      </c>
      <c r="AD64" s="640">
        <f>+VLOOKUP($A$1,data!$A$197:$AU$227,45)</f>
        <v>0.69627799000000012</v>
      </c>
      <c r="AE64" s="640">
        <f>+VLOOKUP($A$1,data!$A$197:$AU$227,46)</f>
        <v>0.83280426000000007</v>
      </c>
      <c r="AF64" s="640">
        <f>SUM(T64:AE64)</f>
        <v>8.4475410700000015</v>
      </c>
      <c r="AG64" s="640">
        <f>SUM(T64:AE64)</f>
        <v>8.4475410700000015</v>
      </c>
      <c r="AH64" s="641">
        <f>+AG66-AG64</f>
        <v>0.55397211999999918</v>
      </c>
      <c r="AI64" s="621" t="s">
        <v>92</v>
      </c>
      <c r="AJ64" s="648">
        <f>+B64-T64</f>
        <v>0.56678007999999991</v>
      </c>
      <c r="AK64" s="648">
        <f t="shared" ref="AK64:AU66" si="7">+C64-U64</f>
        <v>0.5360426199999998</v>
      </c>
      <c r="AL64" s="648">
        <f t="shared" si="7"/>
        <v>0.44802115999999981</v>
      </c>
      <c r="AM64" s="648">
        <f t="shared" si="7"/>
        <v>0.71521559999999973</v>
      </c>
      <c r="AN64" s="648">
        <f t="shared" si="7"/>
        <v>0.58211893999999997</v>
      </c>
      <c r="AO64" s="648">
        <f t="shared" si="7"/>
        <v>0.48113466999999988</v>
      </c>
      <c r="AP64" s="648">
        <f t="shared" si="7"/>
        <v>0.85838673000000021</v>
      </c>
      <c r="AQ64" s="648">
        <f t="shared" si="7"/>
        <v>1.0034701499999998</v>
      </c>
      <c r="AR64" s="648">
        <f t="shared" si="7"/>
        <v>0.7923337899999997</v>
      </c>
      <c r="AS64" s="648">
        <f t="shared" si="7"/>
        <v>0.54917425999999991</v>
      </c>
      <c r="AT64" s="648">
        <f t="shared" si="7"/>
        <v>0.50237714</v>
      </c>
      <c r="AU64" s="648">
        <f t="shared" si="7"/>
        <v>0.45062705999999952</v>
      </c>
      <c r="AV64" s="648">
        <f>SUM(AJ64:AU64)</f>
        <v>7.4856821999999985</v>
      </c>
      <c r="AW64" s="648">
        <f>SUM(AJ64:AU64)</f>
        <v>7.4856821999999985</v>
      </c>
      <c r="AX64" s="651">
        <f>+AW66-AW64</f>
        <v>-0.14367793999999634</v>
      </c>
    </row>
    <row r="65" spans="1:50" ht="21.75" thickBot="1" x14ac:dyDescent="0.4">
      <c r="A65" s="538" t="s">
        <v>94</v>
      </c>
      <c r="B65" s="633">
        <f>+VLOOKUP($A$1,data!$A$165:$AU$195,19)</f>
        <v>1.192226</v>
      </c>
      <c r="C65" s="633">
        <f>+VLOOKUP($A$1,data!$A$165:$AU$195,20)</f>
        <v>1.204366</v>
      </c>
      <c r="D65" s="633">
        <f>+VLOOKUP($A$1,data!$A$165:$AU$195,21)</f>
        <v>1.206771</v>
      </c>
      <c r="E65" s="633">
        <f>+VLOOKUP($A$1,data!$A$165:$AU$195,22)</f>
        <v>1.2950079999999999</v>
      </c>
      <c r="F65" s="633">
        <f>+VLOOKUP($A$1,data!$A$165:$AU$195,23)</f>
        <v>1.2050160000000001</v>
      </c>
      <c r="G65" s="633">
        <f>+VLOOKUP($A$1,data!$A$165:$AU$195,24)</f>
        <v>1.211014</v>
      </c>
      <c r="H65" s="633">
        <f>+VLOOKUP($A$1,data!$A$165:$AU$195,25)</f>
        <v>1.4339280000000001</v>
      </c>
      <c r="I65" s="633">
        <f>+VLOOKUP($A$1,data!$A$165:$AU$195,26)</f>
        <v>1.4564950000000001</v>
      </c>
      <c r="J65" s="633">
        <f>+VLOOKUP($A$1,data!$A$165:$AU$195,27)</f>
        <v>1.4380109999999999</v>
      </c>
      <c r="K65" s="633">
        <f>+VLOOKUP($A$1,data!$A$165:$AU$195,28)</f>
        <v>1.2597959999999999</v>
      </c>
      <c r="L65" s="633">
        <f>+VLOOKUP($A$1,data!$A$165:$AU$195,29)</f>
        <v>1.2932049999999999</v>
      </c>
      <c r="M65" s="633">
        <f>+VLOOKUP($A$1,data!$A$165:$AU$195,30)</f>
        <v>1.337286</v>
      </c>
      <c r="N65" s="633">
        <f>SUM(B65:M65)</f>
        <v>15.533122000000001</v>
      </c>
      <c r="O65" s="636">
        <f t="shared" ref="O65:O66" si="8">SUM(B65:M65)</f>
        <v>15.533122000000001</v>
      </c>
      <c r="P65" s="637">
        <f>+O66-O65</f>
        <v>0.81039544999999968</v>
      </c>
      <c r="S65" s="601" t="s">
        <v>94</v>
      </c>
      <c r="T65" s="642">
        <f>+VLOOKUP($A$1,data!$A$197:$AU$227,19)</f>
        <v>0.70026500000000003</v>
      </c>
      <c r="U65" s="642">
        <f>+VLOOKUP($A$1,data!$A$197:$AU$227,20)</f>
        <v>0.67592399999999997</v>
      </c>
      <c r="V65" s="642">
        <f>+VLOOKUP($A$1,data!$A$197:$AU$227,21)</f>
        <v>0.72416999999999998</v>
      </c>
      <c r="W65" s="642">
        <f>+VLOOKUP($A$1,data!$A$197:$AU$227,22)</f>
        <v>0.76098900000000003</v>
      </c>
      <c r="X65" s="642">
        <f>+VLOOKUP($A$1,data!$A$197:$AU$227,23)</f>
        <v>0.67040100000000002</v>
      </c>
      <c r="Y65" s="642">
        <f>+VLOOKUP($A$1,data!$A$197:$AU$227,24)</f>
        <v>0.74285400000000001</v>
      </c>
      <c r="Z65" s="642">
        <f>+VLOOKUP($A$1,data!$A$197:$AU$227,25)</f>
        <v>0.71074899999999996</v>
      </c>
      <c r="AA65" s="642">
        <f>+VLOOKUP($A$1,data!$A$197:$AU$227,26)</f>
        <v>0.68350299999999997</v>
      </c>
      <c r="AB65" s="642">
        <f>+VLOOKUP($A$1,data!$A$197:$AU$227,27)</f>
        <v>0.80030100000000004</v>
      </c>
      <c r="AC65" s="642">
        <f>+VLOOKUP($A$1,data!$A$197:$AU$227,28)</f>
        <v>0.641621</v>
      </c>
      <c r="AD65" s="642">
        <f>+VLOOKUP($A$1,data!$A$197:$AU$227,29)</f>
        <v>0.76708200000000004</v>
      </c>
      <c r="AE65" s="642">
        <f>+VLOOKUP($A$1,data!$A$197:$AU$227,30)</f>
        <v>0.88064699999999996</v>
      </c>
      <c r="AF65" s="642">
        <f>SUM(T65:AE65)</f>
        <v>8.7585060000000006</v>
      </c>
      <c r="AG65" s="643">
        <f t="shared" ref="AG65:AG66" si="9">SUM(T65:AE65)</f>
        <v>8.7585060000000006</v>
      </c>
      <c r="AH65" s="644">
        <f>+AG66-AG65</f>
        <v>0.24300719000000015</v>
      </c>
      <c r="AI65" s="617" t="s">
        <v>94</v>
      </c>
      <c r="AJ65" s="649">
        <f>+B65-T65</f>
        <v>0.49196099999999998</v>
      </c>
      <c r="AK65" s="649">
        <f t="shared" si="7"/>
        <v>0.52844200000000008</v>
      </c>
      <c r="AL65" s="649">
        <f t="shared" si="7"/>
        <v>0.48260100000000006</v>
      </c>
      <c r="AM65" s="649">
        <f t="shared" si="7"/>
        <v>0.53401899999999991</v>
      </c>
      <c r="AN65" s="649">
        <f t="shared" si="7"/>
        <v>0.53461500000000006</v>
      </c>
      <c r="AO65" s="649">
        <f t="shared" si="7"/>
        <v>0.46816000000000002</v>
      </c>
      <c r="AP65" s="649">
        <f t="shared" si="7"/>
        <v>0.72317900000000013</v>
      </c>
      <c r="AQ65" s="649">
        <f t="shared" si="7"/>
        <v>0.77299200000000012</v>
      </c>
      <c r="AR65" s="649">
        <f t="shared" si="7"/>
        <v>0.63770999999999989</v>
      </c>
      <c r="AS65" s="649">
        <f t="shared" si="7"/>
        <v>0.61817499999999992</v>
      </c>
      <c r="AT65" s="649">
        <f t="shared" si="7"/>
        <v>0.5261229999999999</v>
      </c>
      <c r="AU65" s="649">
        <f t="shared" si="7"/>
        <v>0.45663900000000002</v>
      </c>
      <c r="AV65" s="649">
        <f>SUM(AJ65:AU65)</f>
        <v>6.7746160000000009</v>
      </c>
      <c r="AW65" s="652">
        <f t="shared" ref="AW65:AW66" si="10">SUM(AJ65:AU65)</f>
        <v>6.7746160000000009</v>
      </c>
      <c r="AX65" s="653">
        <f>+AW66-AW65</f>
        <v>0.56738826000000131</v>
      </c>
    </row>
    <row r="66" spans="1:50" ht="21.75" thickBot="1" x14ac:dyDescent="0.4">
      <c r="A66" s="546" t="s">
        <v>93</v>
      </c>
      <c r="B66" s="634">
        <f>+VLOOKUP($A$1,data!$A$165:$AU$195,3)</f>
        <v>1.2450876499999999</v>
      </c>
      <c r="C66" s="634">
        <f>+VLOOKUP($A$1,data!$A$165:$AU$195,4)</f>
        <v>1.33576329</v>
      </c>
      <c r="D66" s="634">
        <f>+VLOOKUP($A$1,data!$A$165:$AU$195,5)</f>
        <v>1.2821997400000003</v>
      </c>
      <c r="E66" s="634">
        <f>+VLOOKUP($A$1,data!$A$165:$AU$195,6)</f>
        <v>1.3514508200000002</v>
      </c>
      <c r="F66" s="634">
        <f>+VLOOKUP($A$1,data!$A$165:$AU$195,7)</f>
        <v>1.3680583499999999</v>
      </c>
      <c r="G66" s="634">
        <f>+VLOOKUP($A$1,data!$A$165:$AU$195,8)</f>
        <v>1.3624666900000002</v>
      </c>
      <c r="H66" s="634">
        <f>+VLOOKUP($A$1,data!$A$165:$AU$195,9)</f>
        <v>1.54579106</v>
      </c>
      <c r="I66" s="634">
        <f>+VLOOKUP($A$1,data!$A$165:$AU$195,10)</f>
        <v>1.4177516200000002</v>
      </c>
      <c r="J66" s="634">
        <f>+VLOOKUP($A$1,data!$A$165:$AU$195,11)</f>
        <v>1.3792901500000003</v>
      </c>
      <c r="K66" s="634">
        <f>+VLOOKUP($A$1,data!$A$165:$AU$195,12)</f>
        <v>1.36048261</v>
      </c>
      <c r="L66" s="634">
        <f>+VLOOKUP($A$1,data!$A$165:$AU$195,13)</f>
        <v>1.34149824</v>
      </c>
      <c r="M66" s="634">
        <f>+VLOOKUP($A$1,data!$A$165:$AU$195,14)</f>
        <v>1.3536772300000004</v>
      </c>
      <c r="N66" s="634">
        <f>SUM(B66:M66)</f>
        <v>16.34351745</v>
      </c>
      <c r="O66" s="638">
        <f t="shared" si="8"/>
        <v>16.34351745</v>
      </c>
      <c r="P66" s="639"/>
      <c r="S66" s="608" t="s">
        <v>93</v>
      </c>
      <c r="T66" s="645">
        <f>+VLOOKUP($A$1,data!$A$197:$AU$227,3)</f>
        <v>0.68588704000000011</v>
      </c>
      <c r="U66" s="645">
        <f>+VLOOKUP($A$1,data!$A$197:$AU$227,4)</f>
        <v>0.71346676000000009</v>
      </c>
      <c r="V66" s="645">
        <f>+VLOOKUP($A$1,data!$A$197:$AU$227,5)</f>
        <v>0.91607736000000006</v>
      </c>
      <c r="W66" s="645">
        <f>+VLOOKUP($A$1,data!$A$197:$AU$227,6)</f>
        <v>0.66519055999999999</v>
      </c>
      <c r="X66" s="645">
        <f>+VLOOKUP($A$1,data!$A$197:$AU$227,7)</f>
        <v>0.76501603000000029</v>
      </c>
      <c r="Y66" s="645">
        <f>+VLOOKUP($A$1,data!$A$197:$AU$227,8)</f>
        <v>0.83939399999999997</v>
      </c>
      <c r="Z66" s="645">
        <f>+VLOOKUP($A$1,data!$A$197:$AU$227,9)</f>
        <v>0.71369384999999985</v>
      </c>
      <c r="AA66" s="645">
        <f>+VLOOKUP($A$1,data!$A$197:$AU$227,10)</f>
        <v>0.76119969999999992</v>
      </c>
      <c r="AB66" s="645">
        <f>+VLOOKUP($A$1,data!$A$197:$AU$227,11)</f>
        <v>0.68527853999999999</v>
      </c>
      <c r="AC66" s="645">
        <f>+VLOOKUP($A$1,data!$A$197:$AU$227,12)</f>
        <v>0.74380798999999997</v>
      </c>
      <c r="AD66" s="645">
        <f>+VLOOKUP($A$1,data!$A$197:$AU$227,13)</f>
        <v>0.73061534000000006</v>
      </c>
      <c r="AE66" s="645">
        <f>+VLOOKUP($A$1,data!$A$197:$AU$227,14)</f>
        <v>0.78188602000000007</v>
      </c>
      <c r="AF66" s="645">
        <f>SUM(T66:AE66)</f>
        <v>9.0015131900000007</v>
      </c>
      <c r="AG66" s="646">
        <f t="shared" si="9"/>
        <v>9.0015131900000007</v>
      </c>
      <c r="AH66" s="647"/>
      <c r="AI66" s="624" t="s">
        <v>93</v>
      </c>
      <c r="AJ66" s="650">
        <f>+B66-T66</f>
        <v>0.55920060999999976</v>
      </c>
      <c r="AK66" s="650">
        <f t="shared" si="7"/>
        <v>0.62229652999999996</v>
      </c>
      <c r="AL66" s="650">
        <f t="shared" si="7"/>
        <v>0.36612238000000019</v>
      </c>
      <c r="AM66" s="650">
        <f t="shared" si="7"/>
        <v>0.68626026000000018</v>
      </c>
      <c r="AN66" s="650">
        <f t="shared" si="7"/>
        <v>0.60304231999999958</v>
      </c>
      <c r="AO66" s="650">
        <f t="shared" si="7"/>
        <v>0.52307269000000023</v>
      </c>
      <c r="AP66" s="650">
        <f t="shared" si="7"/>
        <v>0.83209721000000014</v>
      </c>
      <c r="AQ66" s="650">
        <f t="shared" si="7"/>
        <v>0.65655192000000029</v>
      </c>
      <c r="AR66" s="650">
        <f t="shared" si="7"/>
        <v>0.69401161000000033</v>
      </c>
      <c r="AS66" s="650">
        <f>+K66-AC66</f>
        <v>0.61667462000000006</v>
      </c>
      <c r="AT66" s="650">
        <f>+L66-AD66</f>
        <v>0.6108828999999999</v>
      </c>
      <c r="AU66" s="650">
        <f>+M66-AE66</f>
        <v>0.57179121000000033</v>
      </c>
      <c r="AV66" s="650">
        <f>SUM(AJ66:AU66)</f>
        <v>7.3420042600000022</v>
      </c>
      <c r="AW66" s="654">
        <f t="shared" si="10"/>
        <v>7.3420042600000022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1.2271628799999998</v>
      </c>
      <c r="D85" s="628">
        <f t="shared" ref="D85:N87" si="11">+C85+C64</f>
        <v>2.4616944199999997</v>
      </c>
      <c r="E85" s="628">
        <f t="shared" si="11"/>
        <v>3.6776920599999996</v>
      </c>
      <c r="F85" s="628">
        <f t="shared" si="11"/>
        <v>5.0154205899999997</v>
      </c>
      <c r="G85" s="628">
        <f t="shared" si="11"/>
        <v>6.2738423599999997</v>
      </c>
      <c r="H85" s="628">
        <f t="shared" si="11"/>
        <v>7.5163285899999996</v>
      </c>
      <c r="I85" s="628">
        <f t="shared" si="11"/>
        <v>9.04470068</v>
      </c>
      <c r="J85" s="628">
        <f t="shared" si="11"/>
        <v>10.71828084</v>
      </c>
      <c r="K85" s="628">
        <f t="shared" si="11"/>
        <v>12.237283740000001</v>
      </c>
      <c r="L85" s="628">
        <f t="shared" si="11"/>
        <v>13.45113682</v>
      </c>
      <c r="M85" s="628">
        <f t="shared" si="11"/>
        <v>14.649791950000001</v>
      </c>
      <c r="N85" s="628">
        <f t="shared" si="11"/>
        <v>15.933223270000001</v>
      </c>
      <c r="S85"/>
      <c r="T85" s="605" t="s">
        <v>92</v>
      </c>
      <c r="U85" s="640">
        <f>+T64</f>
        <v>0.66038279999999994</v>
      </c>
      <c r="V85" s="640">
        <f t="shared" ref="V85:AF87" si="12">+U85+U64</f>
        <v>1.35887172</v>
      </c>
      <c r="W85" s="640">
        <f t="shared" si="12"/>
        <v>2.1268482</v>
      </c>
      <c r="X85" s="640">
        <f t="shared" si="12"/>
        <v>2.74936113</v>
      </c>
      <c r="Y85" s="640">
        <f t="shared" si="12"/>
        <v>3.4256639600000001</v>
      </c>
      <c r="Z85" s="640">
        <f t="shared" si="12"/>
        <v>4.1870155200000001</v>
      </c>
      <c r="AA85" s="640">
        <f t="shared" si="12"/>
        <v>4.8570008800000002</v>
      </c>
      <c r="AB85" s="640">
        <f t="shared" si="12"/>
        <v>5.5271108900000003</v>
      </c>
      <c r="AC85" s="640">
        <f t="shared" si="12"/>
        <v>6.2537800000000008</v>
      </c>
      <c r="AD85" s="640">
        <f t="shared" si="12"/>
        <v>6.9184588200000006</v>
      </c>
      <c r="AE85" s="640">
        <f t="shared" si="12"/>
        <v>7.614736810000001</v>
      </c>
      <c r="AF85" s="640">
        <f t="shared" si="12"/>
        <v>8.4475410700000015</v>
      </c>
      <c r="AG85" s="158"/>
      <c r="AH85" s="158"/>
      <c r="AI85"/>
      <c r="AJ85" s="621" t="s">
        <v>92</v>
      </c>
      <c r="AK85" s="648">
        <f>+AJ64</f>
        <v>0.56678007999999991</v>
      </c>
      <c r="AL85" s="648">
        <f t="shared" ref="AL85:AV87" si="13">+AK85+AK64</f>
        <v>1.1028226999999997</v>
      </c>
      <c r="AM85" s="648">
        <f t="shared" si="13"/>
        <v>1.5508438599999996</v>
      </c>
      <c r="AN85" s="648">
        <f t="shared" si="13"/>
        <v>2.2660594599999992</v>
      </c>
      <c r="AO85" s="648">
        <f t="shared" si="13"/>
        <v>2.8481783999999992</v>
      </c>
      <c r="AP85" s="648">
        <f t="shared" si="13"/>
        <v>3.3293130699999991</v>
      </c>
      <c r="AQ85" s="648">
        <f t="shared" si="13"/>
        <v>4.187699799999999</v>
      </c>
      <c r="AR85" s="648">
        <f t="shared" si="13"/>
        <v>5.191169949999999</v>
      </c>
      <c r="AS85" s="648">
        <f t="shared" si="13"/>
        <v>5.9835037399999988</v>
      </c>
      <c r="AT85" s="648">
        <f t="shared" si="13"/>
        <v>6.5326779999999989</v>
      </c>
      <c r="AU85" s="648">
        <f t="shared" si="13"/>
        <v>7.035055139999999</v>
      </c>
      <c r="AV85" s="648">
        <f t="shared" si="13"/>
        <v>7.4856821999999985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1.192226</v>
      </c>
      <c r="D86" s="633">
        <f t="shared" si="11"/>
        <v>2.3965920000000001</v>
      </c>
      <c r="E86" s="633">
        <f t="shared" si="11"/>
        <v>3.6033629999999999</v>
      </c>
      <c r="F86" s="633">
        <f t="shared" si="11"/>
        <v>4.898371</v>
      </c>
      <c r="G86" s="633">
        <f t="shared" si="11"/>
        <v>6.1033869999999997</v>
      </c>
      <c r="H86" s="633">
        <f t="shared" si="11"/>
        <v>7.3144010000000002</v>
      </c>
      <c r="I86" s="633">
        <f t="shared" si="11"/>
        <v>8.748329</v>
      </c>
      <c r="J86" s="633">
        <f t="shared" si="11"/>
        <v>10.204824</v>
      </c>
      <c r="K86" s="633">
        <f t="shared" si="11"/>
        <v>11.642835</v>
      </c>
      <c r="L86" s="633">
        <f t="shared" si="11"/>
        <v>12.902631</v>
      </c>
      <c r="M86" s="633">
        <f t="shared" si="11"/>
        <v>14.195836</v>
      </c>
      <c r="N86" s="633">
        <f t="shared" si="11"/>
        <v>15.533122000000001</v>
      </c>
      <c r="S86"/>
      <c r="T86" s="601" t="s">
        <v>94</v>
      </c>
      <c r="U86" s="642">
        <f>+T65</f>
        <v>0.70026500000000003</v>
      </c>
      <c r="V86" s="642">
        <f t="shared" si="12"/>
        <v>1.3761890000000001</v>
      </c>
      <c r="W86" s="642">
        <f t="shared" si="12"/>
        <v>2.1003590000000001</v>
      </c>
      <c r="X86" s="642">
        <f t="shared" si="12"/>
        <v>2.861348</v>
      </c>
      <c r="Y86" s="642">
        <f t="shared" si="12"/>
        <v>3.531749</v>
      </c>
      <c r="Z86" s="642">
        <f t="shared" si="12"/>
        <v>4.2746029999999999</v>
      </c>
      <c r="AA86" s="642">
        <f t="shared" si="12"/>
        <v>4.9853519999999998</v>
      </c>
      <c r="AB86" s="642">
        <f t="shared" si="12"/>
        <v>5.6688549999999998</v>
      </c>
      <c r="AC86" s="642">
        <f t="shared" si="12"/>
        <v>6.4691559999999999</v>
      </c>
      <c r="AD86" s="642">
        <f t="shared" si="12"/>
        <v>7.1107769999999997</v>
      </c>
      <c r="AE86" s="642">
        <f t="shared" si="12"/>
        <v>7.8778589999999999</v>
      </c>
      <c r="AF86" s="642">
        <f t="shared" si="12"/>
        <v>8.7585060000000006</v>
      </c>
      <c r="AG86" s="158"/>
      <c r="AH86" s="158"/>
      <c r="AI86"/>
      <c r="AJ86" s="617" t="s">
        <v>94</v>
      </c>
      <c r="AK86" s="649">
        <f>+AJ65</f>
        <v>0.49196099999999998</v>
      </c>
      <c r="AL86" s="649">
        <f t="shared" si="13"/>
        <v>1.0204029999999999</v>
      </c>
      <c r="AM86" s="649">
        <f t="shared" si="13"/>
        <v>1.503004</v>
      </c>
      <c r="AN86" s="649">
        <f t="shared" si="13"/>
        <v>2.037023</v>
      </c>
      <c r="AO86" s="649">
        <f t="shared" si="13"/>
        <v>2.5716380000000001</v>
      </c>
      <c r="AP86" s="649">
        <f t="shared" si="13"/>
        <v>3.0397980000000002</v>
      </c>
      <c r="AQ86" s="649">
        <f t="shared" si="13"/>
        <v>3.7629770000000002</v>
      </c>
      <c r="AR86" s="649">
        <f t="shared" si="13"/>
        <v>4.5359690000000006</v>
      </c>
      <c r="AS86" s="649">
        <f t="shared" si="13"/>
        <v>5.1736790000000008</v>
      </c>
      <c r="AT86" s="649">
        <f t="shared" si="13"/>
        <v>5.7918540000000007</v>
      </c>
      <c r="AU86" s="649">
        <f t="shared" si="13"/>
        <v>6.3179770000000008</v>
      </c>
      <c r="AV86" s="649">
        <f t="shared" si="13"/>
        <v>6.7746160000000009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1.2450876499999999</v>
      </c>
      <c r="D87" s="629">
        <f t="shared" si="11"/>
        <v>2.5808509399999999</v>
      </c>
      <c r="E87" s="629">
        <f t="shared" si="11"/>
        <v>3.8630506800000002</v>
      </c>
      <c r="F87" s="629">
        <f t="shared" si="11"/>
        <v>5.2145015000000008</v>
      </c>
      <c r="G87" s="629">
        <f t="shared" si="11"/>
        <v>6.5825598500000009</v>
      </c>
      <c r="H87" s="629">
        <f t="shared" si="11"/>
        <v>7.9450265400000006</v>
      </c>
      <c r="I87" s="629">
        <f t="shared" si="11"/>
        <v>9.4908175999999997</v>
      </c>
      <c r="J87" s="629">
        <f t="shared" si="11"/>
        <v>10.90856922</v>
      </c>
      <c r="K87" s="629">
        <f t="shared" si="11"/>
        <v>12.287859370000001</v>
      </c>
      <c r="L87" s="629">
        <f t="shared" si="11"/>
        <v>13.648341980000001</v>
      </c>
      <c r="M87" s="629">
        <f t="shared" si="11"/>
        <v>14.989840220000001</v>
      </c>
      <c r="N87" s="629">
        <f t="shared" si="11"/>
        <v>16.34351745</v>
      </c>
      <c r="S87"/>
      <c r="T87" s="608" t="s">
        <v>93</v>
      </c>
      <c r="U87" s="645">
        <f>+T66</f>
        <v>0.68588704000000011</v>
      </c>
      <c r="V87" s="645">
        <f t="shared" si="12"/>
        <v>1.3993538000000001</v>
      </c>
      <c r="W87" s="645">
        <f t="shared" si="12"/>
        <v>2.3154311600000002</v>
      </c>
      <c r="X87" s="645">
        <f t="shared" si="12"/>
        <v>2.9806217200000003</v>
      </c>
      <c r="Y87" s="645">
        <f t="shared" si="12"/>
        <v>3.7456377500000007</v>
      </c>
      <c r="Z87" s="645">
        <f t="shared" si="12"/>
        <v>4.5850317500000006</v>
      </c>
      <c r="AA87" s="645">
        <f t="shared" si="12"/>
        <v>5.2987256000000009</v>
      </c>
      <c r="AB87" s="645">
        <f t="shared" si="12"/>
        <v>6.0599253000000006</v>
      </c>
      <c r="AC87" s="645">
        <f t="shared" si="12"/>
        <v>6.7452038400000003</v>
      </c>
      <c r="AD87" s="645">
        <f t="shared" si="12"/>
        <v>7.4890118299999999</v>
      </c>
      <c r="AE87" s="645">
        <f t="shared" si="12"/>
        <v>8.2196271700000008</v>
      </c>
      <c r="AF87" s="645">
        <f t="shared" si="12"/>
        <v>9.0015131900000007</v>
      </c>
      <c r="AG87" s="158"/>
      <c r="AH87" s="158"/>
      <c r="AI87"/>
      <c r="AJ87" s="624" t="s">
        <v>93</v>
      </c>
      <c r="AK87" s="650">
        <f>+AJ66</f>
        <v>0.55920060999999976</v>
      </c>
      <c r="AL87" s="650">
        <f t="shared" si="13"/>
        <v>1.1814971399999998</v>
      </c>
      <c r="AM87" s="650">
        <f t="shared" si="13"/>
        <v>1.54761952</v>
      </c>
      <c r="AN87" s="650">
        <f t="shared" si="13"/>
        <v>2.2338797800000001</v>
      </c>
      <c r="AO87" s="650">
        <f t="shared" si="13"/>
        <v>2.8369220999999998</v>
      </c>
      <c r="AP87" s="650">
        <f t="shared" si="13"/>
        <v>3.35999479</v>
      </c>
      <c r="AQ87" s="650">
        <f t="shared" si="13"/>
        <v>4.1920920000000006</v>
      </c>
      <c r="AR87" s="650">
        <f t="shared" si="13"/>
        <v>4.8486439200000007</v>
      </c>
      <c r="AS87" s="650">
        <f t="shared" si="13"/>
        <v>5.5426555300000011</v>
      </c>
      <c r="AT87" s="650">
        <f t="shared" si="13"/>
        <v>6.1593301500000015</v>
      </c>
      <c r="AU87" s="650">
        <f t="shared" si="13"/>
        <v>6.7702130500000015</v>
      </c>
      <c r="AV87" s="650">
        <f t="shared" si="13"/>
        <v>7.3420042600000022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317" priority="15" operator="lessThan">
      <formula>0</formula>
    </cfRule>
  </conditionalFormatting>
  <conditionalFormatting sqref="O41">
    <cfRule type="cellIs" dxfId="316" priority="14" operator="lessThan">
      <formula>0</formula>
    </cfRule>
  </conditionalFormatting>
  <conditionalFormatting sqref="AX18:AX22">
    <cfRule type="cellIs" dxfId="315" priority="13" operator="lessThan">
      <formula>0</formula>
    </cfRule>
  </conditionalFormatting>
  <conditionalFormatting sqref="BN21:BN22">
    <cfRule type="cellIs" dxfId="314" priority="12" operator="lessThan">
      <formula>0</formula>
    </cfRule>
  </conditionalFormatting>
  <conditionalFormatting sqref="BB43:BB46">
    <cfRule type="cellIs" dxfId="313" priority="11" operator="greaterThan">
      <formula>0</formula>
    </cfRule>
  </conditionalFormatting>
  <conditionalFormatting sqref="AX18:AX20">
    <cfRule type="cellIs" dxfId="312" priority="10" operator="lessThan">
      <formula>0</formula>
    </cfRule>
  </conditionalFormatting>
  <conditionalFormatting sqref="BN18:BN20">
    <cfRule type="cellIs" dxfId="311" priority="9" operator="greaterThan">
      <formula>0</formula>
    </cfRule>
  </conditionalFormatting>
  <conditionalFormatting sqref="P18:P20">
    <cfRule type="cellIs" dxfId="310" priority="8" operator="lessThan">
      <formula>0</formula>
    </cfRule>
  </conditionalFormatting>
  <conditionalFormatting sqref="P67:P68">
    <cfRule type="cellIs" dxfId="309" priority="7" operator="lessThan">
      <formula>0</formula>
    </cfRule>
  </conditionalFormatting>
  <conditionalFormatting sqref="P64:P66">
    <cfRule type="cellIs" dxfId="308" priority="6" operator="lessThan">
      <formula>0</formula>
    </cfRule>
  </conditionalFormatting>
  <conditionalFormatting sqref="AH67:AH68">
    <cfRule type="cellIs" dxfId="307" priority="5" operator="lessThan">
      <formula>0</formula>
    </cfRule>
  </conditionalFormatting>
  <conditionalFormatting sqref="AH64:AH66">
    <cfRule type="cellIs" dxfId="306" priority="4" operator="greaterThan">
      <formula>0</formula>
    </cfRule>
  </conditionalFormatting>
  <conditionalFormatting sqref="AX67:AX68">
    <cfRule type="cellIs" dxfId="305" priority="3" operator="lessThan">
      <formula>0</formula>
    </cfRule>
  </conditionalFormatting>
  <conditionalFormatting sqref="AX64:AX66">
    <cfRule type="cellIs" dxfId="304" priority="2" operator="lessThan">
      <formula>0</formula>
    </cfRule>
  </conditionalFormatting>
  <conditionalFormatting sqref="S24:AH24 S21:T23 V21:AH23">
    <cfRule type="cellIs" dxfId="303" priority="1" operator="lessThan">
      <formula>0</formula>
    </cfRule>
  </conditionalFormatting>
  <pageMargins left="0.27559055118110237" right="0.19685039370078741" top="0.74803149606299213" bottom="0.31496062992125984" header="0.31496062992125984" footer="0.31496062992125984"/>
  <pageSetup paperSize="9" scale="7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28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1010</v>
      </c>
      <c r="B3" s="807" t="str">
        <f>+VLOOKUP($A3,data!$A$4:$AH$32,2,0)</f>
        <v>แม่ฮ่องสอน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4577</v>
      </c>
      <c r="C9" s="180">
        <f>+VLOOKUP($A$3,data!$A$4:$AH$32,8,0)/10^6</f>
        <v>0.81217300000000003</v>
      </c>
      <c r="D9" s="181">
        <f>+VLOOKUP($A$3,data!$A$4:$AH$32,9,0)</f>
        <v>0.4802787625403227</v>
      </c>
      <c r="E9" s="180">
        <f>+VLOOKUP($A$3,data!$A$4:$AH$32,10,0)/10^6</f>
        <v>11.82822101</v>
      </c>
      <c r="F9" s="182">
        <f>+E9/C9</f>
        <v>14.563671791601051</v>
      </c>
      <c r="G9" s="179">
        <f>+VLOOKUP($A$3,data!$A$4:$AH$32,23,0)</f>
        <v>4959</v>
      </c>
      <c r="H9" s="180">
        <f>+VLOOKUP($A$3,data!$A$4:$AH$32,24,0)/10^6</f>
        <v>0.82083300000000003</v>
      </c>
      <c r="I9" s="181">
        <f>+VLOOKUP($A$3,data!$A$4:$AH$32,25,0)</f>
        <v>0.47165636204835892</v>
      </c>
      <c r="J9" s="180">
        <f>+VLOOKUP($A$3,data!$A$4:$AH$32,26,0)/10^6</f>
        <v>11.788614089999998</v>
      </c>
      <c r="K9" s="182">
        <f>+J9/H9</f>
        <v>14.361769190566164</v>
      </c>
    </row>
    <row r="10" spans="1:12" ht="26.25" x14ac:dyDescent="0.4">
      <c r="A10" s="187" t="s">
        <v>4</v>
      </c>
      <c r="B10" s="189">
        <f>+B9/B20</f>
        <v>0.72708498808578237</v>
      </c>
      <c r="C10" s="190"/>
      <c r="D10" s="190"/>
      <c r="E10" s="190"/>
      <c r="F10" s="191"/>
      <c r="G10" s="189">
        <f>+G9/G20</f>
        <v>0.76280572219658516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1058</v>
      </c>
      <c r="C13" s="180">
        <f>+VLOOKUP($A$3,data!$A$4:$AH$32,12,0)/10^6</f>
        <v>0.55688499999999996</v>
      </c>
      <c r="D13" s="181">
        <f>+VLOOKUP($A$3,data!$A$4:$AH$32,13,0)</f>
        <v>1.7056593949325021</v>
      </c>
      <c r="E13" s="180">
        <f>+VLOOKUP($A$3,data!$A$4:$AH$32,14,0)/10^6</f>
        <v>11.7280464</v>
      </c>
      <c r="F13" s="182">
        <f>+E13/C13</f>
        <v>21.06008673244925</v>
      </c>
      <c r="G13" s="179">
        <f>+VLOOKUP($A$3,data!$A$4:$AH$32,27,0)</f>
        <v>1071</v>
      </c>
      <c r="H13" s="180">
        <f>+VLOOKUP($A$3,data!$A$4:$AH$32,28,0)/10^6</f>
        <v>0.554477</v>
      </c>
      <c r="I13" s="181">
        <f>+VLOOKUP($A$3,data!$A$4:$AH$32,29,0)</f>
        <v>1.4270691108437301</v>
      </c>
      <c r="J13" s="180">
        <f>+VLOOKUP($A$3,data!$A$4:$AH$32,30,0)/10^6</f>
        <v>11.607636099999999</v>
      </c>
      <c r="K13" s="182">
        <f>+J13/H13</f>
        <v>20.934386998919699</v>
      </c>
    </row>
    <row r="14" spans="1:12" ht="26.25" x14ac:dyDescent="0.4">
      <c r="A14" s="187" t="s">
        <v>29</v>
      </c>
      <c r="B14" s="189">
        <f>+B13/B20</f>
        <v>0.16806989674344719</v>
      </c>
      <c r="C14" s="190"/>
      <c r="D14" s="190"/>
      <c r="E14" s="190"/>
      <c r="F14" s="191"/>
      <c r="G14" s="189">
        <f>+G13/G20</f>
        <v>0.16474388555606831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660</v>
      </c>
      <c r="C17" s="180">
        <f>+VLOOKUP($A$3,data!$A$4:$AH$32,16,0)/10^6</f>
        <v>0.27814299999999997</v>
      </c>
      <c r="D17" s="181">
        <f>+VLOOKUP($A$3,data!$A$4:$AH$32,17,0)</f>
        <v>1.1860476520441341</v>
      </c>
      <c r="E17" s="180">
        <f>+VLOOKUP($A$3,data!$A$4:$AH$32,18,0)/10^6</f>
        <v>7.3050129999999989</v>
      </c>
      <c r="F17" s="182">
        <f>+E17/C17</f>
        <v>26.263515529781444</v>
      </c>
      <c r="G17" s="179">
        <f>+VLOOKUP($A$3,data!$A$4:$AH$32,31,0)</f>
        <v>471</v>
      </c>
      <c r="H17" s="180">
        <f>+VLOOKUP($A$3,data!$A$4:$AH$32,32,0)/10^6</f>
        <v>0.264654</v>
      </c>
      <c r="I17" s="181">
        <f>+VLOOKUP($A$3,data!$A$4:$AH$32,33,0)</f>
        <v>1.2821917808219179</v>
      </c>
      <c r="J17" s="180">
        <f>+VLOOKUP($A$3,data!$A$4:$AH$32,34,0)/10^6</f>
        <v>6.9747502499999996</v>
      </c>
      <c r="K17" s="182">
        <f>+J17/H17</f>
        <v>26.35422192749779</v>
      </c>
    </row>
    <row r="18" spans="1:11" ht="26.25" x14ac:dyDescent="0.4">
      <c r="A18" s="187" t="s">
        <v>30</v>
      </c>
      <c r="B18" s="189">
        <f>+B17/B20</f>
        <v>0.10484511517077046</v>
      </c>
      <c r="C18" s="190"/>
      <c r="D18" s="190"/>
      <c r="E18" s="190"/>
      <c r="F18" s="191"/>
      <c r="G18" s="189">
        <f>+G17/G20</f>
        <v>7.2450392247346562E-2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6295</v>
      </c>
      <c r="C20" s="180">
        <f>+VLOOKUP($A$3,data!$A$4:$AH$32,4,0)/10^6</f>
        <v>1.6472009999999999</v>
      </c>
      <c r="D20" s="181">
        <f>+VLOOKUP($A$3,data!$A$4:$AH$32,5,0)</f>
        <v>0.73142292577873491</v>
      </c>
      <c r="E20" s="180">
        <f>+VLOOKUP($A$3,data!$A$4:$AH$32,6,0)/10^6</f>
        <v>30.861280410000003</v>
      </c>
      <c r="F20" s="182">
        <f>+E20/C20</f>
        <v>18.735588680434265</v>
      </c>
      <c r="G20" s="179">
        <f>+VLOOKUP($A$3,data!$A$4:$AH$32,19,0)</f>
        <v>6501</v>
      </c>
      <c r="H20" s="180">
        <f>+VLOOKUP($A$3,data!$A$4:$AH$32,20,0)/10^6</f>
        <v>1.639964</v>
      </c>
      <c r="I20" s="181">
        <f>+VLOOKUP($A$3,data!$A$4:$AH$32,21,0)</f>
        <v>0.70225883944897161</v>
      </c>
      <c r="J20" s="180">
        <f>+VLOOKUP($A$3,data!$A$4:$AH$32,22,0)/10^6</f>
        <v>30.371000440000007</v>
      </c>
      <c r="K20" s="182">
        <f>+J20/H20</f>
        <v>18.519309228739171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แม่ฮ่องสอน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91"/>
  <sheetViews>
    <sheetView topLeftCell="A160" zoomScale="89" zoomScaleNormal="89" workbookViewId="0">
      <selection activeCell="O268" sqref="O268"/>
    </sheetView>
  </sheetViews>
  <sheetFormatPr defaultRowHeight="14.25" x14ac:dyDescent="0.2"/>
  <cols>
    <col min="2" max="2" width="12.875" bestFit="1" customWidth="1"/>
    <col min="3" max="3" width="11" customWidth="1"/>
    <col min="4" max="4" width="14.625" bestFit="1" customWidth="1"/>
    <col min="5" max="5" width="14" bestFit="1" customWidth="1"/>
    <col min="6" max="6" width="15.625" bestFit="1" customWidth="1"/>
    <col min="7" max="13" width="14" bestFit="1" customWidth="1"/>
    <col min="14" max="14" width="12.75" bestFit="1" customWidth="1"/>
    <col min="15" max="16" width="13.375" bestFit="1" customWidth="1"/>
    <col min="18" max="18" width="13.375" bestFit="1" customWidth="1"/>
    <col min="19" max="19" width="9.625" bestFit="1" customWidth="1"/>
    <col min="20" max="20" width="14.75" customWidth="1"/>
    <col min="21" max="21" width="12.875" bestFit="1" customWidth="1"/>
    <col min="22" max="22" width="15.25" bestFit="1" customWidth="1"/>
    <col min="23" max="23" width="9.625" bestFit="1" customWidth="1"/>
    <col min="24" max="24" width="20.75" bestFit="1" customWidth="1"/>
    <col min="25" max="25" width="12.875" bestFit="1" customWidth="1"/>
    <col min="26" max="26" width="13.375" bestFit="1" customWidth="1"/>
    <col min="27" max="27" width="9.625" bestFit="1" customWidth="1"/>
    <col min="28" max="28" width="12.25" bestFit="1" customWidth="1"/>
    <col min="29" max="29" width="10.625" bestFit="1" customWidth="1"/>
    <col min="30" max="30" width="13.375" bestFit="1" customWidth="1"/>
    <col min="31" max="31" width="11.25" bestFit="1" customWidth="1"/>
    <col min="33" max="33" width="12" bestFit="1" customWidth="1"/>
    <col min="34" max="34" width="12.625" bestFit="1" customWidth="1"/>
    <col min="47" max="47" width="10.625" bestFit="1" customWidth="1"/>
  </cols>
  <sheetData>
    <row r="1" spans="1:34" x14ac:dyDescent="0.2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</row>
    <row r="2" spans="1:34" x14ac:dyDescent="0.2">
      <c r="A2" s="197"/>
      <c r="B2" s="197"/>
      <c r="C2" s="800">
        <v>2559</v>
      </c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800"/>
      <c r="R2" s="800"/>
      <c r="S2" s="800">
        <v>2560</v>
      </c>
      <c r="T2" s="800"/>
      <c r="U2" s="800"/>
      <c r="V2" s="800"/>
      <c r="W2" s="800"/>
      <c r="X2" s="800"/>
      <c r="Y2" s="800"/>
      <c r="Z2" s="800"/>
      <c r="AA2" s="800"/>
      <c r="AB2" s="800"/>
      <c r="AC2" s="800"/>
      <c r="AD2" s="800"/>
      <c r="AE2" s="800"/>
      <c r="AF2" s="800"/>
      <c r="AG2" s="800"/>
      <c r="AH2" s="800"/>
    </row>
    <row r="3" spans="1:34" x14ac:dyDescent="0.2">
      <c r="A3" s="197"/>
      <c r="B3" s="197"/>
      <c r="C3" s="800" t="s">
        <v>21</v>
      </c>
      <c r="D3" s="800"/>
      <c r="E3" s="800"/>
      <c r="F3" s="800"/>
      <c r="G3" s="800" t="s">
        <v>18</v>
      </c>
      <c r="H3" s="800"/>
      <c r="I3" s="800"/>
      <c r="J3" s="800"/>
      <c r="K3" s="800" t="s">
        <v>19</v>
      </c>
      <c r="L3" s="800"/>
      <c r="M3" s="800"/>
      <c r="N3" s="800"/>
      <c r="O3" s="800" t="s">
        <v>20</v>
      </c>
      <c r="P3" s="800"/>
      <c r="Q3" s="800"/>
      <c r="R3" s="800"/>
      <c r="S3" s="800" t="s">
        <v>21</v>
      </c>
      <c r="T3" s="800"/>
      <c r="U3" s="800"/>
      <c r="V3" s="800"/>
      <c r="W3" s="800" t="s">
        <v>18</v>
      </c>
      <c r="X3" s="800"/>
      <c r="Y3" s="800"/>
      <c r="Z3" s="800"/>
      <c r="AA3" s="800" t="s">
        <v>19</v>
      </c>
      <c r="AB3" s="800"/>
      <c r="AC3" s="800"/>
      <c r="AD3" s="800"/>
      <c r="AE3" s="800" t="s">
        <v>20</v>
      </c>
      <c r="AF3" s="800"/>
      <c r="AG3" s="800"/>
      <c r="AH3" s="800"/>
    </row>
    <row r="4" spans="1:34" x14ac:dyDescent="0.2">
      <c r="A4" s="197" t="s">
        <v>40</v>
      </c>
      <c r="B4" s="197" t="s">
        <v>41</v>
      </c>
      <c r="C4" s="197" t="s">
        <v>25</v>
      </c>
      <c r="D4" s="197" t="s">
        <v>37</v>
      </c>
      <c r="E4" s="197" t="s">
        <v>38</v>
      </c>
      <c r="F4" s="197" t="s">
        <v>39</v>
      </c>
      <c r="G4" s="197" t="s">
        <v>25</v>
      </c>
      <c r="H4" s="197" t="s">
        <v>37</v>
      </c>
      <c r="I4" s="197" t="s">
        <v>38</v>
      </c>
      <c r="J4" s="197" t="s">
        <v>39</v>
      </c>
      <c r="K4" s="197" t="s">
        <v>25</v>
      </c>
      <c r="L4" s="197" t="s">
        <v>37</v>
      </c>
      <c r="M4" s="197" t="s">
        <v>38</v>
      </c>
      <c r="N4" s="197" t="s">
        <v>39</v>
      </c>
      <c r="O4" s="197" t="s">
        <v>25</v>
      </c>
      <c r="P4" s="197" t="s">
        <v>37</v>
      </c>
      <c r="Q4" s="197" t="s">
        <v>38</v>
      </c>
      <c r="R4" s="197" t="s">
        <v>39</v>
      </c>
      <c r="S4" s="197" t="s">
        <v>25</v>
      </c>
      <c r="T4" s="197" t="s">
        <v>37</v>
      </c>
      <c r="U4" s="197" t="s">
        <v>38</v>
      </c>
      <c r="V4" s="197" t="s">
        <v>39</v>
      </c>
      <c r="W4" s="197" t="s">
        <v>25</v>
      </c>
      <c r="X4" s="197" t="s">
        <v>37</v>
      </c>
      <c r="Y4" s="197" t="s">
        <v>38</v>
      </c>
      <c r="Z4" s="197" t="s">
        <v>39</v>
      </c>
      <c r="AA4" s="197" t="s">
        <v>25</v>
      </c>
      <c r="AB4" s="197" t="s">
        <v>37</v>
      </c>
      <c r="AC4" s="197" t="s">
        <v>38</v>
      </c>
      <c r="AD4" s="197" t="s">
        <v>39</v>
      </c>
      <c r="AE4" s="197" t="s">
        <v>25</v>
      </c>
      <c r="AF4" s="197" t="s">
        <v>37</v>
      </c>
      <c r="AG4" s="197" t="s">
        <v>38</v>
      </c>
      <c r="AH4" s="197" t="s">
        <v>39</v>
      </c>
    </row>
    <row r="5" spans="1:34" x14ac:dyDescent="0.2">
      <c r="A5" s="197">
        <v>1003</v>
      </c>
      <c r="B5" s="197" t="s">
        <v>42</v>
      </c>
      <c r="C5" s="198">
        <f>+'12m'!E134</f>
        <v>365987</v>
      </c>
      <c r="D5" s="198">
        <f>+'12m'!F134</f>
        <v>90500743</v>
      </c>
      <c r="E5" s="199">
        <f>+'12m'!G134</f>
        <v>0.69454176007409196</v>
      </c>
      <c r="F5" s="198">
        <f>+'12m'!H134</f>
        <v>1697230855.0299997</v>
      </c>
      <c r="G5" s="198">
        <f>+'12m'!K134</f>
        <v>286319</v>
      </c>
      <c r="H5" s="198">
        <f>+'12m'!L134</f>
        <v>48227806</v>
      </c>
      <c r="I5" s="200">
        <f>+'12m'!M134</f>
        <v>0.47321119160548153</v>
      </c>
      <c r="J5" s="198">
        <f>+'12m'!N134</f>
        <v>677530673.28000009</v>
      </c>
      <c r="K5" s="198">
        <f>+'12m'!Q134</f>
        <v>56720</v>
      </c>
      <c r="L5" s="198">
        <f>+'12m'!R134</f>
        <v>24701858</v>
      </c>
      <c r="M5" s="200">
        <f>+'12m'!S134</f>
        <v>1.2328658818925962</v>
      </c>
      <c r="N5" s="198">
        <f>+'12m'!T134</f>
        <v>534085110.81999993</v>
      </c>
      <c r="O5" s="198">
        <f>+'12m'!W134</f>
        <v>22948</v>
      </c>
      <c r="P5" s="198">
        <f>+'12m'!X134</f>
        <v>17571079</v>
      </c>
      <c r="Q5" s="199">
        <f>+'12m'!Y134</f>
        <v>2.1041564117295026</v>
      </c>
      <c r="R5" s="198">
        <f>+'12m'!Z134</f>
        <v>485615061.93000001</v>
      </c>
      <c r="S5" s="197">
        <f>+'12m'!E65</f>
        <v>381757</v>
      </c>
      <c r="T5" s="197">
        <f>+'12m'!F65</f>
        <v>92253820</v>
      </c>
      <c r="U5" s="200">
        <f>+'12m'!G65</f>
        <v>0.67603402175295801</v>
      </c>
      <c r="V5" s="197">
        <f>+'12m'!H65</f>
        <v>1727546065.8300004</v>
      </c>
      <c r="W5" s="197">
        <f>+'12m'!K65</f>
        <v>300481</v>
      </c>
      <c r="X5" s="197">
        <f>+'12m'!L65</f>
        <v>49104734</v>
      </c>
      <c r="Y5" s="200">
        <f>+'12m'!M65</f>
        <v>0.4585327805324444</v>
      </c>
      <c r="Z5" s="197">
        <f>+'12m'!N65</f>
        <v>686292847.74000001</v>
      </c>
      <c r="AA5" s="197">
        <f>+'12m'!Q65</f>
        <v>58596</v>
      </c>
      <c r="AB5" s="197">
        <f>+'12m'!R65</f>
        <v>25588960</v>
      </c>
      <c r="AC5" s="200">
        <f>+'12m'!S65</f>
        <v>1.2159065476781608</v>
      </c>
      <c r="AD5" s="197">
        <f>+'12m'!T65</f>
        <v>555075538.6500001</v>
      </c>
      <c r="AE5" s="197">
        <f>+'12m'!W65</f>
        <v>22680</v>
      </c>
      <c r="AF5" s="197">
        <f>+'12m'!X65</f>
        <v>17560126</v>
      </c>
      <c r="AG5" s="656">
        <f>+'12m'!Y65</f>
        <v>2.1087899643453731</v>
      </c>
      <c r="AH5" s="197">
        <f>+'12m'!Z65</f>
        <v>486177679.44</v>
      </c>
    </row>
    <row r="6" spans="1:34" x14ac:dyDescent="0.2">
      <c r="A6" s="197">
        <v>1004</v>
      </c>
      <c r="B6" s="197" t="s">
        <v>43</v>
      </c>
      <c r="C6" s="198">
        <f>+'12m'!E106</f>
        <v>105437</v>
      </c>
      <c r="D6" s="198">
        <f>+'12m'!F106</f>
        <v>33217619</v>
      </c>
      <c r="E6" s="199">
        <f>+'12m'!G106</f>
        <v>0.88596034269812807</v>
      </c>
      <c r="F6" s="198">
        <f>+'12m'!H106</f>
        <v>677192630.48000002</v>
      </c>
      <c r="G6" s="198">
        <f>+'12m'!K106</f>
        <v>79037</v>
      </c>
      <c r="H6" s="198">
        <f>+'12m'!L106</f>
        <v>15374689</v>
      </c>
      <c r="I6" s="200">
        <f>+'12m'!M106</f>
        <v>0.54713343875873821</v>
      </c>
      <c r="J6" s="198">
        <f>+'12m'!N106</f>
        <v>226278898.27999997</v>
      </c>
      <c r="K6" s="198">
        <f>+'12m'!Q106</f>
        <v>17259</v>
      </c>
      <c r="L6" s="198">
        <f>+'12m'!R106</f>
        <v>8314599</v>
      </c>
      <c r="M6" s="200">
        <f>+'12m'!S106</f>
        <v>1.3629942731808311</v>
      </c>
      <c r="N6" s="198">
        <f>+'12m'!T106</f>
        <v>184372081.21999997</v>
      </c>
      <c r="O6" s="198">
        <f>+'12m'!W106</f>
        <v>9141</v>
      </c>
      <c r="P6" s="198">
        <f>+'12m'!X106</f>
        <v>9528331</v>
      </c>
      <c r="Q6" s="199">
        <f>+'12m'!Y106</f>
        <v>2.8938051699762957</v>
      </c>
      <c r="R6" s="198">
        <f>+'12m'!Z106</f>
        <v>266541650.98000002</v>
      </c>
      <c r="S6" s="197">
        <f>+'12m'!E37</f>
        <v>110463</v>
      </c>
      <c r="T6" s="197">
        <f>+'12m'!F37</f>
        <v>33888355</v>
      </c>
      <c r="U6" s="200">
        <f>+'12m'!G37</f>
        <v>0.86007233181267329</v>
      </c>
      <c r="V6" s="197">
        <f>+'12m'!H37</f>
        <v>689312889.37</v>
      </c>
      <c r="W6" s="197">
        <f>+'12m'!K37</f>
        <v>83393</v>
      </c>
      <c r="X6" s="197">
        <f>+'12m'!L37</f>
        <v>15691810</v>
      </c>
      <c r="Y6" s="200">
        <f>+'12m'!M37</f>
        <v>0.52935123159481134</v>
      </c>
      <c r="Z6" s="197">
        <f>+'12m'!N37</f>
        <v>229998015.13999999</v>
      </c>
      <c r="AA6" s="197">
        <f>+'12m'!Q37</f>
        <v>17957</v>
      </c>
      <c r="AB6" s="197">
        <f>+'12m'!R37</f>
        <v>8707727</v>
      </c>
      <c r="AC6" s="200">
        <f>+'12m'!S37</f>
        <v>1.3548833655934724</v>
      </c>
      <c r="AD6" s="197">
        <f>+'12m'!T37</f>
        <v>193650710.84000003</v>
      </c>
      <c r="AE6" s="197">
        <f>+'12m'!W37</f>
        <v>9113</v>
      </c>
      <c r="AF6" s="197">
        <f>+'12m'!X37</f>
        <v>9488818</v>
      </c>
      <c r="AG6" s="656">
        <f>+'12m'!Y37</f>
        <v>2.8483358873491418</v>
      </c>
      <c r="AH6" s="197">
        <f>+'12m'!Z37</f>
        <v>265664163.39000002</v>
      </c>
    </row>
    <row r="7" spans="1:34" x14ac:dyDescent="0.2">
      <c r="A7" s="197">
        <v>1005</v>
      </c>
      <c r="B7" s="197" t="s">
        <v>44</v>
      </c>
      <c r="C7" s="198">
        <f>+'12m'!E107</f>
        <v>2957</v>
      </c>
      <c r="D7" s="198">
        <f>+'12m'!F107</f>
        <v>612945</v>
      </c>
      <c r="E7" s="199">
        <f>+'12m'!G107</f>
        <v>0.58390172804694496</v>
      </c>
      <c r="F7" s="198">
        <f>+'12m'!H107</f>
        <v>10172368.229999999</v>
      </c>
      <c r="G7" s="198">
        <f>+'12m'!K107</f>
        <v>2434</v>
      </c>
      <c r="H7" s="198">
        <f>+'12m'!L107</f>
        <v>405299</v>
      </c>
      <c r="I7" s="200">
        <f>+'12m'!M107</f>
        <v>0.47031267224823475</v>
      </c>
      <c r="J7" s="198">
        <f>+'12m'!N107</f>
        <v>5617056.6799999997</v>
      </c>
      <c r="K7" s="198">
        <f>+'12m'!Q107</f>
        <v>398</v>
      </c>
      <c r="L7" s="198">
        <f>+'12m'!R107</f>
        <v>151511</v>
      </c>
      <c r="M7" s="200">
        <f>+'12m'!S107</f>
        <v>1.0508826079417375</v>
      </c>
      <c r="N7" s="198">
        <f>+'12m'!T107</f>
        <v>3121256.6500000004</v>
      </c>
      <c r="O7" s="198">
        <f>+'12m'!W107</f>
        <v>125</v>
      </c>
      <c r="P7" s="198">
        <f>+'12m'!X107</f>
        <v>56135</v>
      </c>
      <c r="Q7" s="199">
        <f>+'12m'!Y107</f>
        <v>1.2816210045662102</v>
      </c>
      <c r="R7" s="198">
        <f>+'12m'!Z107</f>
        <v>1434054.9</v>
      </c>
      <c r="S7" s="197">
        <f>+'12m'!E38</f>
        <v>3087</v>
      </c>
      <c r="T7" s="197">
        <f>+'12m'!F38</f>
        <v>611769</v>
      </c>
      <c r="U7" s="200">
        <f>+'12m'!G38</f>
        <v>0.5546258941279929</v>
      </c>
      <c r="V7" s="197">
        <f>+'12m'!H38</f>
        <v>10103752.739999998</v>
      </c>
      <c r="W7" s="197">
        <f>+'12m'!K38</f>
        <v>2522</v>
      </c>
      <c r="X7" s="197">
        <f>+'12m'!L38</f>
        <v>397552</v>
      </c>
      <c r="Y7" s="200">
        <f>+'12m'!M38</f>
        <v>0.43954138887967542</v>
      </c>
      <c r="Z7" s="197">
        <f>+'12m'!N38</f>
        <v>5424457.29</v>
      </c>
      <c r="AA7" s="197">
        <f>+'12m'!Q38</f>
        <v>437</v>
      </c>
      <c r="AB7" s="197">
        <f>+'12m'!R38</f>
        <v>156046</v>
      </c>
      <c r="AC7" s="200">
        <f>+'12m'!S38</f>
        <v>1.0240078746616357</v>
      </c>
      <c r="AD7" s="197">
        <f>+'12m'!T38</f>
        <v>3212227.9</v>
      </c>
      <c r="AE7" s="197">
        <f>+'12m'!W38</f>
        <v>128</v>
      </c>
      <c r="AF7" s="197">
        <f>+'12m'!X38</f>
        <v>58171</v>
      </c>
      <c r="AG7" s="656">
        <f>+'12m'!Y38</f>
        <v>1.2598624722507987</v>
      </c>
      <c r="AH7" s="197">
        <f>+'12m'!Z38</f>
        <v>1467067.55</v>
      </c>
    </row>
    <row r="8" spans="1:34" x14ac:dyDescent="0.2">
      <c r="A8" s="197">
        <v>1006</v>
      </c>
      <c r="B8" s="197" t="s">
        <v>45</v>
      </c>
      <c r="C8" s="198">
        <f>+'12m'!E108</f>
        <v>15188</v>
      </c>
      <c r="D8" s="198">
        <f>+'12m'!F108</f>
        <v>2771625</v>
      </c>
      <c r="E8" s="199">
        <f>+'12m'!G108</f>
        <v>0.52103013247460761</v>
      </c>
      <c r="F8" s="198">
        <f>+'12m'!H108</f>
        <v>45478742.550000004</v>
      </c>
      <c r="G8" s="198">
        <f>+'12m'!K108</f>
        <v>12902</v>
      </c>
      <c r="H8" s="198">
        <f>+'12m'!L108</f>
        <v>2031492</v>
      </c>
      <c r="I8" s="200">
        <f>+'12m'!M108</f>
        <v>0.45092210215096129</v>
      </c>
      <c r="J8" s="198">
        <f>+'12m'!N108</f>
        <v>27965824.299999997</v>
      </c>
      <c r="K8" s="198">
        <f>+'12m'!Q108</f>
        <v>1624</v>
      </c>
      <c r="L8" s="198">
        <f>+'12m'!R108</f>
        <v>432083</v>
      </c>
      <c r="M8" s="200">
        <f>+'12m'!S108</f>
        <v>0.75472683525399453</v>
      </c>
      <c r="N8" s="198">
        <f>+'12m'!T108</f>
        <v>8877271.0500000007</v>
      </c>
      <c r="O8" s="198">
        <f>+'12m'!W108</f>
        <v>662</v>
      </c>
      <c r="P8" s="198">
        <f>+'12m'!X108</f>
        <v>308050</v>
      </c>
      <c r="Q8" s="199">
        <f>+'12m'!Y108</f>
        <v>1.2739209097958129</v>
      </c>
      <c r="R8" s="198">
        <f>+'12m'!Z108</f>
        <v>8635647.1999999993</v>
      </c>
      <c r="S8" s="197">
        <f>+'12m'!E39</f>
        <v>16182</v>
      </c>
      <c r="T8" s="197">
        <f>+'12m'!F39</f>
        <v>2826951</v>
      </c>
      <c r="U8" s="200">
        <f>+'12m'!G39</f>
        <v>0.49378841140431706</v>
      </c>
      <c r="V8" s="197">
        <f>+'12m'!H39</f>
        <v>46003740.469999999</v>
      </c>
      <c r="W8" s="197">
        <f>+'12m'!K39</f>
        <v>13852</v>
      </c>
      <c r="X8" s="197">
        <f>+'12m'!L39</f>
        <v>2075418</v>
      </c>
      <c r="Y8" s="200">
        <f>+'12m'!M39</f>
        <v>0.42506366990571631</v>
      </c>
      <c r="Z8" s="197">
        <f>+'12m'!N39</f>
        <v>28170469.659999996</v>
      </c>
      <c r="AA8" s="197">
        <f>+'12m'!Q39</f>
        <v>1681</v>
      </c>
      <c r="AB8" s="197">
        <f>+'12m'!R39</f>
        <v>437814</v>
      </c>
      <c r="AC8" s="200">
        <f>+'12m'!S39</f>
        <v>0.72586409135183316</v>
      </c>
      <c r="AD8" s="197">
        <f>+'12m'!T39</f>
        <v>9038216.4600000009</v>
      </c>
      <c r="AE8" s="197">
        <f>+'12m'!W39</f>
        <v>649</v>
      </c>
      <c r="AF8" s="197">
        <f>+'12m'!X39</f>
        <v>313719</v>
      </c>
      <c r="AG8" s="656">
        <f>+'12m'!Y39</f>
        <v>1.3112190840412525</v>
      </c>
      <c r="AH8" s="197">
        <f>+'12m'!Z39</f>
        <v>8795054.3500000015</v>
      </c>
    </row>
    <row r="9" spans="1:34" x14ac:dyDescent="0.2">
      <c r="A9" s="197">
        <v>1007</v>
      </c>
      <c r="B9" s="197" t="s">
        <v>46</v>
      </c>
      <c r="C9" s="198">
        <f>+'12m'!E109</f>
        <v>18755</v>
      </c>
      <c r="D9" s="198">
        <f>+'12m'!F109</f>
        <v>4969943</v>
      </c>
      <c r="E9" s="199">
        <f>+'12m'!G109</f>
        <v>0.7473671547165498</v>
      </c>
      <c r="F9" s="198">
        <f>+'12m'!H109</f>
        <v>89263267.020000011</v>
      </c>
      <c r="G9" s="198">
        <f>+'12m'!K109</f>
        <v>16611</v>
      </c>
      <c r="H9" s="198">
        <f>+'12m'!L109</f>
        <v>2905471</v>
      </c>
      <c r="I9" s="200">
        <f>+'12m'!M109</f>
        <v>0.49155208846164905</v>
      </c>
      <c r="J9" s="198">
        <f>+'12m'!N109</f>
        <v>39092777.030000001</v>
      </c>
      <c r="K9" s="198">
        <f>+'12m'!Q109</f>
        <v>1595</v>
      </c>
      <c r="L9" s="198">
        <f>+'12m'!R109</f>
        <v>1389943</v>
      </c>
      <c r="M9" s="200">
        <f>+'12m'!S109</f>
        <v>2.5548896435415163</v>
      </c>
      <c r="N9" s="198">
        <f>+'12m'!T109</f>
        <v>31280446.289999999</v>
      </c>
      <c r="O9" s="198">
        <f>+'12m'!W109</f>
        <v>549</v>
      </c>
      <c r="P9" s="198">
        <f>+'12m'!X109</f>
        <v>674529</v>
      </c>
      <c r="Q9" s="199">
        <f>+'12m'!Y109</f>
        <v>3.4574829888386276</v>
      </c>
      <c r="R9" s="198">
        <f>+'12m'!Z109</f>
        <v>18890034.699999999</v>
      </c>
      <c r="S9" s="197">
        <f>+'12m'!E40</f>
        <v>19702</v>
      </c>
      <c r="T9" s="197">
        <f>+'12m'!F40</f>
        <v>5165730</v>
      </c>
      <c r="U9" s="200">
        <f>+'12m'!G40</f>
        <v>0.73602646756152845</v>
      </c>
      <c r="V9" s="197">
        <f>+'12m'!H40</f>
        <v>93120514.329999983</v>
      </c>
      <c r="W9" s="197">
        <f>+'12m'!K40</f>
        <v>17495</v>
      </c>
      <c r="X9" s="197">
        <f>+'12m'!L40</f>
        <v>3004205</v>
      </c>
      <c r="Y9" s="200">
        <f>+'12m'!M40</f>
        <v>0.48265399813153026</v>
      </c>
      <c r="Z9" s="197">
        <f>+'12m'!N40</f>
        <v>40213662.490000002</v>
      </c>
      <c r="AA9" s="197">
        <f>+'12m'!Q40</f>
        <v>1653</v>
      </c>
      <c r="AB9" s="197">
        <f>+'12m'!R40</f>
        <v>1458991</v>
      </c>
      <c r="AC9" s="200">
        <f>+'12m'!S40</f>
        <v>2.4613519805654902</v>
      </c>
      <c r="AD9" s="197">
        <f>+'12m'!T40</f>
        <v>33011077.860000003</v>
      </c>
      <c r="AE9" s="197">
        <f>+'12m'!W40</f>
        <v>554</v>
      </c>
      <c r="AF9" s="197">
        <f>+'12m'!X40</f>
        <v>702534</v>
      </c>
      <c r="AG9" s="656">
        <f>+'12m'!Y40</f>
        <v>3.4900284404923059</v>
      </c>
      <c r="AH9" s="197">
        <f>+'12m'!Z40</f>
        <v>19895773.98</v>
      </c>
    </row>
    <row r="10" spans="1:34" x14ac:dyDescent="0.2">
      <c r="A10" s="197">
        <v>1008</v>
      </c>
      <c r="B10" s="197" t="s">
        <v>47</v>
      </c>
      <c r="C10" s="198">
        <f>+'12m'!E110</f>
        <v>4939</v>
      </c>
      <c r="D10" s="198">
        <f>+'12m'!F110</f>
        <v>1273760</v>
      </c>
      <c r="E10" s="199">
        <f>+'12m'!G110</f>
        <v>0.72938727655084845</v>
      </c>
      <c r="F10" s="198">
        <f>+'12m'!H110</f>
        <v>23908236.479999997</v>
      </c>
      <c r="G10" s="198">
        <f>+'12m'!K110</f>
        <v>3510</v>
      </c>
      <c r="H10" s="198">
        <f>+'12m'!L110</f>
        <v>525549</v>
      </c>
      <c r="I10" s="200">
        <f>+'12m'!M110</f>
        <v>0.4217516912632111</v>
      </c>
      <c r="J10" s="198">
        <f>+'12m'!N110</f>
        <v>7380494.3799999999</v>
      </c>
      <c r="K10" s="198">
        <f>+'12m'!Q110</f>
        <v>1227</v>
      </c>
      <c r="L10" s="198">
        <f>+'12m'!R110</f>
        <v>659519</v>
      </c>
      <c r="M10" s="200">
        <f>+'12m'!S110</f>
        <v>1.5423827314238274</v>
      </c>
      <c r="N10" s="198">
        <f>+'12m'!T110</f>
        <v>14151000.15</v>
      </c>
      <c r="O10" s="198">
        <f>+'12m'!W110</f>
        <v>202</v>
      </c>
      <c r="P10" s="198">
        <f>+'12m'!X110</f>
        <v>88692</v>
      </c>
      <c r="Q10" s="199">
        <f>+'12m'!Y110</f>
        <v>1.221064225235768</v>
      </c>
      <c r="R10" s="198">
        <f>+'12m'!Z110</f>
        <v>2376741.9500000002</v>
      </c>
      <c r="S10" s="197">
        <f>+'12m'!E41</f>
        <v>5137</v>
      </c>
      <c r="T10" s="197">
        <f>+'12m'!F41</f>
        <v>1363928</v>
      </c>
      <c r="U10" s="200">
        <f>+'12m'!G41</f>
        <v>0.74172073066611555</v>
      </c>
      <c r="V10" s="197">
        <f>+'12m'!H41</f>
        <v>26047720.780000001</v>
      </c>
      <c r="W10" s="197">
        <f>+'12m'!K41</f>
        <v>3622</v>
      </c>
      <c r="X10" s="197">
        <f>+'12m'!L41</f>
        <v>507215</v>
      </c>
      <c r="Y10" s="200">
        <f>+'12m'!M41</f>
        <v>0.389688765279389</v>
      </c>
      <c r="Z10" s="197">
        <f>+'12m'!N41</f>
        <v>7024575.8600000003</v>
      </c>
      <c r="AA10" s="197">
        <f>+'12m'!Q41</f>
        <v>1309</v>
      </c>
      <c r="AB10" s="197">
        <f>+'12m'!R41</f>
        <v>758678</v>
      </c>
      <c r="AC10" s="200">
        <f>+'12m'!S41</f>
        <v>1.6392506806101723</v>
      </c>
      <c r="AD10" s="197">
        <f>+'12m'!T41</f>
        <v>16353979.970000001</v>
      </c>
      <c r="AE10" s="197">
        <f>+'12m'!W41</f>
        <v>206</v>
      </c>
      <c r="AF10" s="197">
        <f>+'12m'!X41</f>
        <v>98035</v>
      </c>
      <c r="AG10" s="656">
        <f>+'12m'!Y41</f>
        <v>1.3166129465484824</v>
      </c>
      <c r="AH10" s="197">
        <f>+'12m'!Z41</f>
        <v>2669164.9500000002</v>
      </c>
    </row>
    <row r="11" spans="1:34" x14ac:dyDescent="0.2">
      <c r="A11" s="197">
        <v>1009</v>
      </c>
      <c r="B11" s="197" t="s">
        <v>48</v>
      </c>
      <c r="C11" s="198">
        <f>+'12m'!E111</f>
        <v>5119</v>
      </c>
      <c r="D11" s="198">
        <f>+'12m'!F111</f>
        <v>1229926</v>
      </c>
      <c r="E11" s="199">
        <f>+'12m'!G111</f>
        <v>0.68177243782956043</v>
      </c>
      <c r="F11" s="198">
        <f>+'12m'!H111</f>
        <v>23242375.959999997</v>
      </c>
      <c r="G11" s="198">
        <f>+'12m'!K111</f>
        <v>3420</v>
      </c>
      <c r="H11" s="198">
        <f>+'12m'!L111</f>
        <v>529600</v>
      </c>
      <c r="I11" s="200">
        <f>+'12m'!M111</f>
        <v>0.43286363487756235</v>
      </c>
      <c r="J11" s="198">
        <f>+'12m'!N111</f>
        <v>7324702.4099999992</v>
      </c>
      <c r="K11" s="198">
        <f>+'12m'!Q111</f>
        <v>1404</v>
      </c>
      <c r="L11" s="198">
        <f>+'12m'!R111</f>
        <v>522930</v>
      </c>
      <c r="M11" s="200">
        <f>+'12m'!S111</f>
        <v>1.105466768138001</v>
      </c>
      <c r="N11" s="198">
        <f>+'12m'!T111</f>
        <v>11118071.75</v>
      </c>
      <c r="O11" s="198">
        <f>+'12m'!W111</f>
        <v>295</v>
      </c>
      <c r="P11" s="198">
        <f>+'12m'!X111</f>
        <v>177396</v>
      </c>
      <c r="Q11" s="199">
        <f>+'12m'!Y111</f>
        <v>1.6503104867781475</v>
      </c>
      <c r="R11" s="198">
        <f>+'12m'!Z111</f>
        <v>4799601.8</v>
      </c>
      <c r="S11" s="197">
        <f>+'12m'!E42</f>
        <v>5310</v>
      </c>
      <c r="T11" s="197">
        <f>+'12m'!F42</f>
        <v>1232951</v>
      </c>
      <c r="U11" s="200">
        <f>+'12m'!G42</f>
        <v>0.64779901144989538</v>
      </c>
      <c r="V11" s="197">
        <f>+'12m'!H42</f>
        <v>23460493.550000001</v>
      </c>
      <c r="W11" s="197">
        <f>+'12m'!K42</f>
        <v>3634</v>
      </c>
      <c r="X11" s="197">
        <f>+'12m'!L42</f>
        <v>499761</v>
      </c>
      <c r="Y11" s="200">
        <f>+'12m'!M42</f>
        <v>0.38820760396316484</v>
      </c>
      <c r="Z11" s="197">
        <f>+'12m'!N42</f>
        <v>6723065.75</v>
      </c>
      <c r="AA11" s="197">
        <f>+'12m'!Q42</f>
        <v>1383</v>
      </c>
      <c r="AB11" s="197">
        <f>+'12m'!R42</f>
        <v>580911</v>
      </c>
      <c r="AC11" s="200">
        <f>+'12m'!S42</f>
        <v>1.1421148089712019</v>
      </c>
      <c r="AD11" s="197">
        <f>+'12m'!T42</f>
        <v>12662266.449999999</v>
      </c>
      <c r="AE11" s="197">
        <f>+'12m'!W42</f>
        <v>293</v>
      </c>
      <c r="AF11" s="197">
        <f>+'12m'!X42</f>
        <v>152279</v>
      </c>
      <c r="AG11" s="656">
        <f>+'12m'!Y42</f>
        <v>1.4190569378436306</v>
      </c>
      <c r="AH11" s="197">
        <f>+'12m'!Z42</f>
        <v>4075161.3499999996</v>
      </c>
    </row>
    <row r="12" spans="1:34" x14ac:dyDescent="0.2">
      <c r="A12" s="197">
        <v>1010</v>
      </c>
      <c r="B12" s="197" t="s">
        <v>49</v>
      </c>
      <c r="C12" s="198">
        <f>+'12m'!E113</f>
        <v>6295</v>
      </c>
      <c r="D12" s="198">
        <f>+'12m'!F113</f>
        <v>1647201</v>
      </c>
      <c r="E12" s="199">
        <f>+'12m'!G113</f>
        <v>0.73142292577873491</v>
      </c>
      <c r="F12" s="198">
        <f>+'12m'!H113</f>
        <v>30861280.410000004</v>
      </c>
      <c r="G12" s="198">
        <f>+'12m'!K113</f>
        <v>4577</v>
      </c>
      <c r="H12" s="198">
        <f>+'12m'!L113</f>
        <v>812173</v>
      </c>
      <c r="I12" s="200">
        <f>+'12m'!M113</f>
        <v>0.4802787625403227</v>
      </c>
      <c r="J12" s="198">
        <f>+'12m'!N113</f>
        <v>11828221.01</v>
      </c>
      <c r="K12" s="198">
        <f>+'12m'!Q113</f>
        <v>1058</v>
      </c>
      <c r="L12" s="198">
        <f>+'12m'!R113</f>
        <v>556885</v>
      </c>
      <c r="M12" s="200">
        <f>+'12m'!S113</f>
        <v>1.7056593949325021</v>
      </c>
      <c r="N12" s="198">
        <f>+'12m'!T113</f>
        <v>11728046.4</v>
      </c>
      <c r="O12" s="198">
        <f>+'12m'!W113</f>
        <v>660</v>
      </c>
      <c r="P12" s="198">
        <f>+'12m'!X113</f>
        <v>278143</v>
      </c>
      <c r="Q12" s="199">
        <f>+'12m'!Y113</f>
        <v>1.1860476520441341</v>
      </c>
      <c r="R12" s="198">
        <f>+'12m'!Z113</f>
        <v>7305012.9999999991</v>
      </c>
      <c r="S12" s="197">
        <f>+'12m'!E44</f>
        <v>6501</v>
      </c>
      <c r="T12" s="197">
        <f>+'12m'!F44</f>
        <v>1639964</v>
      </c>
      <c r="U12" s="200">
        <f>+'12m'!G44</f>
        <v>0.70225883944897161</v>
      </c>
      <c r="V12" s="197">
        <f>+'12m'!H44</f>
        <v>30371000.440000005</v>
      </c>
      <c r="W12" s="197">
        <f>+'12m'!K44</f>
        <v>4959</v>
      </c>
      <c r="X12" s="197">
        <f>+'12m'!L44</f>
        <v>820833</v>
      </c>
      <c r="Y12" s="200">
        <f>+'12m'!M44</f>
        <v>0.47165636204835892</v>
      </c>
      <c r="Z12" s="197">
        <f>+'12m'!N44</f>
        <v>11788614.089999998</v>
      </c>
      <c r="AA12" s="197">
        <f>+'12m'!Q44</f>
        <v>1071</v>
      </c>
      <c r="AB12" s="197">
        <f>+'12m'!R44</f>
        <v>554477</v>
      </c>
      <c r="AC12" s="200">
        <f>+'12m'!S44</f>
        <v>1.4270691108437301</v>
      </c>
      <c r="AD12" s="197">
        <f>+'12m'!T44</f>
        <v>11607636.1</v>
      </c>
      <c r="AE12" s="197">
        <f>+'12m'!W44</f>
        <v>471</v>
      </c>
      <c r="AF12" s="197">
        <f>+'12m'!X44</f>
        <v>264654</v>
      </c>
      <c r="AG12" s="656">
        <f>+'12m'!Y44</f>
        <v>1.2821917808219179</v>
      </c>
      <c r="AH12" s="197">
        <f>+'12m'!Z44</f>
        <v>6974750.25</v>
      </c>
    </row>
    <row r="13" spans="1:34" x14ac:dyDescent="0.2">
      <c r="A13" s="197">
        <v>1011</v>
      </c>
      <c r="B13" s="197" t="s">
        <v>50</v>
      </c>
      <c r="C13" s="198">
        <f>+'12m'!E114</f>
        <v>5285</v>
      </c>
      <c r="D13" s="198">
        <f>+'12m'!F114</f>
        <v>1089489</v>
      </c>
      <c r="E13" s="199">
        <f>+'12m'!G114</f>
        <v>0.57701553641272252</v>
      </c>
      <c r="F13" s="198">
        <f>+'12m'!H114</f>
        <v>18751420.840000004</v>
      </c>
      <c r="G13" s="198">
        <f>+'12m'!K114</f>
        <v>4257</v>
      </c>
      <c r="H13" s="198">
        <f>+'12m'!L114</f>
        <v>659061</v>
      </c>
      <c r="I13" s="200">
        <f>+'12m'!M114</f>
        <v>0.43058222853045569</v>
      </c>
      <c r="J13" s="198">
        <f>+'12m'!N114</f>
        <v>9074219.5399999991</v>
      </c>
      <c r="K13" s="198">
        <f>+'12m'!Q114</f>
        <v>767</v>
      </c>
      <c r="L13" s="198">
        <f>+'12m'!R114</f>
        <v>293589</v>
      </c>
      <c r="M13" s="200">
        <f>+'12m'!S114</f>
        <v>1.1079248273519755</v>
      </c>
      <c r="N13" s="198">
        <f>+'12m'!T114</f>
        <v>6031543.2000000002</v>
      </c>
      <c r="O13" s="198">
        <f>+'12m'!W114</f>
        <v>261</v>
      </c>
      <c r="P13" s="198">
        <f>+'12m'!X114</f>
        <v>136839</v>
      </c>
      <c r="Q13" s="199">
        <f>+'12m'!Y114</f>
        <v>1.4789008673097186</v>
      </c>
      <c r="R13" s="198">
        <f>+'12m'!Z114</f>
        <v>3645658.1</v>
      </c>
      <c r="S13" s="197">
        <f>+'12m'!E45</f>
        <v>5509</v>
      </c>
      <c r="T13" s="197">
        <f>+'12m'!F45</f>
        <v>1098371</v>
      </c>
      <c r="U13" s="200">
        <f>+'12m'!G45</f>
        <v>0.55757561912884124</v>
      </c>
      <c r="V13" s="197">
        <f>+'12m'!H45</f>
        <v>18797381.800000001</v>
      </c>
      <c r="W13" s="197">
        <f>+'12m'!K45</f>
        <v>4456</v>
      </c>
      <c r="X13" s="197">
        <f>+'12m'!L45</f>
        <v>672694</v>
      </c>
      <c r="Y13" s="200">
        <f>+'12m'!M45</f>
        <v>0.42304539430138244</v>
      </c>
      <c r="Z13" s="197">
        <f>+'12m'!N45</f>
        <v>9213210.3999999985</v>
      </c>
      <c r="AA13" s="197">
        <f>+'12m'!Q45</f>
        <v>798</v>
      </c>
      <c r="AB13" s="197">
        <f>+'12m'!R45</f>
        <v>286267</v>
      </c>
      <c r="AC13" s="200">
        <f>+'12m'!S45</f>
        <v>1.0022915663705196</v>
      </c>
      <c r="AD13" s="197">
        <f>+'12m'!T45</f>
        <v>5870298.75</v>
      </c>
      <c r="AE13" s="197">
        <f>+'12m'!W45</f>
        <v>255</v>
      </c>
      <c r="AF13" s="197">
        <f>+'12m'!X45</f>
        <v>139410</v>
      </c>
      <c r="AG13" s="656">
        <f>+'12m'!Y45</f>
        <v>1.4804077731761709</v>
      </c>
      <c r="AH13" s="197">
        <f>+'12m'!Z45</f>
        <v>3713872.65</v>
      </c>
    </row>
    <row r="14" spans="1:34" x14ac:dyDescent="0.2">
      <c r="A14" s="197">
        <v>1012</v>
      </c>
      <c r="B14" s="197" t="s">
        <v>51</v>
      </c>
      <c r="C14" s="198">
        <f>+'12m'!E115</f>
        <v>15417</v>
      </c>
      <c r="D14" s="198">
        <f>+'12m'!F115</f>
        <v>3360206</v>
      </c>
      <c r="E14" s="199">
        <f>+'12m'!G115</f>
        <v>0.61439160675496785</v>
      </c>
      <c r="F14" s="198">
        <f>+'12m'!H115</f>
        <v>59661179.159999996</v>
      </c>
      <c r="G14" s="198">
        <f>+'12m'!K115</f>
        <v>12392</v>
      </c>
      <c r="H14" s="198">
        <f>+'12m'!L115</f>
        <v>2042957</v>
      </c>
      <c r="I14" s="200">
        <f>+'12m'!M115</f>
        <v>0.4678906972416656</v>
      </c>
      <c r="J14" s="198">
        <f>+'12m'!N115</f>
        <v>28540527.260000005</v>
      </c>
      <c r="K14" s="198">
        <f>+'12m'!Q115</f>
        <v>2314</v>
      </c>
      <c r="L14" s="198">
        <f>+'12m'!R115</f>
        <v>877367</v>
      </c>
      <c r="M14" s="200">
        <f>+'12m'!S115</f>
        <v>1.0524278482834728</v>
      </c>
      <c r="N14" s="198">
        <f>+'12m'!T115</f>
        <v>18840500.899999999</v>
      </c>
      <c r="O14" s="198">
        <f>+'12m'!W115</f>
        <v>711</v>
      </c>
      <c r="P14" s="198">
        <f>+'12m'!X115</f>
        <v>439882</v>
      </c>
      <c r="Q14" s="199">
        <f>+'12m'!Y115</f>
        <v>1.6341100534014397</v>
      </c>
      <c r="R14" s="198">
        <f>+'12m'!Z115</f>
        <v>12280150.999999998</v>
      </c>
      <c r="S14" s="197">
        <f>+'12m'!E46</f>
        <v>15883</v>
      </c>
      <c r="T14" s="197">
        <f>+'12m'!F46</f>
        <v>3470767</v>
      </c>
      <c r="U14" s="200">
        <f>+'12m'!G46</f>
        <v>0.60760068274322732</v>
      </c>
      <c r="V14" s="197">
        <f>+'12m'!H46</f>
        <v>62121532.589999996</v>
      </c>
      <c r="W14" s="197">
        <f>+'12m'!K46</f>
        <v>12878</v>
      </c>
      <c r="X14" s="197">
        <f>+'12m'!L46</f>
        <v>2053506</v>
      </c>
      <c r="Y14" s="200">
        <f>+'12m'!M46</f>
        <v>0.44527454179789772</v>
      </c>
      <c r="Z14" s="197">
        <f>+'12m'!N46</f>
        <v>28384496.990000002</v>
      </c>
      <c r="AA14" s="197">
        <f>+'12m'!Q46</f>
        <v>2291</v>
      </c>
      <c r="AB14" s="197">
        <f>+'12m'!R46</f>
        <v>931059</v>
      </c>
      <c r="AC14" s="200">
        <f>+'12m'!S46</f>
        <v>1.1078595332649146</v>
      </c>
      <c r="AD14" s="197">
        <f>+'12m'!T46</f>
        <v>20099567.59</v>
      </c>
      <c r="AE14" s="197">
        <f>+'12m'!W46</f>
        <v>714</v>
      </c>
      <c r="AF14" s="197">
        <f>+'12m'!X46</f>
        <v>486202</v>
      </c>
      <c r="AG14" s="656">
        <f>+'12m'!Y46</f>
        <v>1.8695582792597933</v>
      </c>
      <c r="AH14" s="197">
        <f>+'12m'!Z46</f>
        <v>13637468.01</v>
      </c>
    </row>
    <row r="15" spans="1:34" x14ac:dyDescent="0.2">
      <c r="A15" s="197">
        <v>1013</v>
      </c>
      <c r="B15" s="197" t="s">
        <v>52</v>
      </c>
      <c r="C15" s="198">
        <f>+'12m'!E116</f>
        <v>1069</v>
      </c>
      <c r="D15" s="198">
        <f>+'12m'!F116</f>
        <v>192925</v>
      </c>
      <c r="E15" s="199">
        <f>+'12m'!G116</f>
        <v>0.51769015067151458</v>
      </c>
      <c r="F15" s="198">
        <f>+'12m'!H116</f>
        <v>3529279.3100000005</v>
      </c>
      <c r="G15" s="198">
        <f>+'12m'!K116</f>
        <v>806</v>
      </c>
      <c r="H15" s="198">
        <f>+'12m'!L116</f>
        <v>106973</v>
      </c>
      <c r="I15" s="200">
        <f>+'12m'!M116</f>
        <v>0.37549867050450625</v>
      </c>
      <c r="J15" s="198">
        <f>+'12m'!N116</f>
        <v>1438009.66</v>
      </c>
      <c r="K15" s="198">
        <f>+'12m'!Q116</f>
        <v>190</v>
      </c>
      <c r="L15" s="198">
        <f>+'12m'!R116</f>
        <v>47673</v>
      </c>
      <c r="M15" s="200">
        <f>+'12m'!S116</f>
        <v>0.75936604014017206</v>
      </c>
      <c r="N15" s="198">
        <f>+'12m'!T116</f>
        <v>1018556.4000000001</v>
      </c>
      <c r="O15" s="198">
        <f>+'12m'!W116</f>
        <v>73</v>
      </c>
      <c r="P15" s="198">
        <f>+'12m'!X116</f>
        <v>38279</v>
      </c>
      <c r="Q15" s="199">
        <f>+'12m'!Y116</f>
        <v>1.5310068993100689</v>
      </c>
      <c r="R15" s="198">
        <f>+'12m'!Z116</f>
        <v>1072713.25</v>
      </c>
      <c r="S15" s="197">
        <f>+'12m'!E47</f>
        <v>1160</v>
      </c>
      <c r="T15" s="197">
        <f>+'12m'!F47</f>
        <v>199476</v>
      </c>
      <c r="U15" s="200">
        <f>+'12m'!G47</f>
        <v>0.49036302291708916</v>
      </c>
      <c r="V15" s="197">
        <f>+'12m'!H47</f>
        <v>3643465.56</v>
      </c>
      <c r="W15" s="197">
        <f>+'12m'!K47</f>
        <v>843</v>
      </c>
      <c r="X15" s="197">
        <f>+'12m'!L47</f>
        <v>101340</v>
      </c>
      <c r="Y15" s="200">
        <f>+'12m'!M47</f>
        <v>0.33674206866760265</v>
      </c>
      <c r="Z15" s="197">
        <f>+'12m'!N47</f>
        <v>1326871.0599999998</v>
      </c>
      <c r="AA15" s="197">
        <f>+'12m'!Q47</f>
        <v>256</v>
      </c>
      <c r="AB15" s="197">
        <f>+'12m'!R47</f>
        <v>65959</v>
      </c>
      <c r="AC15" s="200">
        <f>+'12m'!S47</f>
        <v>0.81035690152957796</v>
      </c>
      <c r="AD15" s="197">
        <f>+'12m'!T47</f>
        <v>1408983.8499999999</v>
      </c>
      <c r="AE15" s="197">
        <f>+'12m'!W47</f>
        <v>61</v>
      </c>
      <c r="AF15" s="197">
        <f>+'12m'!X47</f>
        <v>32177</v>
      </c>
      <c r="AG15" s="656">
        <f>+'12m'!Y47</f>
        <v>1.3157636475158454</v>
      </c>
      <c r="AH15" s="197">
        <f>+'12m'!Z47</f>
        <v>907610.65</v>
      </c>
    </row>
    <row r="16" spans="1:34" x14ac:dyDescent="0.2">
      <c r="A16" s="197">
        <v>1014</v>
      </c>
      <c r="B16" s="197" t="s">
        <v>53</v>
      </c>
      <c r="C16" s="198">
        <f>+'12m'!E117</f>
        <v>38401</v>
      </c>
      <c r="D16" s="198">
        <f>+'12m'!F117</f>
        <v>8783067</v>
      </c>
      <c r="E16" s="199">
        <f>+'12m'!G117</f>
        <v>0.6371909401759317</v>
      </c>
      <c r="F16" s="198">
        <f>+'12m'!H117</f>
        <v>155259268.06999999</v>
      </c>
      <c r="G16" s="198">
        <f>+'12m'!K117</f>
        <v>31182</v>
      </c>
      <c r="H16" s="198">
        <f>+'12m'!L117</f>
        <v>5069501</v>
      </c>
      <c r="I16" s="200">
        <f>+'12m'!M117</f>
        <v>0.45298730751170663</v>
      </c>
      <c r="J16" s="198">
        <f>+'12m'!N117</f>
        <v>68989183.480000004</v>
      </c>
      <c r="K16" s="198">
        <f>+'12m'!Q117</f>
        <v>5132</v>
      </c>
      <c r="L16" s="198">
        <f>+'12m'!R117</f>
        <v>2493860</v>
      </c>
      <c r="M16" s="200">
        <f>+'12m'!S117</f>
        <v>1.3685514573229707</v>
      </c>
      <c r="N16" s="198">
        <f>+'12m'!T117</f>
        <v>53204532.75</v>
      </c>
      <c r="O16" s="198">
        <f>+'12m'!W117</f>
        <v>2087</v>
      </c>
      <c r="P16" s="198">
        <f>+'12m'!X117</f>
        <v>1219706</v>
      </c>
      <c r="Q16" s="199">
        <f>+'12m'!Y117</f>
        <v>1.5829750231987696</v>
      </c>
      <c r="R16" s="198">
        <f>+'12m'!Z117</f>
        <v>33065551.840000004</v>
      </c>
      <c r="S16" s="197">
        <f>+'12m'!E48</f>
        <v>39665</v>
      </c>
      <c r="T16" s="197">
        <f>+'12m'!F48</f>
        <v>8620486</v>
      </c>
      <c r="U16" s="200">
        <f>+'12m'!G48</f>
        <v>0.60507185876088687</v>
      </c>
      <c r="V16" s="197">
        <f>+'12m'!H48</f>
        <v>152219455.41999999</v>
      </c>
      <c r="W16" s="197">
        <f>+'12m'!K48</f>
        <v>32186</v>
      </c>
      <c r="X16" s="197">
        <f>+'12m'!L48</f>
        <v>4996933</v>
      </c>
      <c r="Y16" s="200">
        <f>+'12m'!M48</f>
        <v>0.43208645995645351</v>
      </c>
      <c r="Z16" s="197">
        <f>+'12m'!N48</f>
        <v>67296252.519999996</v>
      </c>
      <c r="AA16" s="197">
        <f>+'12m'!Q48</f>
        <v>5357</v>
      </c>
      <c r="AB16" s="197">
        <f>+'12m'!R48</f>
        <v>2309783</v>
      </c>
      <c r="AC16" s="200">
        <f>+'12m'!S48</f>
        <v>1.2066302989302558</v>
      </c>
      <c r="AD16" s="197">
        <f>+'12m'!T48</f>
        <v>49087861.399999991</v>
      </c>
      <c r="AE16" s="197">
        <f>+'12m'!W48</f>
        <v>2122</v>
      </c>
      <c r="AF16" s="197">
        <f>+'12m'!X48</f>
        <v>1313770</v>
      </c>
      <c r="AG16" s="656">
        <f>+'12m'!Y48</f>
        <v>1.710320676176621</v>
      </c>
      <c r="AH16" s="197">
        <f>+'12m'!Z48</f>
        <v>35835341.499999993</v>
      </c>
    </row>
    <row r="17" spans="1:34" x14ac:dyDescent="0.2">
      <c r="A17" s="197">
        <v>1015</v>
      </c>
      <c r="B17" s="197" t="s">
        <v>54</v>
      </c>
      <c r="C17" s="198">
        <f>+'12m'!E118</f>
        <v>5374</v>
      </c>
      <c r="D17" s="198">
        <f>+'12m'!F118</f>
        <v>1036086</v>
      </c>
      <c r="E17" s="199">
        <f>+'12m'!G118</f>
        <v>0.53842787951857318</v>
      </c>
      <c r="F17" s="198">
        <f>+'12m'!H118</f>
        <v>16622777.559999999</v>
      </c>
      <c r="G17" s="198">
        <f>+'12m'!K118</f>
        <v>4632</v>
      </c>
      <c r="H17" s="198">
        <f>+'12m'!L118</f>
        <v>720540</v>
      </c>
      <c r="I17" s="200">
        <f>+'12m'!M118</f>
        <v>0.43577973328494962</v>
      </c>
      <c r="J17" s="198">
        <f>+'12m'!N118</f>
        <v>9647312.4099999983</v>
      </c>
      <c r="K17" s="198">
        <f>+'12m'!Q118</f>
        <v>581</v>
      </c>
      <c r="L17" s="198">
        <f>+'12m'!R118</f>
        <v>252063</v>
      </c>
      <c r="M17" s="200">
        <f>+'12m'!S118</f>
        <v>1.1906613131790269</v>
      </c>
      <c r="N17" s="198">
        <f>+'12m'!T118</f>
        <v>5287068.2500000009</v>
      </c>
      <c r="O17" s="198">
        <f>+'12m'!W118</f>
        <v>161</v>
      </c>
      <c r="P17" s="198">
        <f>+'12m'!X118</f>
        <v>63483</v>
      </c>
      <c r="Q17" s="199">
        <f>+'12m'!Y118</f>
        <v>1.073617453069508</v>
      </c>
      <c r="R17" s="198">
        <f>+'12m'!Z118</f>
        <v>1688396.9</v>
      </c>
      <c r="S17" s="197">
        <f>+'12m'!E49</f>
        <v>5579</v>
      </c>
      <c r="T17" s="197">
        <f>+'12m'!F49</f>
        <v>1049909</v>
      </c>
      <c r="U17" s="200">
        <f>+'12m'!G49</f>
        <v>0.52523747168787183</v>
      </c>
      <c r="V17" s="197">
        <f>+'12m'!H49</f>
        <v>16812945.710000001</v>
      </c>
      <c r="W17" s="197">
        <f>+'12m'!K49</f>
        <v>4812</v>
      </c>
      <c r="X17" s="197">
        <f>+'12m'!L49</f>
        <v>751726</v>
      </c>
      <c r="Y17" s="200">
        <f>+'12m'!M49</f>
        <v>0.4361548682065296</v>
      </c>
      <c r="Z17" s="197">
        <f>+'12m'!N49</f>
        <v>10129176.659999998</v>
      </c>
      <c r="AA17" s="197">
        <f>+'12m'!Q49</f>
        <v>599</v>
      </c>
      <c r="AB17" s="197">
        <f>+'12m'!R49</f>
        <v>221943</v>
      </c>
      <c r="AC17" s="200">
        <f>+'12m'!S49</f>
        <v>1.0306152774553052</v>
      </c>
      <c r="AD17" s="197">
        <f>+'12m'!T49</f>
        <v>4627251.6500000013</v>
      </c>
      <c r="AE17" s="197">
        <f>+'12m'!W49</f>
        <v>168</v>
      </c>
      <c r="AF17" s="197">
        <f>+'12m'!X49</f>
        <v>76240</v>
      </c>
      <c r="AG17" s="656">
        <f>+'12m'!Y49</f>
        <v>1.2697672481991922</v>
      </c>
      <c r="AH17" s="197">
        <f>+'12m'!Z49</f>
        <v>2056517.4</v>
      </c>
    </row>
    <row r="18" spans="1:34" x14ac:dyDescent="0.2">
      <c r="A18" s="197">
        <v>1016</v>
      </c>
      <c r="B18" s="197" t="s">
        <v>55</v>
      </c>
      <c r="C18" s="198">
        <f>+'12m'!E119</f>
        <v>8027</v>
      </c>
      <c r="D18" s="198">
        <f>+'12m'!F119</f>
        <v>1380686</v>
      </c>
      <c r="E18" s="199">
        <f>+'12m'!G119</f>
        <v>0.48338142864520017</v>
      </c>
      <c r="F18" s="198">
        <f>+'12m'!H119</f>
        <v>22571061.18</v>
      </c>
      <c r="G18" s="198">
        <f>+'12m'!K119</f>
        <v>6780</v>
      </c>
      <c r="H18" s="198">
        <f>+'12m'!L119</f>
        <v>894446</v>
      </c>
      <c r="I18" s="200">
        <f>+'12m'!M119</f>
        <v>0.37168769699702259</v>
      </c>
      <c r="J18" s="198">
        <f>+'12m'!N119</f>
        <v>11589084.529999999</v>
      </c>
      <c r="K18" s="198">
        <f>+'12m'!Q119</f>
        <v>1008</v>
      </c>
      <c r="L18" s="198">
        <f>+'12m'!R119</f>
        <v>336840</v>
      </c>
      <c r="M18" s="200">
        <f>+'12m'!S119</f>
        <v>0.92609063228147837</v>
      </c>
      <c r="N18" s="198">
        <f>+'12m'!T119</f>
        <v>6917271.3500000006</v>
      </c>
      <c r="O18" s="198">
        <f>+'12m'!W119</f>
        <v>239</v>
      </c>
      <c r="P18" s="198">
        <f>+'12m'!X119</f>
        <v>149400</v>
      </c>
      <c r="Q18" s="199">
        <f>+'12m'!Y119</f>
        <v>1.7343858834455537</v>
      </c>
      <c r="R18" s="198">
        <f>+'12m'!Z119</f>
        <v>4064705.3</v>
      </c>
      <c r="S18" s="197">
        <f>+'12m'!E50</f>
        <v>8184</v>
      </c>
      <c r="T18" s="197">
        <f>+'12m'!F50</f>
        <v>1376286</v>
      </c>
      <c r="U18" s="200">
        <f>+'12m'!G50</f>
        <v>0.46519604902133932</v>
      </c>
      <c r="V18" s="197">
        <f>+'12m'!H50</f>
        <v>22446181.899999995</v>
      </c>
      <c r="W18" s="197">
        <f>+'12m'!K50</f>
        <v>6921</v>
      </c>
      <c r="X18" s="197">
        <f>+'12m'!L50</f>
        <v>897322</v>
      </c>
      <c r="Y18" s="200">
        <f>+'12m'!M50</f>
        <v>0.35886671605812193</v>
      </c>
      <c r="Z18" s="197">
        <f>+'12m'!N50</f>
        <v>11546880.499999998</v>
      </c>
      <c r="AA18" s="197">
        <f>+'12m'!Q50</f>
        <v>1019</v>
      </c>
      <c r="AB18" s="197">
        <f>+'12m'!R50</f>
        <v>327700</v>
      </c>
      <c r="AC18" s="200">
        <f>+'12m'!S50</f>
        <v>0.88584925424576444</v>
      </c>
      <c r="AD18" s="197">
        <f>+'12m'!T50</f>
        <v>6748779.1500000004</v>
      </c>
      <c r="AE18" s="197">
        <f>+'12m'!W50</f>
        <v>244</v>
      </c>
      <c r="AF18" s="197">
        <f>+'12m'!X50</f>
        <v>151264</v>
      </c>
      <c r="AG18" s="656">
        <f>+'12m'!Y50</f>
        <v>1.716032785955359</v>
      </c>
      <c r="AH18" s="197">
        <f>+'12m'!Z50</f>
        <v>4150522.2500000005</v>
      </c>
    </row>
    <row r="19" spans="1:34" x14ac:dyDescent="0.2">
      <c r="A19" s="197">
        <v>1017</v>
      </c>
      <c r="B19" s="197" t="s">
        <v>56</v>
      </c>
      <c r="C19" s="198">
        <f>+'12m'!E120</f>
        <v>12151</v>
      </c>
      <c r="D19" s="198">
        <f>+'12m'!F120</f>
        <v>2598954</v>
      </c>
      <c r="E19" s="199">
        <f>+'12m'!G120</f>
        <v>0.59497989703849752</v>
      </c>
      <c r="F19" s="198">
        <f>+'12m'!H120</f>
        <v>46648408.300000004</v>
      </c>
      <c r="G19" s="198">
        <f>+'12m'!K120</f>
        <v>9135</v>
      </c>
      <c r="H19" s="198">
        <f>+'12m'!L120</f>
        <v>1469342</v>
      </c>
      <c r="I19" s="200">
        <f>+'12m'!M120</f>
        <v>0.4448662305832628</v>
      </c>
      <c r="J19" s="198">
        <f>+'12m'!N120</f>
        <v>20673431.750000004</v>
      </c>
      <c r="K19" s="198">
        <f>+'12m'!Q120</f>
        <v>2135</v>
      </c>
      <c r="L19" s="198">
        <f>+'12m'!R120</f>
        <v>714070</v>
      </c>
      <c r="M19" s="200">
        <f>+'12m'!S120</f>
        <v>0.96491056196476532</v>
      </c>
      <c r="N19" s="198">
        <f>+'12m'!T120</f>
        <v>14847232.949999999</v>
      </c>
      <c r="O19" s="198">
        <f>+'12m'!W120</f>
        <v>881</v>
      </c>
      <c r="P19" s="198">
        <f>+'12m'!X120</f>
        <v>415542</v>
      </c>
      <c r="Q19" s="199">
        <f>+'12m'!Y120</f>
        <v>1.2777454914441215</v>
      </c>
      <c r="R19" s="198">
        <f>+'12m'!Z120</f>
        <v>11127743.600000001</v>
      </c>
      <c r="S19" s="197">
        <f>+'12m'!E51</f>
        <v>12365</v>
      </c>
      <c r="T19" s="197">
        <f>+'12m'!F51</f>
        <v>2544536</v>
      </c>
      <c r="U19" s="200">
        <f>+'12m'!G51</f>
        <v>0.56871687933180903</v>
      </c>
      <c r="V19" s="197">
        <f>+'12m'!H51</f>
        <v>45393455.079999998</v>
      </c>
      <c r="W19" s="197">
        <f>+'12m'!K51</f>
        <v>9442</v>
      </c>
      <c r="X19" s="197">
        <f>+'12m'!L51</f>
        <v>1440813</v>
      </c>
      <c r="Y19" s="200">
        <f>+'12m'!M51</f>
        <v>0.42498066175510885</v>
      </c>
      <c r="Z19" s="197">
        <f>+'12m'!N51</f>
        <v>20079450.460000001</v>
      </c>
      <c r="AA19" s="197">
        <f>+'12m'!Q51</f>
        <v>2062</v>
      </c>
      <c r="AB19" s="197">
        <f>+'12m'!R51</f>
        <v>752830</v>
      </c>
      <c r="AC19" s="200">
        <f>+'12m'!S51</f>
        <v>0.98286773657635429</v>
      </c>
      <c r="AD19" s="197">
        <f>+'12m'!T51</f>
        <v>15992079.669999998</v>
      </c>
      <c r="AE19" s="197">
        <f>+'12m'!W51</f>
        <v>861</v>
      </c>
      <c r="AF19" s="197">
        <f>+'12m'!X51</f>
        <v>350893</v>
      </c>
      <c r="AG19" s="656">
        <f>+'12m'!Y51</f>
        <v>1.1037321296572984</v>
      </c>
      <c r="AH19" s="197">
        <f>+'12m'!Z51</f>
        <v>9321924.9499999993</v>
      </c>
    </row>
    <row r="20" spans="1:34" x14ac:dyDescent="0.2">
      <c r="A20" s="197">
        <v>1018</v>
      </c>
      <c r="B20" s="197" t="s">
        <v>57</v>
      </c>
      <c r="C20" s="198">
        <f>+'12m'!E121</f>
        <v>6016</v>
      </c>
      <c r="D20" s="198">
        <f>+'12m'!F121</f>
        <v>1100047</v>
      </c>
      <c r="E20" s="199">
        <f>+'12m'!G121</f>
        <v>0.5062703506232612</v>
      </c>
      <c r="F20" s="198">
        <f>+'12m'!H121</f>
        <v>18368932.829999998</v>
      </c>
      <c r="G20" s="198">
        <f>+'12m'!K121</f>
        <v>5112</v>
      </c>
      <c r="H20" s="198">
        <f>+'12m'!L121</f>
        <v>741507</v>
      </c>
      <c r="I20" s="200">
        <f>+'12m'!M121</f>
        <v>0.40288071936485087</v>
      </c>
      <c r="J20" s="198">
        <f>+'12m'!N121</f>
        <v>9879309.9799999986</v>
      </c>
      <c r="K20" s="198">
        <f>+'12m'!Q121</f>
        <v>704</v>
      </c>
      <c r="L20" s="198">
        <f>+'12m'!R121</f>
        <v>249511</v>
      </c>
      <c r="M20" s="200">
        <f>+'12m'!S121</f>
        <v>0.96348383484414069</v>
      </c>
      <c r="N20" s="198">
        <f>+'12m'!T121</f>
        <v>5467303.1999999993</v>
      </c>
      <c r="O20" s="198">
        <f>+'12m'!W121</f>
        <v>200</v>
      </c>
      <c r="P20" s="198">
        <f>+'12m'!X121</f>
        <v>109029</v>
      </c>
      <c r="Q20" s="199">
        <f>+'12m'!Y121</f>
        <v>1.4861173584134124</v>
      </c>
      <c r="R20" s="198">
        <f>+'12m'!Z121</f>
        <v>3022319.6500000004</v>
      </c>
      <c r="S20" s="197">
        <f>+'12m'!E52</f>
        <v>6117</v>
      </c>
      <c r="T20" s="197">
        <f>+'12m'!F52</f>
        <v>1120334</v>
      </c>
      <c r="U20" s="200">
        <f>+'12m'!G52</f>
        <v>0.50596030976313888</v>
      </c>
      <c r="V20" s="197">
        <f>+'12m'!H52</f>
        <v>18734734.429999996</v>
      </c>
      <c r="W20" s="197">
        <f>+'12m'!K52</f>
        <v>5199</v>
      </c>
      <c r="X20" s="197">
        <f>+'12m'!L52</f>
        <v>750674</v>
      </c>
      <c r="Y20" s="200">
        <f>+'12m'!M52</f>
        <v>0.39892175267004382</v>
      </c>
      <c r="Z20" s="197">
        <f>+'12m'!N52</f>
        <v>9953212.9799999986</v>
      </c>
      <c r="AA20" s="197">
        <f>+'12m'!Q52</f>
        <v>712</v>
      </c>
      <c r="AB20" s="197">
        <f>+'12m'!R52</f>
        <v>261462</v>
      </c>
      <c r="AC20" s="200">
        <f>+'12m'!S52</f>
        <v>1.0117715347109357</v>
      </c>
      <c r="AD20" s="197">
        <f>+'12m'!T52</f>
        <v>5750811.9500000011</v>
      </c>
      <c r="AE20" s="197">
        <f>+'12m'!W52</f>
        <v>206</v>
      </c>
      <c r="AF20" s="197">
        <f>+'12m'!X52</f>
        <v>108198</v>
      </c>
      <c r="AG20" s="656">
        <f>+'12m'!Y52</f>
        <v>1.4602604764154126</v>
      </c>
      <c r="AH20" s="197">
        <f>+'12m'!Z52</f>
        <v>3030709.5</v>
      </c>
    </row>
    <row r="21" spans="1:34" x14ac:dyDescent="0.2">
      <c r="A21" s="197">
        <v>1019</v>
      </c>
      <c r="B21" s="197" t="s">
        <v>58</v>
      </c>
      <c r="C21" s="198">
        <f>+'12m'!E122</f>
        <v>3672</v>
      </c>
      <c r="D21" s="198">
        <f>+'12m'!F122</f>
        <v>699749</v>
      </c>
      <c r="E21" s="199">
        <f>+'12m'!G122</f>
        <v>0.52791423597554876</v>
      </c>
      <c r="F21" s="198">
        <f>+'12m'!H122</f>
        <v>11753724.469999999</v>
      </c>
      <c r="G21" s="198">
        <f>+'12m'!K122</f>
        <v>3074</v>
      </c>
      <c r="H21" s="198">
        <f>+'12m'!L122</f>
        <v>432145</v>
      </c>
      <c r="I21" s="200">
        <f>+'12m'!M122</f>
        <v>0.39177991532415252</v>
      </c>
      <c r="J21" s="198">
        <f>+'12m'!N122</f>
        <v>5815894.9699999997</v>
      </c>
      <c r="K21" s="198">
        <f>+'12m'!Q122</f>
        <v>472</v>
      </c>
      <c r="L21" s="198">
        <f>+'12m'!R122</f>
        <v>216659</v>
      </c>
      <c r="M21" s="200">
        <f>+'12m'!S122</f>
        <v>1.2302306764142239</v>
      </c>
      <c r="N21" s="198">
        <f>+'12m'!T122</f>
        <v>4582738.25</v>
      </c>
      <c r="O21" s="198">
        <f>+'12m'!W122</f>
        <v>126</v>
      </c>
      <c r="P21" s="198">
        <f>+'12m'!X122</f>
        <v>50945</v>
      </c>
      <c r="Q21" s="199">
        <f>+'12m'!Y122</f>
        <v>1.0990184446122317</v>
      </c>
      <c r="R21" s="198">
        <f>+'12m'!Z122</f>
        <v>1355091.25</v>
      </c>
      <c r="S21" s="197">
        <f>+'12m'!E53</f>
        <v>3748</v>
      </c>
      <c r="T21" s="197">
        <f>+'12m'!F53</f>
        <v>703354</v>
      </c>
      <c r="U21" s="200">
        <f>+'12m'!G53</f>
        <v>0.51940626961562597</v>
      </c>
      <c r="V21" s="197">
        <f>+'12m'!H53</f>
        <v>11859701.939999999</v>
      </c>
      <c r="W21" s="197">
        <f>+'12m'!K53</f>
        <v>3143</v>
      </c>
      <c r="X21" s="197">
        <f>+'12m'!L53</f>
        <v>421455</v>
      </c>
      <c r="Y21" s="200">
        <f>+'12m'!M53</f>
        <v>0.37145608263687063</v>
      </c>
      <c r="Z21" s="197">
        <f>+'12m'!N53</f>
        <v>5613243.4899999993</v>
      </c>
      <c r="AA21" s="197">
        <f>+'12m'!Q53</f>
        <v>488</v>
      </c>
      <c r="AB21" s="197">
        <f>+'12m'!R53</f>
        <v>227032</v>
      </c>
      <c r="AC21" s="200">
        <f>+'12m'!S53</f>
        <v>1.2958447488584475</v>
      </c>
      <c r="AD21" s="197">
        <f>+'12m'!T53</f>
        <v>4769400.1500000004</v>
      </c>
      <c r="AE21" s="197">
        <f>+'12m'!W53</f>
        <v>117</v>
      </c>
      <c r="AF21" s="197">
        <f>+'12m'!X53</f>
        <v>54867</v>
      </c>
      <c r="AG21" s="656">
        <f>+'12m'!Y53</f>
        <v>1.2372061559276171</v>
      </c>
      <c r="AH21" s="197">
        <f>+'12m'!Z53</f>
        <v>1477058.3</v>
      </c>
    </row>
    <row r="22" spans="1:34" x14ac:dyDescent="0.2">
      <c r="A22" s="197">
        <v>1020</v>
      </c>
      <c r="B22" s="197" t="s">
        <v>59</v>
      </c>
      <c r="C22" s="198">
        <f>+'12m'!E123</f>
        <v>14625</v>
      </c>
      <c r="D22" s="198">
        <f>+'12m'!F123</f>
        <v>3409463</v>
      </c>
      <c r="E22" s="199">
        <f>+'12m'!G123</f>
        <v>0.64773556067872862</v>
      </c>
      <c r="F22" s="198">
        <f>+'12m'!H123</f>
        <v>62147930.019999996</v>
      </c>
      <c r="G22" s="198">
        <f>+'12m'!K123</f>
        <v>10969</v>
      </c>
      <c r="H22" s="198">
        <f>+'12m'!L123</f>
        <v>1785839</v>
      </c>
      <c r="I22" s="200">
        <f>+'12m'!M123</f>
        <v>0.45433276897029401</v>
      </c>
      <c r="J22" s="198">
        <f>+'12m'!N123</f>
        <v>24264915.699999999</v>
      </c>
      <c r="K22" s="198">
        <f>+'12m'!Q123</f>
        <v>2506</v>
      </c>
      <c r="L22" s="198">
        <f>+'12m'!R123</f>
        <v>1000074</v>
      </c>
      <c r="M22" s="200">
        <f>+'12m'!S123</f>
        <v>1.094876630219096</v>
      </c>
      <c r="N22" s="198">
        <f>+'12m'!T123</f>
        <v>21250562.139999997</v>
      </c>
      <c r="O22" s="198">
        <f>+'12m'!W123</f>
        <v>1150</v>
      </c>
      <c r="P22" s="198">
        <f>+'12m'!X123</f>
        <v>623550</v>
      </c>
      <c r="Q22" s="199">
        <f>+'12m'!Y123</f>
        <v>1.4861732617516847</v>
      </c>
      <c r="R22" s="198">
        <f>+'12m'!Z123</f>
        <v>16632452.18</v>
      </c>
      <c r="S22" s="197">
        <f>+'12m'!E54</f>
        <v>14921</v>
      </c>
      <c r="T22" s="197">
        <f>+'12m'!F54</f>
        <v>3501054</v>
      </c>
      <c r="U22" s="200">
        <f>+'12m'!G54</f>
        <v>0.64928780661499275</v>
      </c>
      <c r="V22" s="197">
        <f>+'12m'!H54</f>
        <v>63710566.450000003</v>
      </c>
      <c r="W22" s="197">
        <f>+'12m'!K54</f>
        <v>11274</v>
      </c>
      <c r="X22" s="197">
        <f>+'12m'!L54</f>
        <v>1842304</v>
      </c>
      <c r="Y22" s="200">
        <f>+'12m'!M54</f>
        <v>0.4538423970847531</v>
      </c>
      <c r="Z22" s="197">
        <f>+'12m'!N54</f>
        <v>25156192.100000001</v>
      </c>
      <c r="AA22" s="197">
        <f>+'12m'!Q54</f>
        <v>2496</v>
      </c>
      <c r="AB22" s="197">
        <f>+'12m'!R54</f>
        <v>1044620</v>
      </c>
      <c r="AC22" s="200">
        <f>+'12m'!S54</f>
        <v>1.1443313085724616</v>
      </c>
      <c r="AD22" s="197">
        <f>+'12m'!T54</f>
        <v>22201448.099999998</v>
      </c>
      <c r="AE22" s="197">
        <f>+'12m'!W54</f>
        <v>1151</v>
      </c>
      <c r="AF22" s="197">
        <f>+'12m'!X54</f>
        <v>614130</v>
      </c>
      <c r="AG22" s="656">
        <f>+'12m'!Y54</f>
        <v>1.4624493222124983</v>
      </c>
      <c r="AH22" s="197">
        <f>+'12m'!Z54</f>
        <v>16352926.249999998</v>
      </c>
    </row>
    <row r="23" spans="1:34" x14ac:dyDescent="0.2">
      <c r="A23" s="197">
        <v>1021</v>
      </c>
      <c r="B23" s="197" t="s">
        <v>60</v>
      </c>
      <c r="C23" s="198">
        <f>+'12m'!E124</f>
        <v>4719</v>
      </c>
      <c r="D23" s="198">
        <f>+'12m'!F124</f>
        <v>926363</v>
      </c>
      <c r="E23" s="199">
        <f>+'12m'!G124</f>
        <v>0.54556767453091326</v>
      </c>
      <c r="F23" s="198">
        <f>+'12m'!H124</f>
        <v>16917772.830000002</v>
      </c>
      <c r="G23" s="198">
        <f>+'12m'!K124</f>
        <v>3105</v>
      </c>
      <c r="H23" s="198">
        <f>+'12m'!L124</f>
        <v>458409</v>
      </c>
      <c r="I23" s="200">
        <f>+'12m'!M124</f>
        <v>0.41346998139692204</v>
      </c>
      <c r="J23" s="198">
        <f>+'12m'!N124</f>
        <v>6298137.46</v>
      </c>
      <c r="K23" s="198">
        <f>+'12m'!Q124</f>
        <v>1387</v>
      </c>
      <c r="L23" s="198">
        <f>+'12m'!R124</f>
        <v>371706</v>
      </c>
      <c r="M23" s="200">
        <f>+'12m'!S124</f>
        <v>0.73158951346244683</v>
      </c>
      <c r="N23" s="198">
        <f>+'12m'!T124</f>
        <v>8078775.4199999999</v>
      </c>
      <c r="O23" s="198">
        <f>+'12m'!W124</f>
        <v>227</v>
      </c>
      <c r="P23" s="198">
        <f>+'12m'!X124</f>
        <v>96248</v>
      </c>
      <c r="Q23" s="199">
        <f>+'12m'!Y124</f>
        <v>1.1851377558873326</v>
      </c>
      <c r="R23" s="198">
        <f>+'12m'!Z124</f>
        <v>2540859.9500000002</v>
      </c>
      <c r="S23" s="197">
        <f>+'12m'!E55</f>
        <v>4937</v>
      </c>
      <c r="T23" s="197">
        <f>+'12m'!F55</f>
        <v>939324</v>
      </c>
      <c r="U23" s="200">
        <f>+'12m'!G55</f>
        <v>0.53303446788709696</v>
      </c>
      <c r="V23" s="197">
        <f>+'12m'!H55</f>
        <v>17120336.629999999</v>
      </c>
      <c r="W23" s="197">
        <f>+'12m'!K55</f>
        <v>3334</v>
      </c>
      <c r="X23" s="197">
        <f>+'12m'!L55</f>
        <v>464479</v>
      </c>
      <c r="Y23" s="200">
        <f>+'12m'!M55</f>
        <v>0.39526175042070261</v>
      </c>
      <c r="Z23" s="197">
        <f>+'12m'!N55</f>
        <v>6324818.4100000001</v>
      </c>
      <c r="AA23" s="197">
        <f>+'12m'!Q55</f>
        <v>1357</v>
      </c>
      <c r="AB23" s="197">
        <f>+'12m'!R55</f>
        <v>365301</v>
      </c>
      <c r="AC23" s="200">
        <f>+'12m'!S55</f>
        <v>0.72946403610367827</v>
      </c>
      <c r="AD23" s="197">
        <f>+'12m'!T55</f>
        <v>7887780.4700000007</v>
      </c>
      <c r="AE23" s="197">
        <f>+'12m'!W55</f>
        <v>246</v>
      </c>
      <c r="AF23" s="197">
        <f>+'12m'!X55</f>
        <v>109544</v>
      </c>
      <c r="AG23" s="656">
        <f>+'12m'!Y55</f>
        <v>1.269008659387761</v>
      </c>
      <c r="AH23" s="197">
        <f>+'12m'!Z55</f>
        <v>2907737.75</v>
      </c>
    </row>
    <row r="24" spans="1:34" x14ac:dyDescent="0.2">
      <c r="A24" s="197">
        <v>1022</v>
      </c>
      <c r="B24" s="197" t="s">
        <v>61</v>
      </c>
      <c r="C24" s="198">
        <f>+'12m'!E125</f>
        <v>20922</v>
      </c>
      <c r="D24" s="198">
        <f>+'12m'!F125</f>
        <v>4575165</v>
      </c>
      <c r="E24" s="199">
        <f>+'12m'!G125</f>
        <v>0.61219529329118372</v>
      </c>
      <c r="F24" s="198">
        <f>+'12m'!H125</f>
        <v>80478043.520000011</v>
      </c>
      <c r="G24" s="198">
        <f>+'12m'!K125</f>
        <v>17543</v>
      </c>
      <c r="H24" s="198">
        <f>+'12m'!L125</f>
        <v>2695619</v>
      </c>
      <c r="I24" s="200">
        <f>+'12m'!M125</f>
        <v>0.42987529302948635</v>
      </c>
      <c r="J24" s="198">
        <f>+'12m'!N125</f>
        <v>36210785.939999998</v>
      </c>
      <c r="K24" s="198">
        <f>+'12m'!Q125</f>
        <v>2451</v>
      </c>
      <c r="L24" s="198">
        <f>+'12m'!R125</f>
        <v>1238939</v>
      </c>
      <c r="M24" s="200">
        <f>+'12m'!S125</f>
        <v>1.4413390338248553</v>
      </c>
      <c r="N24" s="198">
        <f>+'12m'!T125</f>
        <v>26796472.18</v>
      </c>
      <c r="O24" s="198">
        <f>+'12m'!W125</f>
        <v>928</v>
      </c>
      <c r="P24" s="198">
        <f>+'12m'!X125</f>
        <v>640607</v>
      </c>
      <c r="Q24" s="199">
        <f>+'12m'!Y125</f>
        <v>1.8671145438647625</v>
      </c>
      <c r="R24" s="198">
        <f>+'12m'!Z125</f>
        <v>17470785.399999999</v>
      </c>
      <c r="S24" s="197">
        <f>+'12m'!E56</f>
        <v>21959</v>
      </c>
      <c r="T24" s="197">
        <f>+'12m'!F56</f>
        <v>4692173</v>
      </c>
      <c r="U24" s="200">
        <f>+'12m'!G56</f>
        <v>0.59957876416831157</v>
      </c>
      <c r="V24" s="197">
        <f>+'12m'!H56</f>
        <v>82239196.040000021</v>
      </c>
      <c r="W24" s="197">
        <f>+'12m'!K56</f>
        <v>18547</v>
      </c>
      <c r="X24" s="197">
        <f>+'12m'!L56</f>
        <v>2807113</v>
      </c>
      <c r="Y24" s="200">
        <f>+'12m'!M56</f>
        <v>0.42619676076171825</v>
      </c>
      <c r="Z24" s="197">
        <f>+'12m'!N56</f>
        <v>37844571.890000001</v>
      </c>
      <c r="AA24" s="197">
        <f>+'12m'!Q56</f>
        <v>2540</v>
      </c>
      <c r="AB24" s="197">
        <f>+'12m'!R56</f>
        <v>1261521</v>
      </c>
      <c r="AC24" s="200">
        <f>+'12m'!S56</f>
        <v>1.3849817342449287</v>
      </c>
      <c r="AD24" s="197">
        <f>+'12m'!T56</f>
        <v>27321847.599999994</v>
      </c>
      <c r="AE24" s="197">
        <f>+'12m'!W56</f>
        <v>872</v>
      </c>
      <c r="AF24" s="197">
        <f>+'12m'!X56</f>
        <v>623539</v>
      </c>
      <c r="AG24" s="656">
        <f>+'12m'!Y56</f>
        <v>1.8981400304414002</v>
      </c>
      <c r="AH24" s="197">
        <f>+'12m'!Z56</f>
        <v>17072776.550000004</v>
      </c>
    </row>
    <row r="25" spans="1:34" x14ac:dyDescent="0.2">
      <c r="A25" s="197">
        <v>1023</v>
      </c>
      <c r="B25" s="197" t="s">
        <v>62</v>
      </c>
      <c r="C25" s="198">
        <f>+'12m'!E126</f>
        <v>5901</v>
      </c>
      <c r="D25" s="198">
        <f>+'12m'!F126</f>
        <v>984502</v>
      </c>
      <c r="E25" s="199">
        <f>+'12m'!G126</f>
        <v>0.4654470670275509</v>
      </c>
      <c r="F25" s="198">
        <f>+'12m'!H126</f>
        <v>17158055.73</v>
      </c>
      <c r="G25" s="198">
        <f>+'12m'!K126</f>
        <v>4322</v>
      </c>
      <c r="H25" s="198">
        <f>+'12m'!L126</f>
        <v>527841</v>
      </c>
      <c r="I25" s="200">
        <f>+'12m'!M126</f>
        <v>0.34062883665702443</v>
      </c>
      <c r="J25" s="198">
        <f>+'12m'!N126</f>
        <v>6707489.21</v>
      </c>
      <c r="K25" s="198">
        <f>+'12m'!Q126</f>
        <v>1194</v>
      </c>
      <c r="L25" s="198">
        <f>+'12m'!R126</f>
        <v>322345</v>
      </c>
      <c r="M25" s="200">
        <f>+'12m'!S126</f>
        <v>0.75903479699301235</v>
      </c>
      <c r="N25" s="198">
        <f>+'12m'!T126</f>
        <v>6875080.5199999996</v>
      </c>
      <c r="O25" s="198">
        <f>+'12m'!W126</f>
        <v>385</v>
      </c>
      <c r="P25" s="198">
        <f>+'12m'!X126</f>
        <v>134316</v>
      </c>
      <c r="Q25" s="199">
        <f>+'12m'!Y126</f>
        <v>0.95333948470437935</v>
      </c>
      <c r="R25" s="198">
        <f>+'12m'!Z126</f>
        <v>3575486</v>
      </c>
      <c r="S25" s="197">
        <f>+'12m'!E57</f>
        <v>6166</v>
      </c>
      <c r="T25" s="197">
        <f>+'12m'!F57</f>
        <v>1014741</v>
      </c>
      <c r="U25" s="200">
        <f>+'12m'!G57</f>
        <v>0.46077936997880553</v>
      </c>
      <c r="V25" s="197">
        <f>+'12m'!H57</f>
        <v>17640478.93</v>
      </c>
      <c r="W25" s="197">
        <f>+'12m'!K57</f>
        <v>4556</v>
      </c>
      <c r="X25" s="197">
        <f>+'12m'!L57</f>
        <v>545917</v>
      </c>
      <c r="Y25" s="200">
        <f>+'12m'!M57</f>
        <v>0.33693692581631679</v>
      </c>
      <c r="Z25" s="197">
        <f>+'12m'!N57</f>
        <v>6856312.1399999997</v>
      </c>
      <c r="AA25" s="197">
        <f>+'12m'!Q57</f>
        <v>1225</v>
      </c>
      <c r="AB25" s="197">
        <f>+'12m'!R57</f>
        <v>334705</v>
      </c>
      <c r="AC25" s="200">
        <f>+'12m'!S57</f>
        <v>0.7581645307978504</v>
      </c>
      <c r="AD25" s="197">
        <f>+'12m'!T57</f>
        <v>7175725.8899999997</v>
      </c>
      <c r="AE25" s="197">
        <f>+'12m'!W57</f>
        <v>385</v>
      </c>
      <c r="AF25" s="197">
        <f>+'12m'!X57</f>
        <v>134119</v>
      </c>
      <c r="AG25" s="656">
        <f>+'12m'!Y57</f>
        <v>0.95441380537270948</v>
      </c>
      <c r="AH25" s="197">
        <f>+'12m'!Z57</f>
        <v>3608440.9000000004</v>
      </c>
    </row>
    <row r="26" spans="1:34" x14ac:dyDescent="0.2">
      <c r="A26" s="197">
        <v>1024</v>
      </c>
      <c r="B26" s="197" t="s">
        <v>63</v>
      </c>
      <c r="C26" s="198">
        <f>+'12m'!E127</f>
        <v>27714</v>
      </c>
      <c r="D26" s="198">
        <f>+'12m'!F127</f>
        <v>7068860</v>
      </c>
      <c r="E26" s="199">
        <f>+'12m'!G127</f>
        <v>0.7226799905228799</v>
      </c>
      <c r="F26" s="198">
        <f>+'12m'!H127</f>
        <v>134612668.87</v>
      </c>
      <c r="G26" s="198">
        <f>+'12m'!K127</f>
        <v>21399</v>
      </c>
      <c r="H26" s="198">
        <f>+'12m'!L127</f>
        <v>3605749</v>
      </c>
      <c r="I26" s="200">
        <f>+'12m'!M127</f>
        <v>0.47954002978382293</v>
      </c>
      <c r="J26" s="198">
        <f>+'12m'!N127</f>
        <v>51736413.430000007</v>
      </c>
      <c r="K26" s="198">
        <f>+'12m'!Q127</f>
        <v>4589</v>
      </c>
      <c r="L26" s="198">
        <f>+'12m'!R127</f>
        <v>2105613</v>
      </c>
      <c r="M26" s="200">
        <f>+'12m'!S127</f>
        <v>1.3107936241140712</v>
      </c>
      <c r="N26" s="198">
        <f>+'12m'!T127</f>
        <v>45237764.439999998</v>
      </c>
      <c r="O26" s="198">
        <f>+'12m'!W127</f>
        <v>1726</v>
      </c>
      <c r="P26" s="198">
        <f>+'12m'!X127</f>
        <v>1357498</v>
      </c>
      <c r="Q26" s="199">
        <f>+'12m'!Y127</f>
        <v>2.0696564289035759</v>
      </c>
      <c r="R26" s="198">
        <f>+'12m'!Z127</f>
        <v>37638491</v>
      </c>
      <c r="S26" s="197">
        <f>+'12m'!E58</f>
        <v>29284</v>
      </c>
      <c r="T26" s="197">
        <f>+'12m'!F58</f>
        <v>7423309</v>
      </c>
      <c r="U26" s="200">
        <f>+'12m'!G58</f>
        <v>0.71363321087449838</v>
      </c>
      <c r="V26" s="197">
        <f>+'12m'!H58</f>
        <v>140843685.99000001</v>
      </c>
      <c r="W26" s="197">
        <f>+'12m'!K58</f>
        <v>22499</v>
      </c>
      <c r="X26" s="197">
        <f>+'12m'!L58</f>
        <v>3786169</v>
      </c>
      <c r="Y26" s="200">
        <f>+'12m'!M58</f>
        <v>0.4725985581768945</v>
      </c>
      <c r="Z26" s="197">
        <f>+'12m'!N58</f>
        <v>54334782.819999993</v>
      </c>
      <c r="AA26" s="197">
        <f>+'12m'!Q58</f>
        <v>5064</v>
      </c>
      <c r="AB26" s="197">
        <f>+'12m'!R58</f>
        <v>2350183</v>
      </c>
      <c r="AC26" s="200">
        <f>+'12m'!S58</f>
        <v>1.3340635106695484</v>
      </c>
      <c r="AD26" s="197">
        <f>+'12m'!T58</f>
        <v>50812498.519999996</v>
      </c>
      <c r="AE26" s="197">
        <f>+'12m'!W58</f>
        <v>1721</v>
      </c>
      <c r="AF26" s="197">
        <f>+'12m'!X58</f>
        <v>1286957</v>
      </c>
      <c r="AG26" s="656">
        <f>+'12m'!Y58</f>
        <v>2.0457845019095422</v>
      </c>
      <c r="AH26" s="197">
        <f>+'12m'!Z58</f>
        <v>35696404.649999999</v>
      </c>
    </row>
    <row r="27" spans="1:34" x14ac:dyDescent="0.2">
      <c r="A27" s="197">
        <v>1025</v>
      </c>
      <c r="B27" s="197" t="s">
        <v>64</v>
      </c>
      <c r="C27" s="198">
        <f>+'12m'!E128</f>
        <v>6969</v>
      </c>
      <c r="D27" s="198">
        <f>+'12m'!F128</f>
        <v>1167415</v>
      </c>
      <c r="E27" s="199">
        <f>+'12m'!G128</f>
        <v>0.47708789681891001</v>
      </c>
      <c r="F27" s="198">
        <f>+'12m'!H128</f>
        <v>18889639.930000003</v>
      </c>
      <c r="G27" s="198">
        <f>+'12m'!K128</f>
        <v>5854</v>
      </c>
      <c r="H27" s="198">
        <f>+'12m'!L128</f>
        <v>811410</v>
      </c>
      <c r="I27" s="200">
        <f>+'12m'!M128</f>
        <v>0.39896645654888929</v>
      </c>
      <c r="J27" s="198">
        <f>+'12m'!N128</f>
        <v>10740486.630000001</v>
      </c>
      <c r="K27" s="198">
        <f>+'12m'!Q128</f>
        <v>881</v>
      </c>
      <c r="L27" s="198">
        <f>+'12m'!R128</f>
        <v>243047</v>
      </c>
      <c r="M27" s="200">
        <f>+'12m'!S128</f>
        <v>0.74275760377113442</v>
      </c>
      <c r="N27" s="198">
        <f>+'12m'!T128</f>
        <v>5078943.75</v>
      </c>
      <c r="O27" s="198">
        <f>+'12m'!W128</f>
        <v>234</v>
      </c>
      <c r="P27" s="198">
        <f>+'12m'!X128</f>
        <v>112958</v>
      </c>
      <c r="Q27" s="199">
        <f>+'12m'!Y128</f>
        <v>1.3141145333449671</v>
      </c>
      <c r="R27" s="198">
        <f>+'12m'!Z128</f>
        <v>3070209.5500000003</v>
      </c>
      <c r="S27" s="197">
        <f>+'12m'!E59</f>
        <v>7473</v>
      </c>
      <c r="T27" s="197">
        <f>+'12m'!F59</f>
        <v>1187814</v>
      </c>
      <c r="U27" s="200">
        <f>+'12m'!G59</f>
        <v>0.45066956536585645</v>
      </c>
      <c r="V27" s="197">
        <f>+'12m'!H59</f>
        <v>18844766.27</v>
      </c>
      <c r="W27" s="197">
        <f>+'12m'!K59</f>
        <v>6369</v>
      </c>
      <c r="X27" s="197">
        <f>+'12m'!L59</f>
        <v>848996</v>
      </c>
      <c r="Y27" s="200">
        <f>+'12m'!M59</f>
        <v>0.38059665194406683</v>
      </c>
      <c r="Z27" s="197">
        <f>+'12m'!N59</f>
        <v>11208973.92</v>
      </c>
      <c r="AA27" s="197">
        <f>+'12m'!Q59</f>
        <v>882</v>
      </c>
      <c r="AB27" s="197">
        <f>+'12m'!R59</f>
        <v>241764</v>
      </c>
      <c r="AC27" s="200">
        <f>+'12m'!S59</f>
        <v>0.75140910185782328</v>
      </c>
      <c r="AD27" s="197">
        <f>+'12m'!T59</f>
        <v>5034040</v>
      </c>
      <c r="AE27" s="197">
        <f>+'12m'!W59</f>
        <v>222</v>
      </c>
      <c r="AF27" s="197">
        <f>+'12m'!X59</f>
        <v>97054</v>
      </c>
      <c r="AG27" s="656">
        <f>+'12m'!Y59</f>
        <v>1.1662340783465512</v>
      </c>
      <c r="AH27" s="197">
        <f>+'12m'!Z59</f>
        <v>2601752.35</v>
      </c>
    </row>
    <row r="28" spans="1:34" x14ac:dyDescent="0.2">
      <c r="A28" s="197">
        <v>1026</v>
      </c>
      <c r="B28" s="197" t="s">
        <v>65</v>
      </c>
      <c r="C28" s="198">
        <f>+'12m'!E129</f>
        <v>2239</v>
      </c>
      <c r="D28" s="198">
        <f>+'12m'!F129</f>
        <v>485173</v>
      </c>
      <c r="E28" s="199">
        <f>+'12m'!G129</f>
        <v>0.61114533144386718</v>
      </c>
      <c r="F28" s="198">
        <f>+'12m'!H129</f>
        <v>8716103.3200000003</v>
      </c>
      <c r="G28" s="198">
        <f>+'12m'!K129</f>
        <v>1528</v>
      </c>
      <c r="H28" s="198">
        <f>+'12m'!L129</f>
        <v>236338</v>
      </c>
      <c r="I28" s="200">
        <f>+'12m'!M129</f>
        <v>0.43412763651559749</v>
      </c>
      <c r="J28" s="198">
        <f>+'12m'!N129</f>
        <v>3299094.4699999993</v>
      </c>
      <c r="K28" s="198">
        <f>+'12m'!Q129</f>
        <v>549</v>
      </c>
      <c r="L28" s="198">
        <f>+'12m'!R129</f>
        <v>204031</v>
      </c>
      <c r="M28" s="200">
        <f>+'12m'!S129</f>
        <v>1.0507312802554329</v>
      </c>
      <c r="N28" s="198">
        <f>+'12m'!T129</f>
        <v>4241730.1000000006</v>
      </c>
      <c r="O28" s="198">
        <f>+'12m'!W129</f>
        <v>162</v>
      </c>
      <c r="P28" s="198">
        <f>+'12m'!X129</f>
        <v>44804</v>
      </c>
      <c r="Q28" s="199">
        <f>+'12m'!Y129</f>
        <v>0.81023554410235554</v>
      </c>
      <c r="R28" s="198">
        <f>+'12m'!Z129</f>
        <v>1175278.75</v>
      </c>
      <c r="S28" s="197">
        <f>+'12m'!E60</f>
        <v>2330</v>
      </c>
      <c r="T28" s="197">
        <f>+'12m'!F60</f>
        <v>507576</v>
      </c>
      <c r="U28" s="200">
        <f>+'12m'!G60</f>
        <v>0.60871927252448754</v>
      </c>
      <c r="V28" s="197">
        <f>+'12m'!H60</f>
        <v>9217040.2300000004</v>
      </c>
      <c r="W28" s="197">
        <f>+'12m'!K60</f>
        <v>1579</v>
      </c>
      <c r="X28" s="197">
        <f>+'12m'!L60</f>
        <v>235285</v>
      </c>
      <c r="Y28" s="200">
        <f>+'12m'!M60</f>
        <v>0.41494460145231049</v>
      </c>
      <c r="Z28" s="197">
        <f>+'12m'!N60</f>
        <v>3256692.5800000005</v>
      </c>
      <c r="AA28" s="197">
        <f>+'12m'!Q60</f>
        <v>585</v>
      </c>
      <c r="AB28" s="197">
        <f>+'12m'!R60</f>
        <v>218995</v>
      </c>
      <c r="AC28" s="200">
        <f>+'12m'!S60</f>
        <v>1.0581768983595468</v>
      </c>
      <c r="AD28" s="197">
        <f>+'12m'!T60</f>
        <v>4548511.95</v>
      </c>
      <c r="AE28" s="197">
        <f>+'12m'!W60</f>
        <v>166</v>
      </c>
      <c r="AF28" s="197">
        <f>+'12m'!X60</f>
        <v>53296</v>
      </c>
      <c r="AG28" s="656">
        <f>+'12m'!Y60</f>
        <v>0.89034413631807552</v>
      </c>
      <c r="AH28" s="197">
        <f>+'12m'!Z60</f>
        <v>1411835.7</v>
      </c>
    </row>
    <row r="29" spans="1:34" x14ac:dyDescent="0.2">
      <c r="A29" s="197">
        <v>1027</v>
      </c>
      <c r="B29" s="197" t="s">
        <v>66</v>
      </c>
      <c r="C29" s="198">
        <f>+'12m'!E130</f>
        <v>3544</v>
      </c>
      <c r="D29" s="198">
        <f>+'12m'!F130</f>
        <v>717979</v>
      </c>
      <c r="E29" s="199">
        <f>+'12m'!G130</f>
        <v>0.57457740716362138</v>
      </c>
      <c r="F29" s="198">
        <f>+'12m'!H130</f>
        <v>12497539.689999999</v>
      </c>
      <c r="G29" s="198">
        <f>+'12m'!K130</f>
        <v>2813</v>
      </c>
      <c r="H29" s="198">
        <f>+'12m'!L130</f>
        <v>432173</v>
      </c>
      <c r="I29" s="200">
        <f>+'12m'!M130</f>
        <v>0.43691351160086939</v>
      </c>
      <c r="J29" s="198">
        <f>+'12m'!N130</f>
        <v>5940490.0100000016</v>
      </c>
      <c r="K29" s="198">
        <f>+'12m'!Q130</f>
        <v>475</v>
      </c>
      <c r="L29" s="198">
        <f>+'12m'!R130</f>
        <v>157602</v>
      </c>
      <c r="M29" s="200">
        <f>+'12m'!S130</f>
        <v>0.92459593441084154</v>
      </c>
      <c r="N29" s="198">
        <f>+'12m'!T130</f>
        <v>3206980.75</v>
      </c>
      <c r="O29" s="198">
        <f>+'12m'!W130</f>
        <v>256</v>
      </c>
      <c r="P29" s="198">
        <f>+'12m'!X130</f>
        <v>128204</v>
      </c>
      <c r="Q29" s="199">
        <f>+'12m'!Y130</f>
        <v>1.4249242824196282</v>
      </c>
      <c r="R29" s="198">
        <f>+'12m'!Z130</f>
        <v>3350068.9299999997</v>
      </c>
      <c r="S29" s="197">
        <f>+'12m'!E61</f>
        <v>3744</v>
      </c>
      <c r="T29" s="197">
        <f>+'12m'!F61</f>
        <v>753527</v>
      </c>
      <c r="U29" s="200">
        <f>+'12m'!G61</f>
        <v>0.56653609611596467</v>
      </c>
      <c r="V29" s="197">
        <f>+'12m'!H61</f>
        <v>13064557.759999998</v>
      </c>
      <c r="W29" s="197">
        <f>+'12m'!K61</f>
        <v>3000</v>
      </c>
      <c r="X29" s="197">
        <f>+'12m'!L61</f>
        <v>455013</v>
      </c>
      <c r="Y29" s="200">
        <f>+'12m'!M61</f>
        <v>0.42890451020268694</v>
      </c>
      <c r="Z29" s="197">
        <f>+'12m'!N61</f>
        <v>6219192.9100000001</v>
      </c>
      <c r="AA29" s="197">
        <f>+'12m'!Q61</f>
        <v>496</v>
      </c>
      <c r="AB29" s="197">
        <f>+'12m'!R61</f>
        <v>167194</v>
      </c>
      <c r="AC29" s="200">
        <f>+'12m'!S61</f>
        <v>0.94349279799105568</v>
      </c>
      <c r="AD29" s="197">
        <f>+'12m'!T61</f>
        <v>3384608.8</v>
      </c>
      <c r="AE29" s="197">
        <f>+'12m'!W61</f>
        <v>248</v>
      </c>
      <c r="AF29" s="197">
        <f>+'12m'!X61</f>
        <v>131320</v>
      </c>
      <c r="AG29" s="656">
        <f>+'12m'!Y61</f>
        <v>1.4277016742770168</v>
      </c>
      <c r="AH29" s="197">
        <f>+'12m'!Z61</f>
        <v>3460756.05</v>
      </c>
    </row>
    <row r="30" spans="1:34" x14ac:dyDescent="0.2">
      <c r="A30" s="197">
        <v>1028</v>
      </c>
      <c r="B30" s="197" t="s">
        <v>67</v>
      </c>
      <c r="C30" s="198">
        <f>+'12m'!E131</f>
        <v>18089</v>
      </c>
      <c r="D30" s="198">
        <f>+'12m'!F131</f>
        <v>3797971</v>
      </c>
      <c r="E30" s="199">
        <f>+'12m'!G131</f>
        <v>0.58486875386431336</v>
      </c>
      <c r="F30" s="198">
        <f>+'12m'!H131</f>
        <v>68627415.5</v>
      </c>
      <c r="G30" s="198">
        <f>+'12m'!K131</f>
        <v>13452</v>
      </c>
      <c r="H30" s="198">
        <f>+'12m'!L131</f>
        <v>2084277</v>
      </c>
      <c r="I30" s="200">
        <f>+'12m'!M131</f>
        <v>0.43297933390495352</v>
      </c>
      <c r="J30" s="198">
        <f>+'12m'!N131</f>
        <v>29179807.789999999</v>
      </c>
      <c r="K30" s="198">
        <f>+'12m'!Q131</f>
        <v>3453</v>
      </c>
      <c r="L30" s="198">
        <f>+'12m'!R131</f>
        <v>1145548</v>
      </c>
      <c r="M30" s="200">
        <f>+'12m'!S131</f>
        <v>0.9151443858384245</v>
      </c>
      <c r="N30" s="198">
        <f>+'12m'!T131</f>
        <v>24054416.910000004</v>
      </c>
      <c r="O30" s="198">
        <f>+'12m'!W131</f>
        <v>1184</v>
      </c>
      <c r="P30" s="198">
        <f>+'12m'!X131</f>
        <v>568146</v>
      </c>
      <c r="Q30" s="199">
        <f>+'12m'!Y131</f>
        <v>1.3269943593875908</v>
      </c>
      <c r="R30" s="198">
        <f>+'12m'!Z131</f>
        <v>15393190.799999999</v>
      </c>
      <c r="S30" s="197">
        <f>+'12m'!E62</f>
        <v>18785</v>
      </c>
      <c r="T30" s="197">
        <f>+'12m'!F62</f>
        <v>3874267</v>
      </c>
      <c r="U30" s="200">
        <f>+'12m'!G62</f>
        <v>0.57571351830483819</v>
      </c>
      <c r="V30" s="197">
        <f>+'12m'!H62</f>
        <v>69762965.810000002</v>
      </c>
      <c r="W30" s="197">
        <f>+'12m'!K62</f>
        <v>14158</v>
      </c>
      <c r="X30" s="197">
        <f>+'12m'!L62</f>
        <v>2155303</v>
      </c>
      <c r="Y30" s="200">
        <f>+'12m'!M62</f>
        <v>0.42773920507261115</v>
      </c>
      <c r="Z30" s="197">
        <f>+'12m'!N62</f>
        <v>30185200.380000003</v>
      </c>
      <c r="AA30" s="197">
        <f>+'12m'!Q62</f>
        <v>3453</v>
      </c>
      <c r="AB30" s="197">
        <f>+'12m'!R62</f>
        <v>1154379</v>
      </c>
      <c r="AC30" s="200">
        <f>+'12m'!S62</f>
        <v>0.91592302107756207</v>
      </c>
      <c r="AD30" s="197">
        <f>+'12m'!T62</f>
        <v>24290050.82</v>
      </c>
      <c r="AE30" s="197">
        <f>+'12m'!W62</f>
        <v>1174</v>
      </c>
      <c r="AF30" s="197">
        <f>+'12m'!X62</f>
        <v>564585</v>
      </c>
      <c r="AG30" s="656">
        <f>+'12m'!Y62</f>
        <v>1.3119662588448535</v>
      </c>
      <c r="AH30" s="197">
        <f>+'12m'!Z62</f>
        <v>15287714.609999999</v>
      </c>
    </row>
    <row r="31" spans="1:34" x14ac:dyDescent="0.2">
      <c r="A31" s="197">
        <v>1029</v>
      </c>
      <c r="B31" s="197" t="s">
        <v>68</v>
      </c>
      <c r="C31" s="198">
        <f>+'12m'!E132</f>
        <v>3284</v>
      </c>
      <c r="D31" s="198">
        <f>+'12m'!F132</f>
        <v>567964</v>
      </c>
      <c r="E31" s="199">
        <f>+'12m'!G132</f>
        <v>0.50349967753588665</v>
      </c>
      <c r="F31" s="198">
        <f>+'12m'!H132</f>
        <v>9682570.4000000004</v>
      </c>
      <c r="G31" s="198">
        <f>+'12m'!K132</f>
        <v>2487</v>
      </c>
      <c r="H31" s="198">
        <f>+'12m'!L132</f>
        <v>320247</v>
      </c>
      <c r="I31" s="200">
        <f>+'12m'!M132</f>
        <v>0.37201146537879604</v>
      </c>
      <c r="J31" s="198">
        <f>+'12m'!N132</f>
        <v>4209704</v>
      </c>
      <c r="K31" s="198">
        <f>+'12m'!Q132</f>
        <v>660</v>
      </c>
      <c r="L31" s="198">
        <f>+'12m'!R132</f>
        <v>186450</v>
      </c>
      <c r="M31" s="200">
        <f>+'12m'!S132</f>
        <v>0.85564810353135534</v>
      </c>
      <c r="N31" s="198">
        <f>+'12m'!T132</f>
        <v>3794944.1999999997</v>
      </c>
      <c r="O31" s="198">
        <f>+'12m'!W132</f>
        <v>137</v>
      </c>
      <c r="P31" s="198">
        <f>+'12m'!X132</f>
        <v>61267</v>
      </c>
      <c r="Q31" s="199">
        <f>+'12m'!Y132</f>
        <v>1.2433688483003551</v>
      </c>
      <c r="R31" s="198">
        <f>+'12m'!Z132</f>
        <v>1677922.2</v>
      </c>
      <c r="S31" s="197">
        <f>+'12m'!E63</f>
        <v>3511</v>
      </c>
      <c r="T31" s="197">
        <f>+'12m'!F63</f>
        <v>598115</v>
      </c>
      <c r="U31" s="200">
        <f>+'12m'!G63</f>
        <v>0.48231677200197565</v>
      </c>
      <c r="V31" s="197">
        <f>+'12m'!H63</f>
        <v>10181185.290000001</v>
      </c>
      <c r="W31" s="197">
        <f>+'12m'!K63</f>
        <v>2709</v>
      </c>
      <c r="X31" s="197">
        <f>+'12m'!L63</f>
        <v>341406</v>
      </c>
      <c r="Y31" s="200">
        <f>+'12m'!M63</f>
        <v>0.36003037109683955</v>
      </c>
      <c r="Z31" s="197">
        <f>+'12m'!N63</f>
        <v>4484652.1899999995</v>
      </c>
      <c r="AA31" s="197">
        <f>+'12m'!Q63</f>
        <v>667</v>
      </c>
      <c r="AB31" s="197">
        <f>+'12m'!R63</f>
        <v>185675</v>
      </c>
      <c r="AC31" s="200">
        <f>+'12m'!S63</f>
        <v>0.76668972138204416</v>
      </c>
      <c r="AD31" s="197">
        <f>+'12m'!T63</f>
        <v>3757502.5</v>
      </c>
      <c r="AE31" s="197">
        <f>+'12m'!W63</f>
        <v>135</v>
      </c>
      <c r="AF31" s="197">
        <f>+'12m'!X63</f>
        <v>71034</v>
      </c>
      <c r="AG31" s="656">
        <f>+'12m'!Y63</f>
        <v>1.4309830781627717</v>
      </c>
      <c r="AH31" s="197">
        <f>+'12m'!Z63</f>
        <v>1939030.6</v>
      </c>
    </row>
    <row r="32" spans="1:34" x14ac:dyDescent="0.2">
      <c r="A32" s="197">
        <v>1030</v>
      </c>
      <c r="B32" s="197" t="s">
        <v>69</v>
      </c>
      <c r="C32" s="198">
        <f>+'12m'!E112</f>
        <v>3879</v>
      </c>
      <c r="D32" s="198">
        <f>+'12m'!F112</f>
        <v>835660</v>
      </c>
      <c r="E32" s="199">
        <f>+'12m'!G112</f>
        <v>0.60424371920158215</v>
      </c>
      <c r="F32" s="198">
        <f>+'12m'!H112</f>
        <v>14218162.370000001</v>
      </c>
      <c r="G32" s="198">
        <f>+'12m'!K112</f>
        <v>2986</v>
      </c>
      <c r="H32" s="198">
        <f>+'12m'!L112</f>
        <v>549159</v>
      </c>
      <c r="I32" s="200">
        <f>+'12m'!M112</f>
        <v>0.50992889526502361</v>
      </c>
      <c r="J32" s="198">
        <f>+'12m'!N112</f>
        <v>7808400.9700000007</v>
      </c>
      <c r="K32" s="198">
        <f>+'12m'!Q112</f>
        <v>707</v>
      </c>
      <c r="L32" s="198">
        <f>+'12m'!R112</f>
        <v>217401</v>
      </c>
      <c r="M32" s="200">
        <f>+'12m'!S112</f>
        <v>0.90519631927384769</v>
      </c>
      <c r="N32" s="198">
        <f>+'12m'!T112</f>
        <v>4624519.6500000004</v>
      </c>
      <c r="O32" s="198">
        <f>+'12m'!W112</f>
        <v>186</v>
      </c>
      <c r="P32" s="198">
        <f>+'12m'!X112</f>
        <v>69100</v>
      </c>
      <c r="Q32" s="199">
        <f>+'12m'!Y112</f>
        <v>1.0488369445603916</v>
      </c>
      <c r="R32" s="198">
        <f>+'12m'!Z112</f>
        <v>1785241.75</v>
      </c>
      <c r="S32" s="197">
        <f>+'12m'!E43</f>
        <v>4055</v>
      </c>
      <c r="T32" s="197">
        <f>+'12m'!F43</f>
        <v>848753</v>
      </c>
      <c r="U32" s="200">
        <f>+'12m'!G43</f>
        <v>0.58617360346143355</v>
      </c>
      <c r="V32" s="197">
        <f>+'12m'!H43</f>
        <v>14472320.319999998</v>
      </c>
      <c r="W32" s="197">
        <f>+'12m'!K43</f>
        <v>3099</v>
      </c>
      <c r="X32" s="197">
        <f>+'12m'!L43</f>
        <v>539492</v>
      </c>
      <c r="Y32" s="200">
        <f>+'12m'!M43</f>
        <v>0.48580452718902306</v>
      </c>
      <c r="Z32" s="197">
        <f>+'12m'!N43</f>
        <v>7535803.0599999996</v>
      </c>
      <c r="AA32" s="197">
        <f>+'12m'!Q43</f>
        <v>758</v>
      </c>
      <c r="AB32" s="197">
        <f>+'12m'!R43</f>
        <v>225944</v>
      </c>
      <c r="AC32" s="200">
        <f>+'12m'!S43</f>
        <v>0.84508485670204314</v>
      </c>
      <c r="AD32" s="197">
        <f>+'12m'!T43</f>
        <v>4770374.2600000007</v>
      </c>
      <c r="AE32" s="197">
        <f>+'12m'!W43</f>
        <v>198</v>
      </c>
      <c r="AF32" s="197">
        <f>+'12m'!X43</f>
        <v>83317</v>
      </c>
      <c r="AG32" s="656">
        <f>+'12m'!Y43</f>
        <v>1.1888841324200912</v>
      </c>
      <c r="AH32" s="197">
        <f>+'12m'!Z43</f>
        <v>2166143</v>
      </c>
    </row>
    <row r="33" spans="1:47" x14ac:dyDescent="0.2">
      <c r="A33" s="197"/>
      <c r="B33" s="197"/>
      <c r="C33" s="198">
        <f>SUM(C6:C32)</f>
        <v>365987</v>
      </c>
      <c r="D33" s="198">
        <f>SUM(D6:D32)</f>
        <v>90500743</v>
      </c>
      <c r="E33" s="199">
        <f>+E5</f>
        <v>0.69454176007409196</v>
      </c>
      <c r="F33" s="198">
        <f t="shared" ref="F33:AH33" si="0">SUM(F6:F32)</f>
        <v>1697230855.0299997</v>
      </c>
      <c r="G33" s="198">
        <f t="shared" si="0"/>
        <v>286319</v>
      </c>
      <c r="H33" s="198">
        <f t="shared" si="0"/>
        <v>48227806</v>
      </c>
      <c r="I33" s="200">
        <f>+I5</f>
        <v>0.47321119160548153</v>
      </c>
      <c r="J33" s="198">
        <f t="shared" si="0"/>
        <v>677530673.28000009</v>
      </c>
      <c r="K33" s="198">
        <f t="shared" si="0"/>
        <v>56720</v>
      </c>
      <c r="L33" s="198">
        <f t="shared" si="0"/>
        <v>24701858</v>
      </c>
      <c r="M33" s="200">
        <f>+M5</f>
        <v>1.2328658818925962</v>
      </c>
      <c r="N33" s="198">
        <f t="shared" si="0"/>
        <v>534085110.81999993</v>
      </c>
      <c r="O33" s="198">
        <f t="shared" si="0"/>
        <v>22948</v>
      </c>
      <c r="P33" s="198">
        <f t="shared" si="0"/>
        <v>17571079</v>
      </c>
      <c r="Q33" s="199">
        <f>+Q5</f>
        <v>2.1041564117295026</v>
      </c>
      <c r="R33" s="198">
        <f t="shared" si="0"/>
        <v>485615061.93000001</v>
      </c>
      <c r="S33" s="198">
        <f t="shared" si="0"/>
        <v>381757</v>
      </c>
      <c r="T33" s="198">
        <f t="shared" si="0"/>
        <v>92253820</v>
      </c>
      <c r="U33" s="200">
        <f>+U5</f>
        <v>0.67603402175295801</v>
      </c>
      <c r="V33" s="198">
        <f t="shared" si="0"/>
        <v>1727546065.8300002</v>
      </c>
      <c r="W33" s="198">
        <f t="shared" si="0"/>
        <v>300481</v>
      </c>
      <c r="X33" s="198">
        <f t="shared" si="0"/>
        <v>49104734</v>
      </c>
      <c r="Y33" s="200">
        <f>+Y5</f>
        <v>0.4585327805324444</v>
      </c>
      <c r="Z33" s="198">
        <f t="shared" si="0"/>
        <v>686292847.74000001</v>
      </c>
      <c r="AA33" s="198">
        <f t="shared" si="0"/>
        <v>58596</v>
      </c>
      <c r="AB33" s="198">
        <f t="shared" si="0"/>
        <v>25588960</v>
      </c>
      <c r="AC33" s="200">
        <f>+AC5</f>
        <v>1.2159065476781608</v>
      </c>
      <c r="AD33" s="198">
        <f t="shared" si="0"/>
        <v>555075538.64999998</v>
      </c>
      <c r="AE33" s="198">
        <f t="shared" si="0"/>
        <v>22680</v>
      </c>
      <c r="AF33" s="198">
        <f t="shared" si="0"/>
        <v>17560126</v>
      </c>
      <c r="AG33" s="200">
        <f>+AG5</f>
        <v>2.1087899643453731</v>
      </c>
      <c r="AH33" s="198">
        <f t="shared" si="0"/>
        <v>486177679.44</v>
      </c>
    </row>
    <row r="36" spans="1:47" ht="15" thickBot="1" x14ac:dyDescent="0.25"/>
    <row r="37" spans="1:47" x14ac:dyDescent="0.2">
      <c r="A37" s="205">
        <v>1</v>
      </c>
      <c r="B37" s="206">
        <v>2</v>
      </c>
      <c r="C37" s="206">
        <v>3</v>
      </c>
      <c r="D37" s="206">
        <v>4</v>
      </c>
      <c r="E37" s="206">
        <v>5</v>
      </c>
      <c r="F37" s="206">
        <v>6</v>
      </c>
      <c r="G37" s="206">
        <v>7</v>
      </c>
      <c r="H37" s="206">
        <v>8</v>
      </c>
      <c r="I37" s="206">
        <v>9</v>
      </c>
      <c r="J37" s="206">
        <v>10</v>
      </c>
      <c r="K37" s="206">
        <v>11</v>
      </c>
      <c r="L37" s="206">
        <v>12</v>
      </c>
      <c r="M37" s="206">
        <v>13</v>
      </c>
      <c r="N37" s="206">
        <v>14</v>
      </c>
      <c r="O37" s="207">
        <v>15</v>
      </c>
      <c r="P37" s="209">
        <v>16</v>
      </c>
      <c r="Q37" s="220">
        <v>17</v>
      </c>
      <c r="R37" s="221">
        <v>18</v>
      </c>
      <c r="S37" s="221">
        <v>19</v>
      </c>
      <c r="T37" s="221">
        <v>20</v>
      </c>
      <c r="U37" s="221">
        <v>21</v>
      </c>
      <c r="V37" s="221">
        <v>22</v>
      </c>
      <c r="W37" s="221">
        <v>23</v>
      </c>
      <c r="X37" s="221">
        <v>24</v>
      </c>
      <c r="Y37" s="221">
        <v>25</v>
      </c>
      <c r="Z37" s="221">
        <v>26</v>
      </c>
      <c r="AA37" s="221">
        <v>27</v>
      </c>
      <c r="AB37" s="221">
        <v>28</v>
      </c>
      <c r="AC37" s="221">
        <v>29</v>
      </c>
      <c r="AD37" s="221">
        <v>30</v>
      </c>
      <c r="AE37" s="222">
        <v>31</v>
      </c>
      <c r="AF37" s="219">
        <v>32</v>
      </c>
      <c r="AG37" s="233">
        <v>33</v>
      </c>
      <c r="AH37" s="234">
        <v>34</v>
      </c>
      <c r="AI37" s="234">
        <v>35</v>
      </c>
      <c r="AJ37" s="234">
        <v>36</v>
      </c>
      <c r="AK37" s="234">
        <v>37</v>
      </c>
      <c r="AL37" s="234">
        <v>38</v>
      </c>
      <c r="AM37" s="234">
        <v>39</v>
      </c>
      <c r="AN37" s="234">
        <v>40</v>
      </c>
      <c r="AO37" s="234">
        <v>41</v>
      </c>
      <c r="AP37" s="234">
        <v>42</v>
      </c>
      <c r="AQ37" s="234">
        <v>43</v>
      </c>
      <c r="AR37" s="234">
        <v>44</v>
      </c>
      <c r="AS37" s="234">
        <v>45</v>
      </c>
      <c r="AT37" s="234">
        <v>46</v>
      </c>
      <c r="AU37" s="235">
        <v>47</v>
      </c>
    </row>
    <row r="38" spans="1:47" s="196" customFormat="1" x14ac:dyDescent="0.2">
      <c r="A38" s="214" t="s">
        <v>86</v>
      </c>
      <c r="B38" s="208"/>
      <c r="C38" s="209"/>
      <c r="D38" s="209"/>
      <c r="E38" s="209"/>
      <c r="F38" s="209"/>
      <c r="G38" s="209"/>
      <c r="H38" s="209"/>
      <c r="I38" s="209"/>
      <c r="J38" s="209"/>
      <c r="K38" s="209"/>
      <c r="L38" s="209"/>
      <c r="M38" s="209"/>
      <c r="N38" s="209"/>
      <c r="O38" s="210"/>
      <c r="P38" s="209"/>
      <c r="Q38" s="223" t="s">
        <v>88</v>
      </c>
      <c r="R38" s="224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6"/>
      <c r="AG38" s="236" t="s">
        <v>87</v>
      </c>
      <c r="AH38" s="237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38"/>
      <c r="AT38" s="238"/>
      <c r="AU38" s="239"/>
    </row>
    <row r="39" spans="1:47" s="337" customFormat="1" x14ac:dyDescent="0.2">
      <c r="A39" s="328" t="s">
        <v>40</v>
      </c>
      <c r="B39" s="329" t="s">
        <v>41</v>
      </c>
      <c r="C39" s="330" t="s">
        <v>74</v>
      </c>
      <c r="D39" s="330" t="s">
        <v>75</v>
      </c>
      <c r="E39" s="330" t="s">
        <v>76</v>
      </c>
      <c r="F39" s="330" t="s">
        <v>77</v>
      </c>
      <c r="G39" s="330" t="s">
        <v>78</v>
      </c>
      <c r="H39" s="330" t="s">
        <v>79</v>
      </c>
      <c r="I39" s="330" t="s">
        <v>80</v>
      </c>
      <c r="J39" s="330" t="s">
        <v>81</v>
      </c>
      <c r="K39" s="330" t="s">
        <v>82</v>
      </c>
      <c r="L39" s="330" t="s">
        <v>83</v>
      </c>
      <c r="M39" s="330" t="s">
        <v>84</v>
      </c>
      <c r="N39" s="330" t="s">
        <v>85</v>
      </c>
      <c r="O39" s="331" t="s">
        <v>21</v>
      </c>
      <c r="P39" s="332"/>
      <c r="Q39" s="333" t="s">
        <v>40</v>
      </c>
      <c r="R39" s="334" t="s">
        <v>41</v>
      </c>
      <c r="S39" s="335" t="s">
        <v>74</v>
      </c>
      <c r="T39" s="335" t="s">
        <v>75</v>
      </c>
      <c r="U39" s="335" t="s">
        <v>76</v>
      </c>
      <c r="V39" s="335" t="s">
        <v>77</v>
      </c>
      <c r="W39" s="335" t="s">
        <v>78</v>
      </c>
      <c r="X39" s="335" t="s">
        <v>79</v>
      </c>
      <c r="Y39" s="335" t="s">
        <v>80</v>
      </c>
      <c r="Z39" s="335" t="s">
        <v>81</v>
      </c>
      <c r="AA39" s="335" t="s">
        <v>82</v>
      </c>
      <c r="AB39" s="335" t="s">
        <v>83</v>
      </c>
      <c r="AC39" s="335" t="s">
        <v>84</v>
      </c>
      <c r="AD39" s="335" t="s">
        <v>85</v>
      </c>
      <c r="AE39" s="336" t="s">
        <v>21</v>
      </c>
      <c r="AG39" s="338" t="s">
        <v>40</v>
      </c>
      <c r="AH39" s="339" t="s">
        <v>41</v>
      </c>
      <c r="AI39" s="340" t="s">
        <v>74</v>
      </c>
      <c r="AJ39" s="340" t="s">
        <v>75</v>
      </c>
      <c r="AK39" s="340" t="s">
        <v>76</v>
      </c>
      <c r="AL39" s="340" t="s">
        <v>77</v>
      </c>
      <c r="AM39" s="340" t="s">
        <v>78</v>
      </c>
      <c r="AN39" s="340" t="s">
        <v>79</v>
      </c>
      <c r="AO39" s="340" t="s">
        <v>80</v>
      </c>
      <c r="AP39" s="340" t="s">
        <v>81</v>
      </c>
      <c r="AQ39" s="340" t="s">
        <v>82</v>
      </c>
      <c r="AR39" s="340" t="s">
        <v>83</v>
      </c>
      <c r="AS39" s="340" t="s">
        <v>84</v>
      </c>
      <c r="AT39" s="340" t="s">
        <v>85</v>
      </c>
      <c r="AU39" s="341" t="s">
        <v>21</v>
      </c>
    </row>
    <row r="40" spans="1:47" s="346" customFormat="1" x14ac:dyDescent="0.2">
      <c r="A40" s="342">
        <v>1003</v>
      </c>
      <c r="B40" s="343" t="s">
        <v>42</v>
      </c>
      <c r="C40" s="443">
        <f>SUM(C41:C67)</f>
        <v>1846</v>
      </c>
      <c r="D40" s="443">
        <f t="shared" ref="D40:N40" si="1">SUM(D41:D67)</f>
        <v>1511</v>
      </c>
      <c r="E40" s="443">
        <f t="shared" si="1"/>
        <v>1450</v>
      </c>
      <c r="F40" s="443">
        <f t="shared" si="1"/>
        <v>1282</v>
      </c>
      <c r="G40" s="443">
        <f t="shared" si="1"/>
        <v>1405</v>
      </c>
      <c r="H40" s="443">
        <f t="shared" si="1"/>
        <v>1879</v>
      </c>
      <c r="I40" s="443">
        <f t="shared" si="1"/>
        <v>1201</v>
      </c>
      <c r="J40" s="443">
        <f t="shared" si="1"/>
        <v>1390</v>
      </c>
      <c r="K40" s="443">
        <f t="shared" si="1"/>
        <v>1480</v>
      </c>
      <c r="L40" s="443">
        <f t="shared" si="1"/>
        <v>1319</v>
      </c>
      <c r="M40" s="443">
        <f t="shared" si="1"/>
        <v>1868</v>
      </c>
      <c r="N40" s="443">
        <f t="shared" si="1"/>
        <v>2402</v>
      </c>
      <c r="O40" s="444">
        <f>SUM(C40:N40)</f>
        <v>19033</v>
      </c>
      <c r="P40" s="349"/>
      <c r="Q40" s="344">
        <v>1003</v>
      </c>
      <c r="R40" s="345" t="s">
        <v>42</v>
      </c>
      <c r="S40" s="350">
        <f t="shared" ref="S40:AD40" si="2">SUM(S41:S67)</f>
        <v>1493.5236963601665</v>
      </c>
      <c r="T40" s="350">
        <f t="shared" si="2"/>
        <v>1600.5476583531117</v>
      </c>
      <c r="U40" s="350">
        <f t="shared" si="2"/>
        <v>1513.7758102981145</v>
      </c>
      <c r="V40" s="350">
        <f t="shared" si="2"/>
        <v>1467.2750300223981</v>
      </c>
      <c r="W40" s="350">
        <f t="shared" si="2"/>
        <v>1939.4170583833165</v>
      </c>
      <c r="X40" s="350">
        <f t="shared" si="2"/>
        <v>2069.4107403808753</v>
      </c>
      <c r="Y40" s="350">
        <f t="shared" si="2"/>
        <v>1886.6372465131287</v>
      </c>
      <c r="Z40" s="350">
        <f t="shared" si="2"/>
        <v>2039.3220987639236</v>
      </c>
      <c r="AA40" s="350">
        <f t="shared" si="2"/>
        <v>2111.5110146156389</v>
      </c>
      <c r="AB40" s="350">
        <f t="shared" si="2"/>
        <v>1720.1958038670077</v>
      </c>
      <c r="AC40" s="350">
        <f t="shared" si="2"/>
        <v>1779.0919029958891</v>
      </c>
      <c r="AD40" s="350">
        <f t="shared" si="2"/>
        <v>1879.2919394464295</v>
      </c>
      <c r="AE40" s="351">
        <f>SUM(S40:AD40)</f>
        <v>21500</v>
      </c>
      <c r="AG40" s="347">
        <v>1003</v>
      </c>
      <c r="AH40" s="348" t="s">
        <v>42</v>
      </c>
      <c r="AI40" s="352">
        <f t="shared" ref="AI40:AT40" si="3">SUM(AI41:AI67)</f>
        <v>1185</v>
      </c>
      <c r="AJ40" s="352">
        <f t="shared" si="3"/>
        <v>1513</v>
      </c>
      <c r="AK40" s="352">
        <f t="shared" si="3"/>
        <v>1477</v>
      </c>
      <c r="AL40" s="352">
        <f t="shared" si="3"/>
        <v>1184</v>
      </c>
      <c r="AM40" s="352">
        <f t="shared" si="3"/>
        <v>1682</v>
      </c>
      <c r="AN40" s="352">
        <f t="shared" si="3"/>
        <v>2017</v>
      </c>
      <c r="AO40" s="352">
        <f t="shared" si="3"/>
        <v>1778</v>
      </c>
      <c r="AP40" s="352">
        <f t="shared" si="3"/>
        <v>2307</v>
      </c>
      <c r="AQ40" s="352">
        <f t="shared" si="3"/>
        <v>2464</v>
      </c>
      <c r="AR40" s="352">
        <f t="shared" si="3"/>
        <v>1659</v>
      </c>
      <c r="AS40" s="352">
        <f t="shared" si="3"/>
        <v>1975</v>
      </c>
      <c r="AT40" s="352">
        <f t="shared" si="3"/>
        <v>2284</v>
      </c>
      <c r="AU40" s="353">
        <f>SUM(AI40:AT40)</f>
        <v>21525</v>
      </c>
    </row>
    <row r="41" spans="1:47" s="360" customFormat="1" x14ac:dyDescent="0.2">
      <c r="A41" s="354">
        <v>1004</v>
      </c>
      <c r="B41" s="355" t="s">
        <v>43</v>
      </c>
      <c r="C41" s="445">
        <f>+[2]ต.ค.59!$G$9</f>
        <v>820</v>
      </c>
      <c r="D41" s="445">
        <f>+[2]พ.ย.59!$G$9</f>
        <v>404</v>
      </c>
      <c r="E41" s="445">
        <f>+[2]ธ.ค.59!$G$9</f>
        <v>480</v>
      </c>
      <c r="F41" s="445">
        <f>+[2]ม.ค.60!$G$9</f>
        <v>347</v>
      </c>
      <c r="G41" s="445">
        <f>+[2]ก.พ.60!$G$9</f>
        <v>382</v>
      </c>
      <c r="H41" s="445">
        <f>+[2]มี.ค.60!$G$9</f>
        <v>505</v>
      </c>
      <c r="I41" s="445">
        <f>+[2]เม.ย.60!$G$9</f>
        <v>243</v>
      </c>
      <c r="J41" s="445">
        <f>+[2]พ.ค.60!$G$9</f>
        <v>404</v>
      </c>
      <c r="K41" s="445">
        <f>+[2]มิ.ย.60!$G$9</f>
        <v>462</v>
      </c>
      <c r="L41" s="445">
        <f>+[2]ก.ค.60!$G$9</f>
        <v>380</v>
      </c>
      <c r="M41" s="445">
        <f>+[2]ส.ค.60!$G$9</f>
        <v>693</v>
      </c>
      <c r="N41" s="445">
        <f>+[2]ก.ย.60!$G$9</f>
        <v>1473</v>
      </c>
      <c r="O41" s="444">
        <f t="shared" ref="O41:O67" si="4">SUM(C41:N41)</f>
        <v>6593</v>
      </c>
      <c r="P41" s="356"/>
      <c r="Q41" s="357">
        <v>1004</v>
      </c>
      <c r="R41" s="358" t="s">
        <v>43</v>
      </c>
      <c r="S41" s="359">
        <f>+[3]ผู้ใช้น้ำเพิ่ม!AB35</f>
        <v>431.74921728240452</v>
      </c>
      <c r="T41" s="359">
        <f>+[3]ผู้ใช้น้ำเพิ่ม!AC35</f>
        <v>518.22959716134426</v>
      </c>
      <c r="U41" s="359">
        <f>+[3]ผู้ใช้น้ำเพิ่ม!AD35</f>
        <v>470.91014402003759</v>
      </c>
      <c r="V41" s="359">
        <f>+[3]ผู้ใช้น้ำเพิ่ม!AE35</f>
        <v>387.69317470256732</v>
      </c>
      <c r="W41" s="359">
        <f>+[3]ผู้ใช้น้ำเพิ่ม!AF35</f>
        <v>529.65153412648715</v>
      </c>
      <c r="X41" s="359">
        <f>+[3]ผู้ใช้น้ำเพิ่ม!AG35</f>
        <v>544.6632227092465</v>
      </c>
      <c r="Y41" s="359">
        <f>+[3]ผู้ใช้น้ำเพิ่ม!AH35</f>
        <v>486.24817365894381</v>
      </c>
      <c r="Z41" s="359">
        <f>+[3]ผู้ใช้น้ำเพิ่ม!AI35</f>
        <v>528.67251095804636</v>
      </c>
      <c r="AA41" s="359">
        <f>+[3]ผู้ใช้น้ำเพิ่ม!AJ35</f>
        <v>582.19244416614481</v>
      </c>
      <c r="AB41" s="359">
        <f>+[3]ผู้ใช้น้ำเพิ่ม!AK35</f>
        <v>543.68419954080571</v>
      </c>
      <c r="AC41" s="359">
        <f>+[3]ผู้ใช้น้ำเพิ่ม!AL35</f>
        <v>620.70068879148403</v>
      </c>
      <c r="AD41" s="359">
        <f>+[3]ผู้ใช้น้ำเพิ่ม!AM35</f>
        <v>609.60509288248795</v>
      </c>
      <c r="AE41" s="351">
        <f t="shared" ref="AE41:AE67" si="5">SUM(S41:AD41)</f>
        <v>6254</v>
      </c>
      <c r="AF41" s="360">
        <f>+[3]ผู้ใช้น้ำเพิ่ม!AO35</f>
        <v>6254</v>
      </c>
      <c r="AG41" s="361">
        <v>1004</v>
      </c>
      <c r="AH41" s="362" t="s">
        <v>43</v>
      </c>
      <c r="AI41" s="363">
        <f>+[4]ต.ค.58!$G$9</f>
        <v>293</v>
      </c>
      <c r="AJ41" s="363">
        <f>+[4]พ.ย.58!$G$9</f>
        <v>516</v>
      </c>
      <c r="AK41" s="363">
        <f>+[4]ธ.ค.58!$G$9</f>
        <v>482</v>
      </c>
      <c r="AL41" s="363">
        <f>+[4]ม.ค.59!$G$9</f>
        <v>301</v>
      </c>
      <c r="AM41" s="363">
        <f>+[4]ก.พ.59!$G$9</f>
        <v>434</v>
      </c>
      <c r="AN41" s="363">
        <f>+[4]มี.ค.59!$G$9</f>
        <v>492</v>
      </c>
      <c r="AO41" s="363">
        <f>+[4]เม.ย.59!$G$9</f>
        <v>539</v>
      </c>
      <c r="AP41" s="363">
        <f>+[4]พ.ค.59!$G$9</f>
        <v>621</v>
      </c>
      <c r="AQ41" s="363">
        <f>+[4]มิ.ย.59!$G$9</f>
        <v>764</v>
      </c>
      <c r="AR41" s="363">
        <f>+[4]ก.ค.59!$G$9</f>
        <v>612</v>
      </c>
      <c r="AS41" s="363">
        <f>+[4]ส.ค.59!$G$9</f>
        <v>732</v>
      </c>
      <c r="AT41" s="363">
        <f>+[4]ก.ย.59!$G$9</f>
        <v>803</v>
      </c>
      <c r="AU41" s="353">
        <f t="shared" ref="AU41:AU67" si="6">SUM(AI41:AT41)</f>
        <v>6589</v>
      </c>
    </row>
    <row r="42" spans="1:47" s="360" customFormat="1" x14ac:dyDescent="0.2">
      <c r="A42" s="354">
        <v>1005</v>
      </c>
      <c r="B42" s="355" t="s">
        <v>44</v>
      </c>
      <c r="C42" s="445">
        <f>+[2]ต.ค.59!$H$9</f>
        <v>7</v>
      </c>
      <c r="D42" s="445">
        <f>+[2]พ.ย.59!$H$9</f>
        <v>11</v>
      </c>
      <c r="E42" s="445">
        <f>+[2]ธ.ค.59!$H$9</f>
        <v>16</v>
      </c>
      <c r="F42" s="445">
        <f>+[2]ม.ค.60!$H$9</f>
        <v>9</v>
      </c>
      <c r="G42" s="445">
        <f>+[2]ก.พ.60!$H$9</f>
        <v>24</v>
      </c>
      <c r="H42" s="445">
        <f>+[2]มี.ค.60!$H$9</f>
        <v>22</v>
      </c>
      <c r="I42" s="445">
        <f>+[2]เม.ย.60!$H$9</f>
        <v>8</v>
      </c>
      <c r="J42" s="445">
        <f>+[2]พ.ค.60!$H$9</f>
        <v>11</v>
      </c>
      <c r="K42" s="445">
        <f>+[2]มิ.ย.60!$H$9</f>
        <v>2</v>
      </c>
      <c r="L42" s="445">
        <f>+[2]ก.ค.60!$H$9</f>
        <v>16</v>
      </c>
      <c r="M42" s="445">
        <f>+[2]ส.ค.60!$H$9</f>
        <v>3</v>
      </c>
      <c r="N42" s="445">
        <f>+[2]ก.ย.60!$H$9</f>
        <v>4</v>
      </c>
      <c r="O42" s="444">
        <f t="shared" si="4"/>
        <v>133</v>
      </c>
      <c r="P42" s="356"/>
      <c r="Q42" s="357">
        <v>1005</v>
      </c>
      <c r="R42" s="358" t="s">
        <v>44</v>
      </c>
      <c r="S42" s="359">
        <f>+[3]ผู้ใช้น้ำเพิ่ม!AB36</f>
        <v>6.9387755102040822</v>
      </c>
      <c r="T42" s="359">
        <f>+[3]ผู้ใช้น้ำเพิ่ม!AC36</f>
        <v>4.8571428571428577</v>
      </c>
      <c r="U42" s="359">
        <f>+[3]ผู้ใช้น้ำเพิ่ม!AD36</f>
        <v>7.2857142857142865</v>
      </c>
      <c r="V42" s="359">
        <f>+[3]ผู้ใช้น้ำเพิ่ม!AE36</f>
        <v>10.061224489795917</v>
      </c>
      <c r="W42" s="359">
        <f>+[3]ผู้ใช้น้ำเพิ่ม!AF36</f>
        <v>15.26530612244898</v>
      </c>
      <c r="X42" s="359">
        <f>+[3]ผู้ใช้น้ำเพิ่ม!AG36</f>
        <v>18.387755102040821</v>
      </c>
      <c r="Y42" s="359">
        <f>+[3]ผู้ใช้น้ำเพิ่ม!AH36</f>
        <v>12.489795918367347</v>
      </c>
      <c r="Z42" s="359">
        <f>+[3]ผู้ใช้น้ำเพิ่ม!AI36</f>
        <v>13.530612244897959</v>
      </c>
      <c r="AA42" s="359">
        <f>+[3]ผู้ใช้น้ำเพิ่ม!AJ36</f>
        <v>8.3265306122448983</v>
      </c>
      <c r="AB42" s="359">
        <f>+[3]ผู้ใช้น้ำเพิ่ม!AK36</f>
        <v>4.8571428571428577</v>
      </c>
      <c r="AC42" s="359">
        <f>+[3]ผู้ใช้น้ำเพิ่ม!AL36</f>
        <v>7.2857142857142865</v>
      </c>
      <c r="AD42" s="359">
        <f>+[3]ผู้ใช้น้ำเพิ่ม!AM36</f>
        <v>9.7142857142857153</v>
      </c>
      <c r="AE42" s="351">
        <f t="shared" si="5"/>
        <v>119.00000000000003</v>
      </c>
      <c r="AF42" s="360">
        <f>+[3]ผู้ใช้น้ำเพิ่ม!AO36</f>
        <v>119</v>
      </c>
      <c r="AG42" s="361">
        <v>1005</v>
      </c>
      <c r="AH42" s="362" t="s">
        <v>44</v>
      </c>
      <c r="AI42" s="363">
        <f>+[4]ต.ค.58!$H$9</f>
        <v>7</v>
      </c>
      <c r="AJ42" s="363">
        <f>+[4]พ.ย.58!$H$9</f>
        <v>3</v>
      </c>
      <c r="AK42" s="363">
        <f>+[4]ธ.ค.58!$H$9</f>
        <v>6</v>
      </c>
      <c r="AL42" s="363">
        <f>+[4]ม.ค.59!$H$9</f>
        <v>5</v>
      </c>
      <c r="AM42" s="363">
        <f>+[4]ก.พ.59!$H$9</f>
        <v>28</v>
      </c>
      <c r="AN42" s="363">
        <f>+[4]มี.ค.59!$H$9</f>
        <v>32</v>
      </c>
      <c r="AO42" s="363">
        <f>+[4]เม.ย.59!$H$9</f>
        <v>25</v>
      </c>
      <c r="AP42" s="363">
        <f>+[4]พ.ค.59!$H$9</f>
        <v>25</v>
      </c>
      <c r="AQ42" s="363">
        <f>+[4]มิ.ย.59!$H$9</f>
        <v>15</v>
      </c>
      <c r="AR42" s="363">
        <f>+[4]ก.ค.59!$H$9</f>
        <v>4</v>
      </c>
      <c r="AS42" s="363">
        <f>+[4]ส.ค.59!$H$9</f>
        <v>10</v>
      </c>
      <c r="AT42" s="363">
        <f>+[4]ก.ย.59!$H$9</f>
        <v>10</v>
      </c>
      <c r="AU42" s="353">
        <f t="shared" si="6"/>
        <v>170</v>
      </c>
    </row>
    <row r="43" spans="1:47" s="360" customFormat="1" x14ac:dyDescent="0.2">
      <c r="A43" s="354">
        <v>1006</v>
      </c>
      <c r="B43" s="355" t="s">
        <v>45</v>
      </c>
      <c r="C43" s="445">
        <f>+[2]ต.ค.59!$I$9</f>
        <v>103</v>
      </c>
      <c r="D43" s="445">
        <f>+[2]พ.ย.59!$I$9</f>
        <v>124</v>
      </c>
      <c r="E43" s="445">
        <f>+[2]ธ.ค.59!$I$9</f>
        <v>80</v>
      </c>
      <c r="F43" s="445">
        <f>+[2]ม.ค.60!$I$9</f>
        <v>108</v>
      </c>
      <c r="G43" s="445">
        <f>+[2]ก.พ.60!$I$9</f>
        <v>116</v>
      </c>
      <c r="H43" s="445">
        <f>+[2]มี.ค.60!$I$9</f>
        <v>80</v>
      </c>
      <c r="I43" s="445">
        <f>+[2]เม.ย.60!$I$9</f>
        <v>60</v>
      </c>
      <c r="J43" s="445">
        <f>+[2]พ.ค.60!$I$9</f>
        <v>81</v>
      </c>
      <c r="K43" s="445">
        <f>+[2]มิ.ย.60!$I$9</f>
        <v>133</v>
      </c>
      <c r="L43" s="445">
        <f>+[2]ก.ค.60!$I$9</f>
        <v>119</v>
      </c>
      <c r="M43" s="445">
        <f>+[2]ส.ค.60!$I$9</f>
        <v>98</v>
      </c>
      <c r="N43" s="445">
        <f>+[2]ก.ย.60!$I$9</f>
        <v>69</v>
      </c>
      <c r="O43" s="444">
        <f t="shared" si="4"/>
        <v>1171</v>
      </c>
      <c r="P43" s="356"/>
      <c r="Q43" s="357">
        <v>1006</v>
      </c>
      <c r="R43" s="358" t="s">
        <v>45</v>
      </c>
      <c r="S43" s="359">
        <f>+[3]ผู้ใช้น้ำเพิ่ม!AB37</f>
        <v>121.56397660818715</v>
      </c>
      <c r="T43" s="359">
        <f>+[3]ผู้ใช้น้ำเพิ่ม!AC37</f>
        <v>97.498011695906428</v>
      </c>
      <c r="U43" s="359">
        <f>+[3]ผู้ใช้น้ำเพิ่ม!AD37</f>
        <v>98.115087719298259</v>
      </c>
      <c r="V43" s="359">
        <f>+[3]ผู้ใช้น้ำเพิ่ม!AE37</f>
        <v>79.911345029239754</v>
      </c>
      <c r="W43" s="359">
        <f>+[3]ผู้ใช้น้ำเพิ่ม!AF37</f>
        <v>126.50058479532163</v>
      </c>
      <c r="X43" s="359">
        <f>+[3]ผู้ใช้น้ำเพิ่ม!AG37</f>
        <v>130.2030409356725</v>
      </c>
      <c r="Y43" s="359">
        <f>+[3]ผู้ใช้น้ำเพิ่ม!AH37</f>
        <v>94.104093567251468</v>
      </c>
      <c r="Z43" s="359">
        <f>+[3]ผู้ใช้น้ำเพิ่ม!AI37</f>
        <v>146.55555555555557</v>
      </c>
      <c r="AA43" s="359">
        <f>+[3]ผู้ใช้น้ำเพิ่ม!AJ37</f>
        <v>126.19204678362574</v>
      </c>
      <c r="AB43" s="359">
        <f>+[3]ผู้ใช้น้ำเพิ่ม!AK37</f>
        <v>113.54198830409358</v>
      </c>
      <c r="AC43" s="359">
        <f>+[3]ผู้ใช้น้ำเพิ่ม!AL37</f>
        <v>98.115087719298259</v>
      </c>
      <c r="AD43" s="359">
        <f>+[3]ผู้ใช้น้ำเพิ่ม!AM37</f>
        <v>86.699181286549717</v>
      </c>
      <c r="AE43" s="351">
        <f t="shared" si="5"/>
        <v>1319</v>
      </c>
      <c r="AF43" s="360">
        <f>+[3]ผู้ใช้น้ำเพิ่ม!AO37</f>
        <v>1319</v>
      </c>
      <c r="AG43" s="361">
        <v>1006</v>
      </c>
      <c r="AH43" s="362" t="s">
        <v>45</v>
      </c>
      <c r="AI43" s="363">
        <f>+[4]ต.ค.58!$I$9</f>
        <v>137</v>
      </c>
      <c r="AJ43" s="363">
        <f>+[4]พ.ย.58!$I$9</f>
        <v>75</v>
      </c>
      <c r="AK43" s="363">
        <f>+[4]ธ.ค.58!$I$9</f>
        <v>57</v>
      </c>
      <c r="AL43" s="363">
        <f>+[4]ม.ค.59!$I$9</f>
        <v>75</v>
      </c>
      <c r="AM43" s="363">
        <f>+[4]ก.พ.59!$I$9</f>
        <v>155</v>
      </c>
      <c r="AN43" s="363">
        <f>+[4]มี.ค.59!$I$9</f>
        <v>137</v>
      </c>
      <c r="AO43" s="363">
        <f>+[4]เม.ย.59!$I$9</f>
        <v>57</v>
      </c>
      <c r="AP43" s="363">
        <f>+[4]พ.ค.59!$I$9</f>
        <v>197</v>
      </c>
      <c r="AQ43" s="363">
        <f>+[4]มิ.ย.59!$I$9</f>
        <v>173</v>
      </c>
      <c r="AR43" s="363">
        <f>+[4]ก.ค.59!$I$9</f>
        <v>113</v>
      </c>
      <c r="AS43" s="363">
        <f>+[4]ส.ค.59!$I$9</f>
        <v>96</v>
      </c>
      <c r="AT43" s="363">
        <f>+[4]ก.ย.59!$I$9</f>
        <v>112</v>
      </c>
      <c r="AU43" s="353">
        <f t="shared" si="6"/>
        <v>1384</v>
      </c>
    </row>
    <row r="44" spans="1:47" s="360" customFormat="1" x14ac:dyDescent="0.2">
      <c r="A44" s="354">
        <v>1007</v>
      </c>
      <c r="B44" s="355" t="s">
        <v>46</v>
      </c>
      <c r="C44" s="445">
        <f>+[2]ต.ค.59!$J$9</f>
        <v>139</v>
      </c>
      <c r="D44" s="445">
        <f>+[2]พ.ย.59!$J$9</f>
        <v>151</v>
      </c>
      <c r="E44" s="445">
        <f>+[2]ธ.ค.59!$J$9</f>
        <v>72</v>
      </c>
      <c r="F44" s="445">
        <f>+[2]ม.ค.60!$J$9</f>
        <v>41</v>
      </c>
      <c r="G44" s="445">
        <f>+[2]ก.พ.60!$J$9</f>
        <v>103</v>
      </c>
      <c r="H44" s="445">
        <f>+[2]มี.ค.60!$J$9</f>
        <v>247</v>
      </c>
      <c r="I44" s="445">
        <f>+[2]เม.ย.60!$J$9</f>
        <v>93</v>
      </c>
      <c r="J44" s="445">
        <f>+[2]พ.ค.60!$J$9</f>
        <v>81</v>
      </c>
      <c r="K44" s="445">
        <f>+[2]มิ.ย.60!$J$9</f>
        <v>42</v>
      </c>
      <c r="L44" s="445">
        <f>+[2]ก.ค.60!$J$9</f>
        <v>46</v>
      </c>
      <c r="M44" s="445">
        <f>+[2]ส.ค.60!$J$9</f>
        <v>78</v>
      </c>
      <c r="N44" s="445">
        <f>+[2]ก.ย.60!$J$9</f>
        <v>30</v>
      </c>
      <c r="O44" s="444">
        <f t="shared" si="4"/>
        <v>1123</v>
      </c>
      <c r="P44" s="356"/>
      <c r="Q44" s="357">
        <v>1007</v>
      </c>
      <c r="R44" s="358" t="s">
        <v>46</v>
      </c>
      <c r="S44" s="359">
        <f>+[3]ผู้ใช้น้ำเพิ่ม!AB38</f>
        <v>72.95952023988005</v>
      </c>
      <c r="T44" s="359">
        <f>+[3]ผู้ใช้น้ำเพิ่ม!AC38</f>
        <v>115.74032983508245</v>
      </c>
      <c r="U44" s="359">
        <f>+[3]ผู้ใช้น้ำเพิ่ม!AD38</f>
        <v>79.260569715142424</v>
      </c>
      <c r="V44" s="359">
        <f>+[3]ผู้ใช้น้ำเพิ่ม!AE38</f>
        <v>66.326836581709145</v>
      </c>
      <c r="W44" s="359">
        <f>+[3]ผู้ใช้น้ำเพิ่ม!AF38</f>
        <v>77.934032983508246</v>
      </c>
      <c r="X44" s="359">
        <f>+[3]ผู้ใช้น้ำเพิ่ม!AG38</f>
        <v>85.229985007496254</v>
      </c>
      <c r="Y44" s="359">
        <f>+[3]ผู้ใช้น้ำเพิ่ม!AH38</f>
        <v>107.78110944527735</v>
      </c>
      <c r="Z44" s="359">
        <f>+[3]ผู้ใช้น้ำเพิ่ม!AI38</f>
        <v>99.49025487256371</v>
      </c>
      <c r="AA44" s="359">
        <f>+[3]ผู้ใช้น้ำเพิ่ม!AJ38</f>
        <v>133.31694152923538</v>
      </c>
      <c r="AB44" s="359">
        <f>+[3]ผู้ใช้น้ำเพิ่ม!AK38</f>
        <v>97.500449775112429</v>
      </c>
      <c r="AC44" s="359">
        <f>+[3]ผู้ใช้น้ำเพิ่ม!AL38</f>
        <v>80.918740629685146</v>
      </c>
      <c r="AD44" s="359">
        <f>+[3]ผู้ใช้น้ำเพิ่ม!AM38</f>
        <v>89.541229385307332</v>
      </c>
      <c r="AE44" s="351">
        <f t="shared" si="5"/>
        <v>1106</v>
      </c>
      <c r="AF44" s="360">
        <f>+[3]ผู้ใช้น้ำเพิ่ม!AO38</f>
        <v>1106</v>
      </c>
      <c r="AG44" s="361">
        <v>1007</v>
      </c>
      <c r="AH44" s="362" t="s">
        <v>46</v>
      </c>
      <c r="AI44" s="363">
        <f>+[4]ต.ค.58!$J$9</f>
        <v>44</v>
      </c>
      <c r="AJ44" s="363">
        <f>+[4]พ.ย.58!$J$9</f>
        <v>193</v>
      </c>
      <c r="AK44" s="363">
        <f>+[4]ธ.ค.58!$J$9</f>
        <v>80</v>
      </c>
      <c r="AL44" s="363">
        <f>+[4]ม.ค.59!$J$9</f>
        <v>40</v>
      </c>
      <c r="AM44" s="363">
        <f>+[4]ก.พ.59!$J$9</f>
        <v>84</v>
      </c>
      <c r="AN44" s="363">
        <f>+[4]มี.ค.59!$J$9</f>
        <v>100</v>
      </c>
      <c r="AO44" s="363">
        <f>+[4]เม.ย.59!$J$9</f>
        <v>78</v>
      </c>
      <c r="AP44" s="363">
        <f>+[4]พ.ค.59!$J$9</f>
        <v>110</v>
      </c>
      <c r="AQ44" s="363">
        <f>+[4]มิ.ย.59!$J$9</f>
        <v>233</v>
      </c>
      <c r="AR44" s="363">
        <f>+[4]ก.ค.59!$J$9</f>
        <v>92</v>
      </c>
      <c r="AS44" s="363">
        <f>+[4]ส.ค.59!$J$9</f>
        <v>45</v>
      </c>
      <c r="AT44" s="363">
        <f>+[4]ก.ย.59!$J$9</f>
        <v>48</v>
      </c>
      <c r="AU44" s="353">
        <f t="shared" si="6"/>
        <v>1147</v>
      </c>
    </row>
    <row r="45" spans="1:47" s="360" customFormat="1" x14ac:dyDescent="0.2">
      <c r="A45" s="354">
        <v>1008</v>
      </c>
      <c r="B45" s="355" t="s">
        <v>47</v>
      </c>
      <c r="C45" s="445">
        <f>+[2]ต.ค.59!$K$9</f>
        <v>24</v>
      </c>
      <c r="D45" s="445">
        <f>+[2]พ.ย.59!$K$9</f>
        <v>18</v>
      </c>
      <c r="E45" s="445">
        <f>+[2]ธ.ค.59!$K$9</f>
        <v>12</v>
      </c>
      <c r="F45" s="445">
        <f>+[2]ม.ค.60!$K$9</f>
        <v>13</v>
      </c>
      <c r="G45" s="445">
        <f>+[2]ก.พ.60!$K$9</f>
        <v>10</v>
      </c>
      <c r="H45" s="445">
        <f>+[2]มี.ค.60!$K$9</f>
        <v>24</v>
      </c>
      <c r="I45" s="445">
        <f>+[2]เม.ย.60!$K$9</f>
        <v>26</v>
      </c>
      <c r="J45" s="445">
        <f>+[2]พ.ค.60!$K$9</f>
        <v>15</v>
      </c>
      <c r="K45" s="445">
        <f>+[2]มิ.ย.60!$K$9</f>
        <v>15</v>
      </c>
      <c r="L45" s="445">
        <f>+[2]ก.ค.60!$K$9</f>
        <v>7</v>
      </c>
      <c r="M45" s="445">
        <f>+[2]ส.ค.60!$K$9</f>
        <v>10</v>
      </c>
      <c r="N45" s="445">
        <f>+[2]ก.ย.60!$K$9</f>
        <v>7</v>
      </c>
      <c r="O45" s="444">
        <f t="shared" si="4"/>
        <v>181</v>
      </c>
      <c r="P45" s="356"/>
      <c r="Q45" s="357">
        <v>1008</v>
      </c>
      <c r="R45" s="358" t="s">
        <v>47</v>
      </c>
      <c r="S45" s="359">
        <f>+[3]ผู้ใช้น้ำเพิ่ม!AB39</f>
        <v>16.842767295597486</v>
      </c>
      <c r="T45" s="359">
        <f>+[3]ผู้ใช้น้ำเพิ่ม!AC39</f>
        <v>26.775681341719082</v>
      </c>
      <c r="U45" s="359">
        <f>+[3]ผู้ใช้น้ำเพิ่ม!AD39</f>
        <v>20.729559748427675</v>
      </c>
      <c r="V45" s="359">
        <f>+[3]ผู้ใช้น้ำเพิ่ม!AE39</f>
        <v>19.865828092243191</v>
      </c>
      <c r="W45" s="359">
        <f>+[3]ผู้ใช้น้ำเพิ่ม!AF39</f>
        <v>50.096436058700213</v>
      </c>
      <c r="X45" s="359">
        <f>+[3]ผู้ใช้น้ำเพิ่ม!AG39</f>
        <v>80.32704402515725</v>
      </c>
      <c r="Y45" s="359">
        <f>+[3]ผู้ใช้น้ำเพิ่ม!AH39</f>
        <v>53.983228511530399</v>
      </c>
      <c r="Z45" s="359">
        <f>+[3]ผู้ใช้น้ำเพิ่ม!AI39</f>
        <v>31.094339622641513</v>
      </c>
      <c r="AA45" s="359">
        <f>+[3]ผู้ใช้น้ำเพิ่ม!AJ39</f>
        <v>38.867924528301899</v>
      </c>
      <c r="AB45" s="359">
        <f>+[3]ผู้ใช้น้ำเพิ่ม!AK39</f>
        <v>25.048218029350107</v>
      </c>
      <c r="AC45" s="359">
        <f>+[3]ผู้ใช้น้ำเพิ่ม!AL39</f>
        <v>28.935010482180296</v>
      </c>
      <c r="AD45" s="359">
        <f>+[3]ผู้ใช้น้ำเพิ่ม!AM39</f>
        <v>19.433962264150949</v>
      </c>
      <c r="AE45" s="351">
        <f t="shared" si="5"/>
        <v>412.00000000000011</v>
      </c>
      <c r="AF45" s="360">
        <f>+[3]ผู้ใช้น้ำเพิ่ม!AO39</f>
        <v>412</v>
      </c>
      <c r="AG45" s="361">
        <v>1008</v>
      </c>
      <c r="AH45" s="362" t="s">
        <v>47</v>
      </c>
      <c r="AI45" s="363">
        <f>+[4]ต.ค.58!$K$9</f>
        <v>20</v>
      </c>
      <c r="AJ45" s="363">
        <f>+[4]พ.ย.58!$K$9</f>
        <v>28</v>
      </c>
      <c r="AK45" s="363">
        <f>+[4]ธ.ค.58!$K$9</f>
        <v>25</v>
      </c>
      <c r="AL45" s="363">
        <f>+[4]ม.ค.59!$K$9</f>
        <v>21</v>
      </c>
      <c r="AM45" s="363">
        <f>+[4]ก.พ.59!$K$9</f>
        <v>20</v>
      </c>
      <c r="AN45" s="363">
        <f>+[4]มี.ค.59!$K$9</f>
        <v>36</v>
      </c>
      <c r="AO45" s="363">
        <f>+[4]เม.ย.59!$K$9</f>
        <v>64</v>
      </c>
      <c r="AP45" s="363">
        <f>+[4]พ.ค.59!$K$9</f>
        <v>34</v>
      </c>
      <c r="AQ45" s="363">
        <f>+[4]มิ.ย.59!$K$9</f>
        <v>29</v>
      </c>
      <c r="AR45" s="363">
        <f>+[4]ก.ค.59!$K$9</f>
        <v>16</v>
      </c>
      <c r="AS45" s="363">
        <f>+[4]ส.ค.59!$K$9</f>
        <v>28</v>
      </c>
      <c r="AT45" s="363">
        <f>+[4]ก.ย.59!$K$9</f>
        <v>23</v>
      </c>
      <c r="AU45" s="353">
        <f t="shared" si="6"/>
        <v>344</v>
      </c>
    </row>
    <row r="46" spans="1:47" s="360" customFormat="1" x14ac:dyDescent="0.2">
      <c r="A46" s="354">
        <v>1009</v>
      </c>
      <c r="B46" s="355" t="s">
        <v>48</v>
      </c>
      <c r="C46" s="445">
        <f>+[2]ต.ค.59!$L$9</f>
        <v>25</v>
      </c>
      <c r="D46" s="445">
        <f>+[2]พ.ย.59!$L$9</f>
        <v>48</v>
      </c>
      <c r="E46" s="445">
        <f>+[2]ธ.ค.59!$L$9</f>
        <v>19</v>
      </c>
      <c r="F46" s="445">
        <f>+[2]ม.ค.60!$L$9</f>
        <v>17</v>
      </c>
      <c r="G46" s="445">
        <f>+[2]ก.พ.60!$L$9</f>
        <v>10</v>
      </c>
      <c r="H46" s="445">
        <f>+[2]มี.ค.60!$L$9</f>
        <v>20</v>
      </c>
      <c r="I46" s="445">
        <f>+[2]เม.ย.60!$L$9</f>
        <v>31</v>
      </c>
      <c r="J46" s="445">
        <f>+[2]พ.ค.60!$L$9</f>
        <v>20</v>
      </c>
      <c r="K46" s="445">
        <f>+[2]มิ.ย.60!$L$9</f>
        <v>12</v>
      </c>
      <c r="L46" s="445">
        <f>+[2]ก.ค.60!$L$9</f>
        <v>15</v>
      </c>
      <c r="M46" s="445">
        <f>+[2]ส.ค.60!$L$9</f>
        <v>15</v>
      </c>
      <c r="N46" s="445">
        <f>+[2]ก.ย.60!$L$9</f>
        <v>10</v>
      </c>
      <c r="O46" s="444">
        <f t="shared" si="4"/>
        <v>242</v>
      </c>
      <c r="P46" s="356"/>
      <c r="Q46" s="357">
        <v>1009</v>
      </c>
      <c r="R46" s="358" t="s">
        <v>48</v>
      </c>
      <c r="S46" s="359">
        <f>+[3]ผู้ใช้น้ำเพิ่ม!AB40</f>
        <v>52.071283095723018</v>
      </c>
      <c r="T46" s="359">
        <f>+[3]ผู้ใช้น้ำเพิ่ม!AC40</f>
        <v>40.812627291242364</v>
      </c>
      <c r="U46" s="359">
        <f>+[3]ผู้ใช้น้ำเพิ่ม!AD40</f>
        <v>45.738289205702657</v>
      </c>
      <c r="V46" s="359">
        <f>+[3]ผู้ใช้น้ำเพิ่ม!AE40</f>
        <v>50.663951120162935</v>
      </c>
      <c r="W46" s="359">
        <f>+[3]ผู้ใช้น้ำเพิ่ม!AF40</f>
        <v>68.959266802443992</v>
      </c>
      <c r="X46" s="359">
        <f>+[3]ผู้ใช้น้ำเพิ่ม!AG40</f>
        <v>75.292260692464353</v>
      </c>
      <c r="Y46" s="359">
        <f>+[3]ผู้ใช้น้ำเพิ่ม!AH40</f>
        <v>62.62627291242363</v>
      </c>
      <c r="Z46" s="359">
        <f>+[3]ผู้ใช้น้ำเพิ่ม!AI40</f>
        <v>52.77494908350306</v>
      </c>
      <c r="AA46" s="359">
        <f>+[3]ผู้ใช้น้ำเพิ่ม!AJ40</f>
        <v>95.69857433808555</v>
      </c>
      <c r="AB46" s="359">
        <f>+[3]ผู้ใช้น้ำเพิ่ม!AK40</f>
        <v>52.77494908350306</v>
      </c>
      <c r="AC46" s="359">
        <f>+[3]ผู้ใช้น้ำเพิ่ม!AL40</f>
        <v>47.145621181262733</v>
      </c>
      <c r="AD46" s="359">
        <f>+[3]ผู้ใช้น้ำเพิ่ม!AM40</f>
        <v>46.441955193482684</v>
      </c>
      <c r="AE46" s="351">
        <f t="shared" si="5"/>
        <v>691.00000000000023</v>
      </c>
      <c r="AF46" s="360">
        <f>+[3]ผู้ใช้น้ำเพิ่ม!AO40</f>
        <v>691</v>
      </c>
      <c r="AG46" s="361">
        <v>1009</v>
      </c>
      <c r="AH46" s="362" t="s">
        <v>48</v>
      </c>
      <c r="AI46" s="363">
        <f>+[4]ต.ค.58!$L$9</f>
        <v>36</v>
      </c>
      <c r="AJ46" s="363">
        <f>+[4]พ.ย.58!$L$9</f>
        <v>20</v>
      </c>
      <c r="AK46" s="363">
        <f>+[4]ธ.ค.58!$L$9</f>
        <v>13</v>
      </c>
      <c r="AL46" s="363">
        <f>+[4]ม.ค.59!$L$9</f>
        <v>36</v>
      </c>
      <c r="AM46" s="363">
        <f>+[4]ก.พ.59!$L$9</f>
        <v>18</v>
      </c>
      <c r="AN46" s="363">
        <f>+[4]มี.ค.59!$L$9</f>
        <v>53</v>
      </c>
      <c r="AO46" s="363">
        <f>+[4]เม.ย.59!$L$9</f>
        <v>39</v>
      </c>
      <c r="AP46" s="363">
        <f>+[4]พ.ค.59!$L$9</f>
        <v>39</v>
      </c>
      <c r="AQ46" s="363">
        <f>+[4]มิ.ย.59!$L$9</f>
        <v>65</v>
      </c>
      <c r="AR46" s="363">
        <f>+[4]ก.ค.59!$L$9</f>
        <v>32</v>
      </c>
      <c r="AS46" s="363">
        <f>+[4]ส.ค.59!$L$9</f>
        <v>34</v>
      </c>
      <c r="AT46" s="363">
        <f>+[4]ก.ย.59!$L$9</f>
        <v>35</v>
      </c>
      <c r="AU46" s="353">
        <f t="shared" si="6"/>
        <v>420</v>
      </c>
    </row>
    <row r="47" spans="1:47" s="360" customFormat="1" x14ac:dyDescent="0.2">
      <c r="A47" s="354">
        <v>1010</v>
      </c>
      <c r="B47" s="355" t="s">
        <v>49</v>
      </c>
      <c r="C47" s="445">
        <f>+[2]ต.ค.59!$M$9</f>
        <v>13</v>
      </c>
      <c r="D47" s="445">
        <f>+[2]พ.ย.59!$M$9</f>
        <v>7</v>
      </c>
      <c r="E47" s="445">
        <f>+[2]ธ.ค.59!$M$9</f>
        <v>25</v>
      </c>
      <c r="F47" s="445">
        <f>+[2]ม.ค.60!$M$9</f>
        <v>17</v>
      </c>
      <c r="G47" s="445">
        <f>+[2]ก.พ.60!$M$9</f>
        <v>21</v>
      </c>
      <c r="H47" s="445">
        <f>+[2]มี.ค.60!$M$9</f>
        <v>18</v>
      </c>
      <c r="I47" s="445">
        <f>+[2]เม.ย.60!$M$9</f>
        <v>21</v>
      </c>
      <c r="J47" s="445">
        <f>+[2]พ.ค.60!$M$9</f>
        <v>17</v>
      </c>
      <c r="K47" s="445">
        <f>+[2]มิ.ย.60!$M$9</f>
        <v>50</v>
      </c>
      <c r="L47" s="445">
        <f>+[2]ก.ค.60!$M$9</f>
        <v>17</v>
      </c>
      <c r="M47" s="445">
        <f>+[2]ส.ค.60!$M$9</f>
        <v>23</v>
      </c>
      <c r="N47" s="445">
        <f>+[2]ก.ย.60!$M$9</f>
        <v>7</v>
      </c>
      <c r="O47" s="444">
        <f t="shared" si="4"/>
        <v>236</v>
      </c>
      <c r="P47" s="356"/>
      <c r="Q47" s="357">
        <v>1010</v>
      </c>
      <c r="R47" s="358" t="s">
        <v>49</v>
      </c>
      <c r="S47" s="359">
        <f>+[3]ผู้ใช้น้ำเพิ่ม!AB41</f>
        <v>24.75</v>
      </c>
      <c r="T47" s="359">
        <f>+[3]ผู้ใช้น้ำเพิ่ม!AC41</f>
        <v>12</v>
      </c>
      <c r="U47" s="359">
        <f>+[3]ผู้ใช้น้ำเพิ่ม!AD41</f>
        <v>6.2499999999999991</v>
      </c>
      <c r="V47" s="359">
        <f>+[3]ผู้ใช้น้ำเพิ่ม!AE41</f>
        <v>12.499999999999998</v>
      </c>
      <c r="W47" s="359">
        <f>+[3]ผู้ใช้น้ำเพิ่ม!AF41</f>
        <v>15.249999999999996</v>
      </c>
      <c r="X47" s="359">
        <f>+[3]ผู้ใช้น้ำเพิ่ม!AG41</f>
        <v>8.7499999999999982</v>
      </c>
      <c r="Y47" s="359">
        <f>+[3]ผู้ใช้น้ำเพิ่ม!AH41</f>
        <v>12.499999999999998</v>
      </c>
      <c r="Z47" s="359">
        <f>+[3]ผู้ใช้น้ำเพิ่ม!AI41</f>
        <v>16.749999999999996</v>
      </c>
      <c r="AA47" s="359">
        <f>+[3]ผู้ใช้น้ำเพิ่ม!AJ41</f>
        <v>13.749999999999998</v>
      </c>
      <c r="AB47" s="359">
        <f>+[3]ผู้ใช้น้ำเพิ่ม!AK41</f>
        <v>10.999999999999998</v>
      </c>
      <c r="AC47" s="359">
        <f>+[3]ผู้ใช้น้ำเพิ่ม!AL41</f>
        <v>9.25</v>
      </c>
      <c r="AD47" s="359">
        <f>+[3]ผู้ใช้น้ำเพิ่ม!AM41</f>
        <v>9.25</v>
      </c>
      <c r="AE47" s="351">
        <f t="shared" si="5"/>
        <v>152</v>
      </c>
      <c r="AF47" s="360">
        <f>+[3]ผู้ใช้น้ำเพิ่ม!AO41</f>
        <v>152</v>
      </c>
      <c r="AG47" s="361">
        <v>1010</v>
      </c>
      <c r="AH47" s="362" t="s">
        <v>49</v>
      </c>
      <c r="AI47" s="363">
        <f>+[4]ต.ค.58!$M$9</f>
        <v>68</v>
      </c>
      <c r="AJ47" s="363">
        <f>+[4]พ.ย.58!$M$9</f>
        <v>15</v>
      </c>
      <c r="AK47" s="363">
        <f>+[4]ธ.ค.58!$M$9</f>
        <v>10</v>
      </c>
      <c r="AL47" s="363">
        <f>+[4]ม.ค.59!$M$9</f>
        <v>19</v>
      </c>
      <c r="AM47" s="363">
        <f>+[4]ก.พ.59!$M$9</f>
        <v>11</v>
      </c>
      <c r="AN47" s="363">
        <f>+[4]มี.ค.59!$M$9</f>
        <v>20</v>
      </c>
      <c r="AO47" s="363">
        <f>+[4]เม.ย.59!$M$9</f>
        <v>27</v>
      </c>
      <c r="AP47" s="363">
        <f>+[4]พ.ค.59!$M$9</f>
        <v>32</v>
      </c>
      <c r="AQ47" s="363">
        <f>+[4]มิ.ย.59!$M$9</f>
        <v>27</v>
      </c>
      <c r="AR47" s="363">
        <f>+[4]ก.ค.59!$M$9</f>
        <v>17</v>
      </c>
      <c r="AS47" s="363">
        <f>+[4]ส.ค.59!$M$9</f>
        <v>15</v>
      </c>
      <c r="AT47" s="363">
        <f>+[4]ก.ย.59!$M$9</f>
        <v>27</v>
      </c>
      <c r="AU47" s="353">
        <f t="shared" si="6"/>
        <v>288</v>
      </c>
    </row>
    <row r="48" spans="1:47" s="360" customFormat="1" x14ac:dyDescent="0.2">
      <c r="A48" s="354">
        <v>1011</v>
      </c>
      <c r="B48" s="355" t="s">
        <v>50</v>
      </c>
      <c r="C48" s="445">
        <f>+[2]ต.ค.59!$N$9</f>
        <v>6</v>
      </c>
      <c r="D48" s="445">
        <f>+[2]พ.ย.59!$N$9</f>
        <v>12</v>
      </c>
      <c r="E48" s="445">
        <f>+[2]ธ.ค.59!$N$9</f>
        <v>8</v>
      </c>
      <c r="F48" s="445">
        <f>+[2]ม.ค.60!$N$9</f>
        <v>20</v>
      </c>
      <c r="G48" s="445">
        <f>+[2]ก.พ.60!$N$9</f>
        <v>21</v>
      </c>
      <c r="H48" s="445">
        <f>+[2]มี.ค.60!$N$9</f>
        <v>54</v>
      </c>
      <c r="I48" s="445">
        <f>+[2]เม.ย.60!$N$9</f>
        <v>35</v>
      </c>
      <c r="J48" s="445">
        <f>+[2]พ.ค.60!$N$9</f>
        <v>25</v>
      </c>
      <c r="K48" s="445">
        <f>+[2]มิ.ย.60!$N$9</f>
        <v>15</v>
      </c>
      <c r="L48" s="445">
        <f>+[2]ก.ค.60!$N$9</f>
        <v>8</v>
      </c>
      <c r="M48" s="445">
        <f>+[2]ส.ค.60!$N$9</f>
        <v>20</v>
      </c>
      <c r="N48" s="445">
        <f>+[2]ก.ย.60!$N$9</f>
        <v>16</v>
      </c>
      <c r="O48" s="444">
        <f t="shared" si="4"/>
        <v>240</v>
      </c>
      <c r="P48" s="356"/>
      <c r="Q48" s="357">
        <v>1011</v>
      </c>
      <c r="R48" s="358" t="s">
        <v>50</v>
      </c>
      <c r="S48" s="359">
        <f>+[3]ผู้ใช้น้ำเพิ่ม!AB42</f>
        <v>11.748768472906406</v>
      </c>
      <c r="T48" s="359">
        <f>+[3]ผู้ใช้น้ำเพิ่ม!AC42</f>
        <v>12.793103448275861</v>
      </c>
      <c r="U48" s="359">
        <f>+[3]ผู้ใช้น้ำเพิ่ม!AD42</f>
        <v>10.182266009852217</v>
      </c>
      <c r="V48" s="359">
        <f>+[3]ผู้ใช้น้ำเพิ่ม!AE42</f>
        <v>11.226600985221674</v>
      </c>
      <c r="W48" s="359">
        <f>+[3]ผู้ใช้น้ำเพิ่ม!AF42</f>
        <v>11.226600985221674</v>
      </c>
      <c r="X48" s="359">
        <f>+[3]ผู้ใช้น้ำเพิ่ม!AG42</f>
        <v>15.403940886699509</v>
      </c>
      <c r="Y48" s="359">
        <f>+[3]ผู้ใช้น้ำเพิ่ม!AH42</f>
        <v>21.147783251231527</v>
      </c>
      <c r="Z48" s="359">
        <f>+[3]ผู้ใช้น้ำเพิ่ม!AI42</f>
        <v>19.320197044334975</v>
      </c>
      <c r="AA48" s="359">
        <f>+[3]ผู้ใช้น้ำเพิ่ม!AJ42</f>
        <v>12.270935960591133</v>
      </c>
      <c r="AB48" s="359">
        <f>+[3]ผู้ใช้น้ำเพิ่ม!AK42</f>
        <v>11.487684729064039</v>
      </c>
      <c r="AC48" s="359">
        <f>+[3]ผู้ใช้น้ำเพิ่ม!AL42</f>
        <v>13.315270935960591</v>
      </c>
      <c r="AD48" s="359">
        <f>+[3]ผู้ใช้น้ำเพิ่ม!AM42</f>
        <v>8.876847290640395</v>
      </c>
      <c r="AE48" s="351">
        <f t="shared" si="5"/>
        <v>159</v>
      </c>
      <c r="AF48" s="360">
        <f>+[3]ผู้ใช้น้ำเพิ่ม!AO42</f>
        <v>159</v>
      </c>
      <c r="AG48" s="361">
        <v>1011</v>
      </c>
      <c r="AH48" s="362" t="s">
        <v>50</v>
      </c>
      <c r="AI48" s="363">
        <f>+[4]ต.ค.58!$N$9</f>
        <v>7</v>
      </c>
      <c r="AJ48" s="363">
        <f>+[4]พ.ย.58!$N$9</f>
        <v>18</v>
      </c>
      <c r="AK48" s="363">
        <f>+[4]ธ.ค.58!$N$9</f>
        <v>14</v>
      </c>
      <c r="AL48" s="363">
        <f>+[4]ม.ค.59!$N$9</f>
        <v>13</v>
      </c>
      <c r="AM48" s="363">
        <f>+[4]ก.พ.59!$N$9</f>
        <v>12</v>
      </c>
      <c r="AN48" s="363">
        <f>+[4]มี.ค.59!$N$9</f>
        <v>22</v>
      </c>
      <c r="AO48" s="363">
        <f>+[4]เม.ย.59!$N$9</f>
        <v>43</v>
      </c>
      <c r="AP48" s="363">
        <f>+[4]พ.ค.59!$N$9</f>
        <v>36</v>
      </c>
      <c r="AQ48" s="363">
        <f>+[4]มิ.ย.59!$N$9</f>
        <v>24</v>
      </c>
      <c r="AR48" s="363">
        <f>+[4]ก.ค.59!$N$9</f>
        <v>23</v>
      </c>
      <c r="AS48" s="363">
        <f>+[4]ส.ค.59!$N$9</f>
        <v>15</v>
      </c>
      <c r="AT48" s="363">
        <f>+[4]ก.ย.59!$N$9</f>
        <v>9</v>
      </c>
      <c r="AU48" s="353">
        <f t="shared" si="6"/>
        <v>236</v>
      </c>
    </row>
    <row r="49" spans="1:47" s="360" customFormat="1" x14ac:dyDescent="0.2">
      <c r="A49" s="354">
        <v>1012</v>
      </c>
      <c r="B49" s="355" t="s">
        <v>51</v>
      </c>
      <c r="C49" s="445">
        <f>+[2]ต.ค.59!$O$9</f>
        <v>85</v>
      </c>
      <c r="D49" s="445">
        <f>+[2]พ.ย.59!$O$9</f>
        <v>32</v>
      </c>
      <c r="E49" s="445">
        <f>+[2]ธ.ค.59!$O$9</f>
        <v>70</v>
      </c>
      <c r="F49" s="445">
        <f>+[2]ม.ค.60!$O$9</f>
        <v>47</v>
      </c>
      <c r="G49" s="445">
        <f>+[2]ก.พ.60!$O$9</f>
        <v>43</v>
      </c>
      <c r="H49" s="445">
        <f>+[2]มี.ค.60!$O$9</f>
        <v>81</v>
      </c>
      <c r="I49" s="445">
        <f>+[2]เม.ย.60!$O$9</f>
        <v>64</v>
      </c>
      <c r="J49" s="445">
        <f>+[2]พ.ค.60!$O$9</f>
        <v>62</v>
      </c>
      <c r="K49" s="445">
        <f>+[2]มิ.ย.60!$O$9</f>
        <v>36</v>
      </c>
      <c r="L49" s="445">
        <f>+[2]ก.ค.60!$O$9</f>
        <v>28</v>
      </c>
      <c r="M49" s="445">
        <f>+[2]ส.ค.60!$O$9</f>
        <v>114</v>
      </c>
      <c r="N49" s="445">
        <f>+[2]ก.ย.60!$O$9</f>
        <v>81</v>
      </c>
      <c r="O49" s="444">
        <f t="shared" si="4"/>
        <v>743</v>
      </c>
      <c r="P49" s="356"/>
      <c r="Q49" s="357">
        <v>1012</v>
      </c>
      <c r="R49" s="358" t="s">
        <v>51</v>
      </c>
      <c r="S49" s="359">
        <f>+[3]ผู้ใช้น้ำเพิ่ม!AB43</f>
        <v>37.222936074526167</v>
      </c>
      <c r="T49" s="359">
        <f>+[3]ผู้ใช้น้ำเพิ่ม!AC43</f>
        <v>57.460648891744285</v>
      </c>
      <c r="U49" s="359">
        <f>+[3]ผู้ใช้น้ำเพิ่ม!AD43</f>
        <v>57.82203662062318</v>
      </c>
      <c r="V49" s="359">
        <f>+[3]ผู้ใช้น้ำเพิ่ม!AE43</f>
        <v>60.351750722775442</v>
      </c>
      <c r="W49" s="359">
        <f>+[3]ผู้ใช้น้ำเพิ่ม!AF43</f>
        <v>191.53549630581426</v>
      </c>
      <c r="X49" s="359">
        <f>+[3]ผู้ใช้น้ำเพิ่ม!AG43</f>
        <v>160.81753935110822</v>
      </c>
      <c r="Y49" s="359">
        <f>+[3]ผู้ใช้น้ำเพิ่ม!AH43</f>
        <v>125.76292964985541</v>
      </c>
      <c r="Z49" s="359">
        <f>+[3]ผู้ใช้น้ำเพิ่ม!AI43</f>
        <v>184.66912945711528</v>
      </c>
      <c r="AA49" s="359">
        <f>+[3]ผู้ใช้น้ำเพิ่ม!AJ43</f>
        <v>70.831994860263379</v>
      </c>
      <c r="AB49" s="359">
        <f>+[3]ผู้ใช้น้ำเพิ่ม!AK43</f>
        <v>62.158689367169913</v>
      </c>
      <c r="AC49" s="359">
        <f>+[3]ผู้ใช้น้ำเพิ่ม!AL43</f>
        <v>46.980404754256334</v>
      </c>
      <c r="AD49" s="359">
        <f>+[3]ผู้ใช้น้ำเพิ่ม!AM43</f>
        <v>69.386443944747811</v>
      </c>
      <c r="AE49" s="351">
        <f t="shared" si="5"/>
        <v>1124.9999999999998</v>
      </c>
      <c r="AF49" s="360">
        <f>+[3]ผู้ใช้น้ำเพิ่ม!AO43</f>
        <v>1125</v>
      </c>
      <c r="AG49" s="361">
        <v>1012</v>
      </c>
      <c r="AH49" s="362" t="s">
        <v>51</v>
      </c>
      <c r="AI49" s="363">
        <f>+[4]ต.ค.58!$O$9</f>
        <v>55</v>
      </c>
      <c r="AJ49" s="363">
        <f>+[4]พ.ย.58!$O$9</f>
        <v>49</v>
      </c>
      <c r="AK49" s="363">
        <f>+[4]ธ.ค.58!$O$9</f>
        <v>63</v>
      </c>
      <c r="AL49" s="363">
        <f>+[4]ม.ค.59!$O$9</f>
        <v>40</v>
      </c>
      <c r="AM49" s="363">
        <f>+[4]ก.พ.59!$O$9</f>
        <v>116</v>
      </c>
      <c r="AN49" s="363">
        <f>+[4]มี.ค.59!$O$9</f>
        <v>140</v>
      </c>
      <c r="AO49" s="363">
        <f>+[4]เม.ย.59!$O$9</f>
        <v>88</v>
      </c>
      <c r="AP49" s="363">
        <f>+[4]พ.ค.59!$O$9</f>
        <v>224</v>
      </c>
      <c r="AQ49" s="363">
        <f>+[4]มิ.ย.59!$O$9</f>
        <v>92</v>
      </c>
      <c r="AR49" s="363">
        <f>+[4]ก.ค.59!$O$9</f>
        <v>41</v>
      </c>
      <c r="AS49" s="363">
        <f>+[4]ส.ค.59!$O$9</f>
        <v>50</v>
      </c>
      <c r="AT49" s="363">
        <f>+[4]ก.ย.59!$O$9</f>
        <v>43</v>
      </c>
      <c r="AU49" s="353">
        <f t="shared" si="6"/>
        <v>1001</v>
      </c>
    </row>
    <row r="50" spans="1:47" s="360" customFormat="1" x14ac:dyDescent="0.2">
      <c r="A50" s="354">
        <v>1013</v>
      </c>
      <c r="B50" s="355" t="s">
        <v>52</v>
      </c>
      <c r="C50" s="445">
        <f>+[2]ต.ค.59!$P$9</f>
        <v>4</v>
      </c>
      <c r="D50" s="445">
        <f>+[2]พ.ย.59!$P$9</f>
        <v>2</v>
      </c>
      <c r="E50" s="445">
        <f>+[2]ธ.ค.59!$P$9</f>
        <v>6</v>
      </c>
      <c r="F50" s="445">
        <f>+[2]ม.ค.60!$P$9</f>
        <v>20</v>
      </c>
      <c r="G50" s="445">
        <f>+[2]ก.พ.60!$P$9</f>
        <v>13</v>
      </c>
      <c r="H50" s="445">
        <f>+[2]มี.ค.60!$P$9</f>
        <v>11</v>
      </c>
      <c r="I50" s="445">
        <f>+[2]เม.ย.60!$P$9</f>
        <v>0</v>
      </c>
      <c r="J50" s="445">
        <f>+[2]พ.ค.60!$P$9</f>
        <v>1</v>
      </c>
      <c r="K50" s="445">
        <f>+[2]มิ.ย.60!$P$9</f>
        <v>12</v>
      </c>
      <c r="L50" s="445">
        <f>+[2]ก.ค.60!$P$9</f>
        <v>4</v>
      </c>
      <c r="M50" s="445">
        <f>+[2]ส.ค.60!$P$9</f>
        <v>6</v>
      </c>
      <c r="N50" s="445">
        <f>+[2]ก.ย.60!$P$9</f>
        <v>3</v>
      </c>
      <c r="O50" s="444">
        <f t="shared" si="4"/>
        <v>82</v>
      </c>
      <c r="P50" s="356"/>
      <c r="Q50" s="357">
        <v>1013</v>
      </c>
      <c r="R50" s="358" t="s">
        <v>52</v>
      </c>
      <c r="S50" s="359">
        <f>+[3]ผู้ใช้น้ำเพิ่ม!AB44</f>
        <v>1.5609756097560972</v>
      </c>
      <c r="T50" s="359">
        <f>+[3]ผู้ใช้น้ำเพิ่ม!AC44</f>
        <v>1.5609756097560972</v>
      </c>
      <c r="U50" s="359">
        <f>+[3]ผู้ใช้น้ำเพิ่ม!AD44</f>
        <v>2.7317073170731705</v>
      </c>
      <c r="V50" s="359">
        <f>+[3]ผู้ใช้น้ำเพิ่ม!AE44</f>
        <v>4.48780487804878</v>
      </c>
      <c r="W50" s="359">
        <f>+[3]ผู้ใช้น้ำเพิ่ม!AF44</f>
        <v>5.6585365853658516</v>
      </c>
      <c r="X50" s="359">
        <f>+[3]ผู้ใช้น้ำเพิ่ม!AG44</f>
        <v>4.0975609756097553</v>
      </c>
      <c r="Y50" s="359">
        <f>+[3]ผู้ใช้น้ำเพิ่ม!AH44</f>
        <v>4.0975609756097553</v>
      </c>
      <c r="Z50" s="359">
        <f>+[3]ผู้ใช้น้ำเพิ่ม!AI44</f>
        <v>4.6829268292682915</v>
      </c>
      <c r="AA50" s="359">
        <f>+[3]ผู้ใช้น้ำเพิ่ม!AJ44</f>
        <v>2.7317073170731705</v>
      </c>
      <c r="AB50" s="359">
        <f>+[3]ผู้ใช้น้ำเพิ่ม!AK44</f>
        <v>1.7560975609756095</v>
      </c>
      <c r="AC50" s="359">
        <f>+[3]ผู้ใช้น้ำเพิ่ม!AL44</f>
        <v>1.9512195121951217</v>
      </c>
      <c r="AD50" s="359">
        <f>+[3]ผู้ใช้น้ำเพิ่ม!AM44</f>
        <v>4.6829268292682915</v>
      </c>
      <c r="AE50" s="351">
        <f t="shared" si="5"/>
        <v>39.999999999999993</v>
      </c>
      <c r="AF50" s="360">
        <f>+[3]ผู้ใช้น้ำเพิ่ม!AO44</f>
        <v>40</v>
      </c>
      <c r="AG50" s="361">
        <v>1013</v>
      </c>
      <c r="AH50" s="362" t="s">
        <v>52</v>
      </c>
      <c r="AI50" s="363">
        <f>+[4]ต.ค.58!$P$9</f>
        <v>4</v>
      </c>
      <c r="AJ50" s="363">
        <f>+[4]พ.ย.58!$P$9</f>
        <v>5</v>
      </c>
      <c r="AK50" s="363">
        <f>+[4]ธ.ค.58!$P$9</f>
        <v>8</v>
      </c>
      <c r="AL50" s="363">
        <f>+[4]ม.ค.59!$P$9</f>
        <v>2</v>
      </c>
      <c r="AM50" s="363">
        <f>+[4]ก.พ.59!$P$9</f>
        <v>12</v>
      </c>
      <c r="AN50" s="363">
        <f>+[4]มี.ค.59!$P$9</f>
        <v>14</v>
      </c>
      <c r="AO50" s="363">
        <f>+[4]เม.ย.59!$P$9</f>
        <v>16</v>
      </c>
      <c r="AP50" s="363">
        <f>+[4]พ.ค.59!$P$9</f>
        <v>23</v>
      </c>
      <c r="AQ50" s="363">
        <f>+[4]มิ.ย.59!$P$9</f>
        <v>3</v>
      </c>
      <c r="AR50" s="363">
        <f>+[4]ก.ค.59!$P$9</f>
        <v>5</v>
      </c>
      <c r="AS50" s="363">
        <f>+[4]ส.ค.59!$P$9</f>
        <v>5</v>
      </c>
      <c r="AT50" s="363">
        <f>+[4]ก.ย.59!$P$9</f>
        <v>19</v>
      </c>
      <c r="AU50" s="353">
        <f t="shared" si="6"/>
        <v>116</v>
      </c>
    </row>
    <row r="51" spans="1:47" s="360" customFormat="1" x14ac:dyDescent="0.2">
      <c r="A51" s="354">
        <v>1014</v>
      </c>
      <c r="B51" s="355" t="s">
        <v>53</v>
      </c>
      <c r="C51" s="445">
        <f>+[2]ต.ค.59!$Q$9</f>
        <v>86</v>
      </c>
      <c r="D51" s="445">
        <f>+[2]พ.ย.59!$Q$9</f>
        <v>123</v>
      </c>
      <c r="E51" s="445">
        <f>+[2]ธ.ค.59!$Q$9</f>
        <v>76</v>
      </c>
      <c r="F51" s="445">
        <f>+[2]ม.ค.60!$Q$9</f>
        <v>59</v>
      </c>
      <c r="G51" s="445">
        <f>+[2]ก.พ.60!$Q$9</f>
        <v>97</v>
      </c>
      <c r="H51" s="445">
        <f>+[2]มี.ค.60!$Q$9</f>
        <v>111</v>
      </c>
      <c r="I51" s="445">
        <f>+[2]เม.ย.60!$Q$9</f>
        <v>75</v>
      </c>
      <c r="J51" s="445">
        <f>+[2]พ.ค.60!$Q$9</f>
        <v>79</v>
      </c>
      <c r="K51" s="445">
        <f>+[2]มิ.ย.60!$Q$9</f>
        <v>149</v>
      </c>
      <c r="L51" s="445">
        <f>+[2]ก.ค.60!$Q$9</f>
        <v>228</v>
      </c>
      <c r="M51" s="445">
        <f>+[2]ส.ค.60!$Q$9</f>
        <v>279</v>
      </c>
      <c r="N51" s="445">
        <f>+[2]ก.ย.60!$Q$9</f>
        <v>222</v>
      </c>
      <c r="O51" s="444">
        <f t="shared" si="4"/>
        <v>1584</v>
      </c>
      <c r="P51" s="356"/>
      <c r="Q51" s="357">
        <v>1014</v>
      </c>
      <c r="R51" s="358" t="s">
        <v>53</v>
      </c>
      <c r="S51" s="359">
        <f>+[3]ผู้ใช้น้ำเพิ่ม!AB45</f>
        <v>100.82386363636363</v>
      </c>
      <c r="T51" s="359">
        <f>+[3]ผู้ใช้น้ำเพิ่ม!AC45</f>
        <v>124.58948863636363</v>
      </c>
      <c r="U51" s="359">
        <f>+[3]ผู้ใช้น้ำเพิ่ม!AD45</f>
        <v>87.50071022727272</v>
      </c>
      <c r="V51" s="359">
        <f>+[3]ผู้ใช้น้ำเพิ่ม!AE45</f>
        <v>124.22940340909092</v>
      </c>
      <c r="W51" s="359">
        <f>+[3]ผู้ใช้น้ำเพิ่ม!AF45</f>
        <v>94.342329545454533</v>
      </c>
      <c r="X51" s="359">
        <f>+[3]ผู้ใช้น้ำเพิ่ม!AG45</f>
        <v>124.94957386363637</v>
      </c>
      <c r="Y51" s="359">
        <f>+[3]ผู้ใช้น้ำเพิ่ม!AH45</f>
        <v>174.28125</v>
      </c>
      <c r="Z51" s="359">
        <f>+[3]ผู้ใช้น้ำเพิ่ม!AI45</f>
        <v>191.56534090909091</v>
      </c>
      <c r="AA51" s="359">
        <f>+[3]ผู้ใช้น้ำเพิ่ม!AJ45</f>
        <v>147.27485795454547</v>
      </c>
      <c r="AB51" s="359">
        <f>+[3]ผู้ใช้น้ำเพิ่ม!AK45</f>
        <v>115.58735795454545</v>
      </c>
      <c r="AC51" s="359">
        <f>+[3]ผู้ใช้น้ำเพิ่ม!AL45</f>
        <v>102.984375</v>
      </c>
      <c r="AD51" s="359">
        <f>+[3]ผู้ใช้น้ำเพิ่ม!AM45</f>
        <v>132.87144886363637</v>
      </c>
      <c r="AE51" s="351">
        <f t="shared" si="5"/>
        <v>1521</v>
      </c>
      <c r="AF51" s="360">
        <f>+[3]ผู้ใช้น้ำเพิ่ม!AO45</f>
        <v>1521</v>
      </c>
      <c r="AG51" s="361">
        <v>1014</v>
      </c>
      <c r="AH51" s="362" t="s">
        <v>53</v>
      </c>
      <c r="AI51" s="363">
        <f>+[4]ต.ค.58!$Q$9</f>
        <v>109</v>
      </c>
      <c r="AJ51" s="363">
        <f>+[4]พ.ย.58!$Q$9</f>
        <v>103</v>
      </c>
      <c r="AK51" s="363">
        <f>+[4]ธ.ค.58!$Q$9</f>
        <v>81</v>
      </c>
      <c r="AL51" s="363">
        <f>+[4]ม.ค.59!$Q$9</f>
        <v>120</v>
      </c>
      <c r="AM51" s="363">
        <f>+[4]ก.พ.59!$Q$9</f>
        <v>61</v>
      </c>
      <c r="AN51" s="363">
        <f>+[4]มี.ค.59!$Q$9</f>
        <v>127</v>
      </c>
      <c r="AO51" s="363">
        <f>+[4]เม.ย.59!$Q$9</f>
        <v>154</v>
      </c>
      <c r="AP51" s="363">
        <f>+[4]พ.ค.59!$Q$9</f>
        <v>180</v>
      </c>
      <c r="AQ51" s="363">
        <f>+[4]มิ.ย.59!$Q$9</f>
        <v>160</v>
      </c>
      <c r="AR51" s="363">
        <f>+[4]ก.ค.59!$Q$9</f>
        <v>95</v>
      </c>
      <c r="AS51" s="363">
        <f>+[4]ส.ค.59!$Q$9</f>
        <v>168</v>
      </c>
      <c r="AT51" s="363">
        <f>+[4]ก.ย.59!$Q$9</f>
        <v>166</v>
      </c>
      <c r="AU51" s="353">
        <f t="shared" si="6"/>
        <v>1524</v>
      </c>
    </row>
    <row r="52" spans="1:47" s="360" customFormat="1" x14ac:dyDescent="0.2">
      <c r="A52" s="354">
        <v>1015</v>
      </c>
      <c r="B52" s="355" t="s">
        <v>54</v>
      </c>
      <c r="C52" s="445">
        <f>+[2]ต.ค.59!$R$9</f>
        <v>14</v>
      </c>
      <c r="D52" s="445">
        <f>+[2]พ.ย.59!$R$9</f>
        <v>11</v>
      </c>
      <c r="E52" s="445">
        <f>+[2]ธ.ค.59!$R$9</f>
        <v>30</v>
      </c>
      <c r="F52" s="445">
        <f>+[2]ม.ค.60!$R$9</f>
        <v>22</v>
      </c>
      <c r="G52" s="445">
        <f>+[2]ก.พ.60!$R$9</f>
        <v>13</v>
      </c>
      <c r="H52" s="445">
        <f>+[2]มี.ค.60!$R$9</f>
        <v>19</v>
      </c>
      <c r="I52" s="445">
        <f>+[2]เม.ย.60!$R$9</f>
        <v>8</v>
      </c>
      <c r="J52" s="445">
        <f>+[2]พ.ค.60!$R$9</f>
        <v>17</v>
      </c>
      <c r="K52" s="445">
        <f>+[2]มิ.ย.60!$R$9</f>
        <v>8</v>
      </c>
      <c r="L52" s="445">
        <f>+[2]ก.ค.60!$R$9</f>
        <v>15</v>
      </c>
      <c r="M52" s="445">
        <f>+[2]ส.ค.60!$R$9</f>
        <v>34</v>
      </c>
      <c r="N52" s="445">
        <f>+[2]ก.ย.60!$R$9</f>
        <v>23</v>
      </c>
      <c r="O52" s="444">
        <f t="shared" si="4"/>
        <v>214</v>
      </c>
      <c r="P52" s="356"/>
      <c r="Q52" s="357">
        <v>1015</v>
      </c>
      <c r="R52" s="358" t="s">
        <v>54</v>
      </c>
      <c r="S52" s="359">
        <f>+[3]ผู้ใช้น้ำเพิ่ม!AB46</f>
        <v>13.283544303797468</v>
      </c>
      <c r="T52" s="359">
        <f>+[3]ผู้ใช้น้ำเพิ่ม!AC46</f>
        <v>22.306329113924047</v>
      </c>
      <c r="U52" s="359">
        <f>+[3]ผู้ใช้น้ำเพิ่ม!AD46</f>
        <v>13.534177215189871</v>
      </c>
      <c r="V52" s="359">
        <f>+[3]ผู้ใช้น้ำเพิ่ม!AE46</f>
        <v>16.291139240506329</v>
      </c>
      <c r="W52" s="359">
        <f>+[3]ผู้ใช้น้ำเพิ่ม!AF46</f>
        <v>23.559493670886074</v>
      </c>
      <c r="X52" s="359">
        <f>+[3]ผู้ใช้น้ำเพิ่ม!AG46</f>
        <v>26.316455696202528</v>
      </c>
      <c r="Y52" s="359">
        <f>+[3]ผู้ใช้น้ำเพิ่ม!AH46</f>
        <v>16.792405063291135</v>
      </c>
      <c r="Z52" s="359">
        <f>+[3]ผู้ใช้น้ำเพิ่ม!AI46</f>
        <v>10.777215189873417</v>
      </c>
      <c r="AA52" s="359">
        <f>+[3]ผู้ใช้น้ำเพิ่ม!AJ46</f>
        <v>9.7746835443037963</v>
      </c>
      <c r="AB52" s="359">
        <f>+[3]ผู้ใช้น้ำเพิ่ม!AK46</f>
        <v>14.286075949367088</v>
      </c>
      <c r="AC52" s="359">
        <f>+[3]ผู้ใช้น้ำเพิ่ม!AL46</f>
        <v>17.293670886075947</v>
      </c>
      <c r="AD52" s="359">
        <f>+[3]ผู้ใช้น้ำเพิ่ม!AM46</f>
        <v>13.784810126582276</v>
      </c>
      <c r="AE52" s="351">
        <f t="shared" si="5"/>
        <v>197.99999999999997</v>
      </c>
      <c r="AF52" s="360">
        <f>+[3]ผู้ใช้น้ำเพิ่ม!AO46</f>
        <v>198</v>
      </c>
      <c r="AG52" s="361">
        <v>1015</v>
      </c>
      <c r="AH52" s="362" t="s">
        <v>54</v>
      </c>
      <c r="AI52" s="363">
        <f>+[4]ต.ค.58!$R$9</f>
        <v>16</v>
      </c>
      <c r="AJ52" s="363">
        <f>+[4]พ.ย.58!$R$9</f>
        <v>9</v>
      </c>
      <c r="AK52" s="363">
        <f>+[4]ธ.ค.58!$R$9</f>
        <v>11</v>
      </c>
      <c r="AL52" s="363">
        <f>+[4]ม.ค.59!$R$9</f>
        <v>17</v>
      </c>
      <c r="AM52" s="363">
        <f>+[4]ก.พ.59!$R$9</f>
        <v>21</v>
      </c>
      <c r="AN52" s="363">
        <f>+[4]มี.ค.59!$R$9</f>
        <v>30</v>
      </c>
      <c r="AO52" s="363">
        <f>+[4]เม.ย.59!$R$9</f>
        <v>19</v>
      </c>
      <c r="AP52" s="363">
        <f>+[4]พ.ค.59!$R$9</f>
        <v>15</v>
      </c>
      <c r="AQ52" s="363">
        <f>+[4]มิ.ย.59!$R$9</f>
        <v>8</v>
      </c>
      <c r="AR52" s="363">
        <f>+[4]ก.ค.59!$R$9</f>
        <v>27</v>
      </c>
      <c r="AS52" s="363">
        <f>+[4]ส.ค.59!$R$9</f>
        <v>35</v>
      </c>
      <c r="AT52" s="363">
        <f>+[4]ก.ย.59!$R$9</f>
        <v>26</v>
      </c>
      <c r="AU52" s="353">
        <f t="shared" si="6"/>
        <v>234</v>
      </c>
    </row>
    <row r="53" spans="1:47" s="360" customFormat="1" x14ac:dyDescent="0.2">
      <c r="A53" s="354">
        <v>1016</v>
      </c>
      <c r="B53" s="355" t="s">
        <v>55</v>
      </c>
      <c r="C53" s="445">
        <f>+[2]ต.ค.59!$S$9</f>
        <v>22</v>
      </c>
      <c r="D53" s="445">
        <f>+[2]พ.ย.59!$S$9</f>
        <v>15</v>
      </c>
      <c r="E53" s="445">
        <f>+[2]ธ.ค.59!$S$9</f>
        <v>13</v>
      </c>
      <c r="F53" s="445">
        <f>+[2]ม.ค.60!$S$9</f>
        <v>14</v>
      </c>
      <c r="G53" s="445">
        <f>+[2]ก.พ.60!$S$9</f>
        <v>14</v>
      </c>
      <c r="H53" s="445">
        <f>+[2]มี.ค.60!$S$9</f>
        <v>28</v>
      </c>
      <c r="I53" s="445">
        <f>+[2]เม.ย.60!$S$9</f>
        <v>9</v>
      </c>
      <c r="J53" s="445">
        <f>+[2]พ.ค.60!$S$9</f>
        <v>14</v>
      </c>
      <c r="K53" s="445">
        <f>+[2]มิ.ย.60!$S$9</f>
        <v>18</v>
      </c>
      <c r="L53" s="445">
        <f>+[2]ก.ค.60!$S$9</f>
        <v>12</v>
      </c>
      <c r="M53" s="445">
        <f>+[2]ส.ค.60!$S$9</f>
        <v>21</v>
      </c>
      <c r="N53" s="445">
        <f>+[2]ก.ย.60!$S$9</f>
        <v>25</v>
      </c>
      <c r="O53" s="444">
        <f t="shared" si="4"/>
        <v>205</v>
      </c>
      <c r="P53" s="356"/>
      <c r="Q53" s="357">
        <v>1016</v>
      </c>
      <c r="R53" s="358" t="s">
        <v>55</v>
      </c>
      <c r="S53" s="359">
        <f>+[3]ผู้ใช้น้ำเพิ่ม!AB47</f>
        <v>19.067653276955603</v>
      </c>
      <c r="T53" s="359">
        <f>+[3]ผู้ใช้น้ำเพิ่ม!AC47</f>
        <v>16.766384778012686</v>
      </c>
      <c r="U53" s="359">
        <f>+[3]ผู้ใช้น้ำเพิ่ม!AD47</f>
        <v>13.150105708245245</v>
      </c>
      <c r="V53" s="359">
        <f>+[3]ผู้ใช้น้ำเพิ่ม!AE47</f>
        <v>15.780126849894293</v>
      </c>
      <c r="W53" s="359">
        <f>+[3]ผู้ใช้น้ำเพิ่ม!AF47</f>
        <v>35.505285412262154</v>
      </c>
      <c r="X53" s="359">
        <f>+[3]ผู้ใช้น้ำเพิ่ม!AG47</f>
        <v>36.491543340380552</v>
      </c>
      <c r="Y53" s="359">
        <f>+[3]ผู้ใช้น้ำเพิ่ม!AH47</f>
        <v>17.095137420718814</v>
      </c>
      <c r="Z53" s="359">
        <f>+[3]ผู้ใช้น้ำเพิ่ม!AI47</f>
        <v>36.491543340380552</v>
      </c>
      <c r="AA53" s="359">
        <f>+[3]ผู้ใช้น้ำเพิ่ม!AJ47</f>
        <v>44.710359408033831</v>
      </c>
      <c r="AB53" s="359">
        <f>+[3]ผู้ใช้น้ำเพิ่ม!AK47</f>
        <v>20.38266384778013</v>
      </c>
      <c r="AC53" s="359">
        <f>+[3]ผู้ใช้น้ำเพิ่ม!AL47</f>
        <v>24.985200845665965</v>
      </c>
      <c r="AD53" s="359">
        <f>+[3]ผู้ใช้น้ำเพิ่ม!AM47</f>
        <v>30.573995771670191</v>
      </c>
      <c r="AE53" s="351">
        <f t="shared" si="5"/>
        <v>311.00000000000006</v>
      </c>
      <c r="AF53" s="360">
        <f>+[3]ผู้ใช้น้ำเพิ่ม!AO47</f>
        <v>311</v>
      </c>
      <c r="AG53" s="361">
        <v>1016</v>
      </c>
      <c r="AH53" s="362" t="s">
        <v>55</v>
      </c>
      <c r="AI53" s="363">
        <f>+[4]ต.ค.58!$S$9</f>
        <v>22</v>
      </c>
      <c r="AJ53" s="363">
        <f>+[4]พ.ย.58!$S$9</f>
        <v>19</v>
      </c>
      <c r="AK53" s="363">
        <f>+[4]ธ.ค.58!$S$9</f>
        <v>20</v>
      </c>
      <c r="AL53" s="363">
        <f>+[4]ม.ค.59!$S$9</f>
        <v>23</v>
      </c>
      <c r="AM53" s="363">
        <f>+[4]ก.พ.59!$S$9</f>
        <v>38</v>
      </c>
      <c r="AN53" s="363">
        <f>+[4]มี.ค.59!$S$9</f>
        <v>47</v>
      </c>
      <c r="AO53" s="363">
        <f>+[4]เม.ย.59!$S$9</f>
        <v>13</v>
      </c>
      <c r="AP53" s="363">
        <f>+[4]พ.ค.59!$S$9</f>
        <v>50</v>
      </c>
      <c r="AQ53" s="363">
        <f>+[4]มิ.ย.59!$S$9</f>
        <v>96</v>
      </c>
      <c r="AR53" s="363">
        <f>+[4]ก.ค.59!$S$9</f>
        <v>26</v>
      </c>
      <c r="AS53" s="363">
        <f>+[4]ส.ค.59!$S$9</f>
        <v>53</v>
      </c>
      <c r="AT53" s="363">
        <f>+[4]ก.ย.59!$S$9</f>
        <v>12</v>
      </c>
      <c r="AU53" s="353">
        <f t="shared" si="6"/>
        <v>419</v>
      </c>
    </row>
    <row r="54" spans="1:47" s="360" customFormat="1" x14ac:dyDescent="0.2">
      <c r="A54" s="354">
        <v>1017</v>
      </c>
      <c r="B54" s="355" t="s">
        <v>56</v>
      </c>
      <c r="C54" s="445">
        <f>+[2]ต.ค.59!$T$9</f>
        <v>32</v>
      </c>
      <c r="D54" s="445">
        <f>+[2]พ.ย.59!$T$9</f>
        <v>42</v>
      </c>
      <c r="E54" s="445">
        <f>+[2]ธ.ค.59!$T$9</f>
        <v>14</v>
      </c>
      <c r="F54" s="445">
        <f>+[2]ม.ค.60!$T$9</f>
        <v>34</v>
      </c>
      <c r="G54" s="445">
        <f>+[2]ก.พ.60!$T$9</f>
        <v>29</v>
      </c>
      <c r="H54" s="445">
        <f>+[2]มี.ค.60!$T$9</f>
        <v>43</v>
      </c>
      <c r="I54" s="445">
        <f>+[2]เม.ย.60!$T$9</f>
        <v>44</v>
      </c>
      <c r="J54" s="445">
        <f>+[2]พ.ค.60!$T$9</f>
        <v>41</v>
      </c>
      <c r="K54" s="445">
        <f>+[2]มิ.ย.60!$T$9</f>
        <v>16</v>
      </c>
      <c r="L54" s="445">
        <f>+[2]ก.ค.60!$T$9</f>
        <v>19</v>
      </c>
      <c r="M54" s="445">
        <f>+[2]ส.ค.60!$T$9</f>
        <v>28</v>
      </c>
      <c r="N54" s="445">
        <f>+[2]ก.ย.60!$T$9</f>
        <v>26</v>
      </c>
      <c r="O54" s="444">
        <f t="shared" si="4"/>
        <v>368</v>
      </c>
      <c r="P54" s="356"/>
      <c r="Q54" s="357">
        <v>1017</v>
      </c>
      <c r="R54" s="358" t="s">
        <v>56</v>
      </c>
      <c r="S54" s="359">
        <f>+[3]ผู้ใช้น้ำเพิ่ม!AB48</f>
        <v>48.934705464868706</v>
      </c>
      <c r="T54" s="359">
        <f>+[3]ผู้ใช้น้ำเพิ่ม!AC48</f>
        <v>34.3584102200142</v>
      </c>
      <c r="U54" s="359">
        <f>+[3]ผู้ใช้น้ำเพิ่ม!AD48</f>
        <v>41.299503193754433</v>
      </c>
      <c r="V54" s="359">
        <f>+[3]ผู้ใช้น้ำเพิ่ม!AE48</f>
        <v>30.540809084457063</v>
      </c>
      <c r="W54" s="359">
        <f>+[3]ผู้ใช้น้ำเพิ่ม!AF48</f>
        <v>45.811213626685593</v>
      </c>
      <c r="X54" s="359">
        <f>+[3]ผู้ใช้น้ำเพิ่ม!AG48</f>
        <v>41.299503193754433</v>
      </c>
      <c r="Y54" s="359">
        <f>+[3]ผู้ใช้น้ำเพิ่ม!AH48</f>
        <v>38.523066004258347</v>
      </c>
      <c r="Z54" s="359">
        <f>+[3]ผู้ใช้น้ำเพิ่ม!AI48</f>
        <v>36.440738112136266</v>
      </c>
      <c r="AA54" s="359">
        <f>+[3]ผู้ใช้น้ำเพิ่ม!AJ48</f>
        <v>53.446415897799866</v>
      </c>
      <c r="AB54" s="359">
        <f>+[3]ผู้ใช้น้ำเพิ่ม!AK48</f>
        <v>39.911284599006393</v>
      </c>
      <c r="AC54" s="359">
        <f>+[3]ผู้ใช้น้ำเพิ่ม!AL48</f>
        <v>40.258339247693399</v>
      </c>
      <c r="AD54" s="359">
        <f>+[3]ผู้ใช้น้ำเพิ่ม!AM48</f>
        <v>38.176011355571333</v>
      </c>
      <c r="AE54" s="351">
        <f t="shared" si="5"/>
        <v>489</v>
      </c>
      <c r="AF54" s="360">
        <f>+[3]ผู้ใช้น้ำเพิ่ม!AO48</f>
        <v>489</v>
      </c>
      <c r="AG54" s="361">
        <v>1017</v>
      </c>
      <c r="AH54" s="362" t="s">
        <v>56</v>
      </c>
      <c r="AI54" s="363">
        <f>+[4]ต.ค.58!$T$9</f>
        <v>31</v>
      </c>
      <c r="AJ54" s="363">
        <f>+[4]พ.ย.58!$T$9</f>
        <v>46</v>
      </c>
      <c r="AK54" s="363">
        <f>+[4]ธ.ค.58!$T$9</f>
        <v>48</v>
      </c>
      <c r="AL54" s="363">
        <f>+[4]ม.ค.59!$T$9</f>
        <v>40</v>
      </c>
      <c r="AM54" s="363">
        <f>+[4]ก.พ.59!$T$9</f>
        <v>23</v>
      </c>
      <c r="AN54" s="363">
        <f>+[4]มี.ค.59!$T$9</f>
        <v>36</v>
      </c>
      <c r="AO54" s="363">
        <f>+[4]เม.ย.59!$T$9</f>
        <v>47</v>
      </c>
      <c r="AP54" s="363">
        <f>+[4]พ.ค.59!$T$9</f>
        <v>47</v>
      </c>
      <c r="AQ54" s="363">
        <f>+[4]มิ.ย.59!$T$9</f>
        <v>49</v>
      </c>
      <c r="AR54" s="363">
        <f>+[4]ก.ค.59!$T$9</f>
        <v>38</v>
      </c>
      <c r="AS54" s="363">
        <f>+[4]ส.ค.59!$T$9</f>
        <v>57</v>
      </c>
      <c r="AT54" s="363">
        <f>+[4]ก.ย.59!$T$9</f>
        <v>40</v>
      </c>
      <c r="AU54" s="353">
        <f t="shared" si="6"/>
        <v>502</v>
      </c>
    </row>
    <row r="55" spans="1:47" s="360" customFormat="1" x14ac:dyDescent="0.2">
      <c r="A55" s="354">
        <v>1018</v>
      </c>
      <c r="B55" s="355" t="s">
        <v>57</v>
      </c>
      <c r="C55" s="445">
        <f>+[2]ต.ค.59!$U$9</f>
        <v>5</v>
      </c>
      <c r="D55" s="445">
        <f>+[2]พ.ย.59!$U$9</f>
        <v>7</v>
      </c>
      <c r="E55" s="445">
        <f>+[2]ธ.ค.59!$U$9</f>
        <v>20</v>
      </c>
      <c r="F55" s="445">
        <f>+[2]ม.ค.60!$U$9</f>
        <v>8</v>
      </c>
      <c r="G55" s="445">
        <f>+[2]ก.พ.60!$U$9</f>
        <v>14</v>
      </c>
      <c r="H55" s="445">
        <f>+[2]มี.ค.60!$U$9</f>
        <v>24</v>
      </c>
      <c r="I55" s="445">
        <f>+[2]เม.ย.60!$U$9</f>
        <v>6</v>
      </c>
      <c r="J55" s="445">
        <f>+[2]พ.ค.60!$U$9</f>
        <v>12</v>
      </c>
      <c r="K55" s="445">
        <f>+[2]มิ.ย.60!$U$9</f>
        <v>2</v>
      </c>
      <c r="L55" s="445">
        <f>+[2]ก.ค.60!$U$9</f>
        <v>3</v>
      </c>
      <c r="M55" s="445">
        <f>+[2]ส.ค.60!$U$9</f>
        <v>12</v>
      </c>
      <c r="N55" s="445">
        <f>+[2]ก.ย.60!$U$9</f>
        <v>13</v>
      </c>
      <c r="O55" s="444">
        <f t="shared" si="4"/>
        <v>126</v>
      </c>
      <c r="P55" s="356"/>
      <c r="Q55" s="357">
        <v>1018</v>
      </c>
      <c r="R55" s="358" t="s">
        <v>57</v>
      </c>
      <c r="S55" s="359">
        <f>+[3]ผู้ใช้น้ำเพิ่ม!AB49</f>
        <v>12.218181818181819</v>
      </c>
      <c r="T55" s="359">
        <f>+[3]ผู้ใช้น้ำเพิ่ม!AC49</f>
        <v>19.854545454545452</v>
      </c>
      <c r="U55" s="359">
        <f>+[3]ผู้ใช้น้ำเพิ่ม!AD49</f>
        <v>22.4</v>
      </c>
      <c r="V55" s="359">
        <f>+[3]ผู้ใช้น้ำเพิ่ม!AE49</f>
        <v>18.83636363636364</v>
      </c>
      <c r="W55" s="359">
        <f>+[3]ผู้ใช้น้ำเพิ่ม!AF49</f>
        <v>33.6</v>
      </c>
      <c r="X55" s="359">
        <f>+[3]ผู้ใช้น้ำเพิ่ม!AG49</f>
        <v>32.581818181818178</v>
      </c>
      <c r="Y55" s="359">
        <f>+[3]ผู้ใช้น้ำเพิ่ม!AH49</f>
        <v>12.218181818181819</v>
      </c>
      <c r="Z55" s="359">
        <f>+[3]ผู้ใช้น้ำเพิ่ม!AI49</f>
        <v>19.345454545454544</v>
      </c>
      <c r="AA55" s="359">
        <f>+[3]ผู้ใช้น้ำเพิ่ม!AJ49</f>
        <v>26.472727272727273</v>
      </c>
      <c r="AB55" s="359">
        <f>+[3]ผู้ใช้น้ำเพิ่ม!AK49</f>
        <v>18.83636363636364</v>
      </c>
      <c r="AC55" s="359">
        <f>+[3]ผู้ใช้น้ำเพิ่ม!AL49</f>
        <v>20.872727272727271</v>
      </c>
      <c r="AD55" s="359">
        <f>+[3]ผู้ใช้น้ำเพิ่ม!AM49</f>
        <v>14.763636363636362</v>
      </c>
      <c r="AE55" s="351">
        <f t="shared" si="5"/>
        <v>252</v>
      </c>
      <c r="AF55" s="360">
        <f>+[3]ผู้ใช้น้ำเพิ่ม!AO49</f>
        <v>252</v>
      </c>
      <c r="AG55" s="361">
        <v>1018</v>
      </c>
      <c r="AH55" s="362" t="s">
        <v>57</v>
      </c>
      <c r="AI55" s="363">
        <f>+[4]ต.ค.58!$U$9</f>
        <v>6</v>
      </c>
      <c r="AJ55" s="363">
        <f>+[4]พ.ย.58!$U$9</f>
        <v>14</v>
      </c>
      <c r="AK55" s="363">
        <f>+[4]ธ.ค.58!$U$9</f>
        <v>14</v>
      </c>
      <c r="AL55" s="363">
        <f>+[4]ม.ค.59!$U$9</f>
        <v>9</v>
      </c>
      <c r="AM55" s="363">
        <f>+[4]ก.พ.59!$U$9</f>
        <v>12</v>
      </c>
      <c r="AN55" s="363">
        <f>+[4]มี.ค.59!$U$9</f>
        <v>33</v>
      </c>
      <c r="AO55" s="363">
        <f>+[4]เม.ย.59!$U$9</f>
        <v>9</v>
      </c>
      <c r="AP55" s="363">
        <f>+[4]พ.ค.59!$U$9</f>
        <v>12</v>
      </c>
      <c r="AQ55" s="363">
        <f>+[4]มิ.ย.59!$U$9</f>
        <v>17</v>
      </c>
      <c r="AR55" s="363">
        <f>+[4]ก.ค.59!$U$9</f>
        <v>8</v>
      </c>
      <c r="AS55" s="363">
        <f>+[4]ส.ค.59!$U$9</f>
        <v>17</v>
      </c>
      <c r="AT55" s="363">
        <f>+[4]ก.ย.59!$U$9</f>
        <v>9</v>
      </c>
      <c r="AU55" s="353">
        <f t="shared" si="6"/>
        <v>160</v>
      </c>
    </row>
    <row r="56" spans="1:47" s="360" customFormat="1" x14ac:dyDescent="0.2">
      <c r="A56" s="354">
        <v>1019</v>
      </c>
      <c r="B56" s="355" t="s">
        <v>58</v>
      </c>
      <c r="C56" s="445">
        <f>+[2]ต.ค.59!$V$9</f>
        <v>7</v>
      </c>
      <c r="D56" s="445">
        <f>+[2]พ.ย.59!$V$9</f>
        <v>3</v>
      </c>
      <c r="E56" s="445">
        <f>+[2]ธ.ค.59!$V$9</f>
        <v>5</v>
      </c>
      <c r="F56" s="445">
        <f>+[2]ม.ค.60!$V$9</f>
        <v>6</v>
      </c>
      <c r="G56" s="445">
        <f>+[2]ก.พ.60!$V$9</f>
        <v>11</v>
      </c>
      <c r="H56" s="445">
        <f>+[2]มี.ค.60!$V$9</f>
        <v>27</v>
      </c>
      <c r="I56" s="445">
        <f>+[2]เม.ย.60!$V$9</f>
        <v>14</v>
      </c>
      <c r="J56" s="445">
        <f>+[2]พ.ค.60!$V$9</f>
        <v>6</v>
      </c>
      <c r="K56" s="445">
        <f>+[2]มิ.ย.60!$V$9</f>
        <v>11</v>
      </c>
      <c r="L56" s="445">
        <f>+[2]ก.ค.60!$V$9</f>
        <v>4</v>
      </c>
      <c r="M56" s="445">
        <f>+[2]ส.ค.60!$V$9</f>
        <v>3</v>
      </c>
      <c r="N56" s="445">
        <f>+[2]ก.ย.60!$V$9</f>
        <v>6</v>
      </c>
      <c r="O56" s="444">
        <f t="shared" si="4"/>
        <v>103</v>
      </c>
      <c r="P56" s="356"/>
      <c r="Q56" s="357">
        <v>1019</v>
      </c>
      <c r="R56" s="358" t="s">
        <v>58</v>
      </c>
      <c r="S56" s="359">
        <f>+[3]ผู้ใช้น้ำเพิ่ม!AB50</f>
        <v>11.803278688524591</v>
      </c>
      <c r="T56" s="359">
        <f>+[3]ผู้ใช้น้ำเพิ่ม!AC50</f>
        <v>7.3770491803278695</v>
      </c>
      <c r="U56" s="359">
        <f>+[3]ผู้ใช้น้ำเพิ่ม!AD50</f>
        <v>6.1967213114754101</v>
      </c>
      <c r="V56" s="359">
        <f>+[3]ผู้ใช้น้ำเพิ่ม!AE50</f>
        <v>4.1311475409836067</v>
      </c>
      <c r="W56" s="359">
        <f>+[3]ผู้ใช้น้ำเพิ่ม!AF50</f>
        <v>5.3114754098360653</v>
      </c>
      <c r="X56" s="359">
        <f>+[3]ผู้ใช้น้ำเพิ่ม!AG50</f>
        <v>17.114754098360653</v>
      </c>
      <c r="Y56" s="359">
        <f>+[3]ผู้ใช้น้ำเพิ่ม!AH50</f>
        <v>11.803278688524591</v>
      </c>
      <c r="Z56" s="359">
        <f>+[3]ผู้ใช้น้ำเพิ่ม!AI50</f>
        <v>15.639344262295085</v>
      </c>
      <c r="AA56" s="359">
        <f>+[3]ผู้ใช้น้ำเพิ่ม!AJ50</f>
        <v>9.1475409836065591</v>
      </c>
      <c r="AB56" s="359">
        <f>+[3]ผู้ใช้น้ำเพิ่ม!AK50</f>
        <v>8.8524590163934427</v>
      </c>
      <c r="AC56" s="359">
        <f>+[3]ผู้ใช้น้ำเพิ่ม!AL50</f>
        <v>5.9016393442622954</v>
      </c>
      <c r="AD56" s="359">
        <f>+[3]ผู้ใช้น้ำเพิ่ม!AM50</f>
        <v>4.721311475409836</v>
      </c>
      <c r="AE56" s="351">
        <f t="shared" si="5"/>
        <v>108</v>
      </c>
      <c r="AF56" s="360">
        <f>+[3]ผู้ใช้น้ำเพิ่ม!AO50</f>
        <v>108</v>
      </c>
      <c r="AG56" s="361">
        <v>1019</v>
      </c>
      <c r="AH56" s="362" t="s">
        <v>58</v>
      </c>
      <c r="AI56" s="363">
        <f>+[4]ต.ค.58!$V$9</f>
        <v>5</v>
      </c>
      <c r="AJ56" s="363">
        <f>+[4]พ.ย.58!$V$9</f>
        <v>6</v>
      </c>
      <c r="AK56" s="363">
        <f>+[4]ธ.ค.58!$V$9</f>
        <v>5</v>
      </c>
      <c r="AL56" s="363">
        <f>+[4]ม.ค.59!$V$9</f>
        <v>3</v>
      </c>
      <c r="AM56" s="363">
        <f>+[4]ก.พ.59!$V$9</f>
        <v>8</v>
      </c>
      <c r="AN56" s="363">
        <f>+[4]มี.ค.59!$V$9</f>
        <v>27</v>
      </c>
      <c r="AO56" s="363">
        <f>+[4]เม.ย.59!$V$9</f>
        <v>23</v>
      </c>
      <c r="AP56" s="363">
        <f>+[4]พ.ค.59!$V$9</f>
        <v>22</v>
      </c>
      <c r="AQ56" s="363">
        <f>+[4]มิ.ย.59!$V$9</f>
        <v>12</v>
      </c>
      <c r="AR56" s="363">
        <f>+[4]ก.ค.59!$V$9</f>
        <v>8</v>
      </c>
      <c r="AS56" s="363">
        <f>+[4]ส.ค.59!$V$9</f>
        <v>5</v>
      </c>
      <c r="AT56" s="363">
        <f>+[4]ก.ย.59!$V$9</f>
        <v>3</v>
      </c>
      <c r="AU56" s="353">
        <f t="shared" si="6"/>
        <v>127</v>
      </c>
    </row>
    <row r="57" spans="1:47" s="360" customFormat="1" x14ac:dyDescent="0.2">
      <c r="A57" s="354">
        <v>1020</v>
      </c>
      <c r="B57" s="355" t="s">
        <v>59</v>
      </c>
      <c r="C57" s="445">
        <f>+[2]ต.ค.59!$W$9</f>
        <v>37</v>
      </c>
      <c r="D57" s="445">
        <f>+[2]พ.ย.59!$W$9</f>
        <v>21</v>
      </c>
      <c r="E57" s="445">
        <f>+[2]ธ.ค.59!$W$9</f>
        <v>17</v>
      </c>
      <c r="F57" s="445">
        <f>+[2]ม.ค.60!$W$9</f>
        <v>49</v>
      </c>
      <c r="G57" s="445">
        <f>+[2]ก.พ.60!$W$9</f>
        <v>54</v>
      </c>
      <c r="H57" s="445">
        <f>+[2]มี.ค.60!$W$9</f>
        <v>33</v>
      </c>
      <c r="I57" s="445">
        <f>+[2]เม.ย.60!$W$9</f>
        <v>25</v>
      </c>
      <c r="J57" s="445">
        <f>+[2]พ.ค.60!$W$9</f>
        <v>52</v>
      </c>
      <c r="K57" s="445">
        <f>+[2]มิ.ย.60!$W$9</f>
        <v>30</v>
      </c>
      <c r="L57" s="445">
        <f>+[2]ก.ค.60!$W$9</f>
        <v>37</v>
      </c>
      <c r="M57" s="445">
        <f>+[2]ส.ค.60!$W$9</f>
        <v>38</v>
      </c>
      <c r="N57" s="445">
        <f>+[2]ก.ย.60!$W$9</f>
        <v>64</v>
      </c>
      <c r="O57" s="444">
        <f t="shared" si="4"/>
        <v>457</v>
      </c>
      <c r="P57" s="356"/>
      <c r="Q57" s="357">
        <v>1020</v>
      </c>
      <c r="R57" s="358" t="s">
        <v>59</v>
      </c>
      <c r="S57" s="359">
        <f>+[3]ผู้ใช้น้ำเพิ่ม!AB51</f>
        <v>55.29244712990937</v>
      </c>
      <c r="T57" s="359">
        <f>+[3]ผู้ใช้น้ำเพิ่ม!AC51</f>
        <v>83.526888217522668</v>
      </c>
      <c r="U57" s="359">
        <f>+[3]ผู้ใช้น้ำเพิ่ม!AD51</f>
        <v>34.116616314199398</v>
      </c>
      <c r="V57" s="359">
        <f>+[3]ผู้ใช้น้ำเพิ่ม!AE51</f>
        <v>47.057401812688823</v>
      </c>
      <c r="W57" s="359">
        <f>+[3]ผู้ใช้น้ำเพิ่ม!AF51</f>
        <v>45.096676737160124</v>
      </c>
      <c r="X57" s="359">
        <f>+[3]ผู้ใช้น้ำเพิ่ม!AG51</f>
        <v>81.174018126888228</v>
      </c>
      <c r="Y57" s="359">
        <f>+[3]ผู้ใช้น้ำเพิ่ม!AH51</f>
        <v>44.704531722054377</v>
      </c>
      <c r="Z57" s="359">
        <f>+[3]ผู้ใช้น้ำเพิ่ม!AI51</f>
        <v>51.76314199395771</v>
      </c>
      <c r="AA57" s="359">
        <f>+[3]ผู้ใช้น้ำเพิ่ม!AJ51</f>
        <v>72.154682779456195</v>
      </c>
      <c r="AB57" s="359">
        <f>+[3]ผู้ใช้น้ำเพิ่ม!AK51</f>
        <v>34.900906344410878</v>
      </c>
      <c r="AC57" s="359">
        <f>+[3]ผู้ใช้น้ำเพิ่ม!AL51</f>
        <v>59.606042296072509</v>
      </c>
      <c r="AD57" s="359">
        <f>+[3]ผู้ใช้น้ำเพิ่ม!AM51</f>
        <v>39.606646525679757</v>
      </c>
      <c r="AE57" s="351">
        <f t="shared" si="5"/>
        <v>648.99999999999989</v>
      </c>
      <c r="AF57" s="360">
        <f>+[3]ผู้ใช้น้ำเพิ่ม!AO51</f>
        <v>649</v>
      </c>
      <c r="AG57" s="361">
        <v>1020</v>
      </c>
      <c r="AH57" s="362" t="s">
        <v>59</v>
      </c>
      <c r="AI57" s="363">
        <f>+[4]ต.ค.58!$W$9</f>
        <v>15</v>
      </c>
      <c r="AJ57" s="363">
        <f>+[4]พ.ย.58!$W$9</f>
        <v>79</v>
      </c>
      <c r="AK57" s="363">
        <f>+[4]ธ.ค.58!$W$9</f>
        <v>21</v>
      </c>
      <c r="AL57" s="363">
        <f>+[4]ม.ค.59!$W$9</f>
        <v>45</v>
      </c>
      <c r="AM57" s="363">
        <f>+[4]ก.พ.59!$W$9</f>
        <v>29</v>
      </c>
      <c r="AN57" s="363">
        <f>+[4]มี.ค.59!$W$9</f>
        <v>76</v>
      </c>
      <c r="AO57" s="363">
        <f>+[4]เม.ย.59!$W$9</f>
        <v>24</v>
      </c>
      <c r="AP57" s="363">
        <f>+[4]พ.ค.59!$W$9</f>
        <v>47</v>
      </c>
      <c r="AQ57" s="363">
        <f>+[4]มิ.ย.59!$W$9</f>
        <v>83</v>
      </c>
      <c r="AR57" s="363">
        <f>+[4]ก.ค.59!$W$9</f>
        <v>11</v>
      </c>
      <c r="AS57" s="363">
        <f>+[4]ส.ค.59!$W$9</f>
        <v>37</v>
      </c>
      <c r="AT57" s="363">
        <f>+[4]ก.ย.59!$W$9</f>
        <v>61</v>
      </c>
      <c r="AU57" s="353">
        <f t="shared" si="6"/>
        <v>528</v>
      </c>
    </row>
    <row r="58" spans="1:47" s="360" customFormat="1" x14ac:dyDescent="0.2">
      <c r="A58" s="354">
        <v>1021</v>
      </c>
      <c r="B58" s="355" t="s">
        <v>60</v>
      </c>
      <c r="C58" s="445">
        <f>+[2]ต.ค.59!$X$9</f>
        <v>5</v>
      </c>
      <c r="D58" s="445">
        <f>+[2]พ.ย.59!$X$9</f>
        <v>16</v>
      </c>
      <c r="E58" s="445">
        <f>+[2]ธ.ค.59!$X$9</f>
        <v>11</v>
      </c>
      <c r="F58" s="445">
        <f>+[2]ม.ค.60!$X$9</f>
        <v>8</v>
      </c>
      <c r="G58" s="445">
        <f>+[2]ก.พ.60!$X$9</f>
        <v>16</v>
      </c>
      <c r="H58" s="445">
        <f>+[2]มี.ค.60!$X$9</f>
        <v>14</v>
      </c>
      <c r="I58" s="445">
        <f>+[2]เม.ย.60!$X$9</f>
        <v>7</v>
      </c>
      <c r="J58" s="445">
        <f>+[2]พ.ค.60!$X$9</f>
        <v>17</v>
      </c>
      <c r="K58" s="445">
        <f>+[2]มิ.ย.60!$X$9</f>
        <v>25</v>
      </c>
      <c r="L58" s="445">
        <f>+[2]ก.ค.60!$X$9</f>
        <v>35</v>
      </c>
      <c r="M58" s="445">
        <f>+[2]ส.ค.60!$X$9</f>
        <v>21</v>
      </c>
      <c r="N58" s="445">
        <f>+[2]ก.ย.60!$X$9</f>
        <v>17</v>
      </c>
      <c r="O58" s="444">
        <f t="shared" si="4"/>
        <v>192</v>
      </c>
      <c r="P58" s="356"/>
      <c r="Q58" s="357">
        <v>1021</v>
      </c>
      <c r="R58" s="358" t="s">
        <v>60</v>
      </c>
      <c r="S58" s="359">
        <f>+[3]ผู้ใช้น้ำเพิ่ม!AB52</f>
        <v>19.958949096880133</v>
      </c>
      <c r="T58" s="359">
        <f>+[3]ผู้ใช้น้ำเพิ่ม!AC52</f>
        <v>15.604269293924466</v>
      </c>
      <c r="U58" s="359">
        <f>+[3]ผู้ใช้น้ำเพิ่ม!AD52</f>
        <v>15.604269293924466</v>
      </c>
      <c r="V58" s="359">
        <f>+[3]ผู้ใช้น้ำเพิ่ม!AE52</f>
        <v>19.958949096880133</v>
      </c>
      <c r="W58" s="359">
        <f>+[3]ผู้ใช้น้ำเพิ่ม!AF52</f>
        <v>23.587848932676522</v>
      </c>
      <c r="X58" s="359">
        <f>+[3]ผู้ใช้น้ำเพิ่ม!AG52</f>
        <v>21.410509031198689</v>
      </c>
      <c r="Y58" s="359">
        <f>+[3]ผู้ใช้น้ำเพิ่ม!AH52</f>
        <v>14.152709359605913</v>
      </c>
      <c r="Z58" s="359">
        <f>+[3]ผู้ใช้น้ำเพิ่ม!AI52</f>
        <v>17.055829228243024</v>
      </c>
      <c r="AA58" s="359">
        <f>+[3]ผู้ใช้น้ำเพิ่ม!AJ52</f>
        <v>13.789819376026273</v>
      </c>
      <c r="AB58" s="359">
        <f>+[3]ผู้ใช้น้ำเพิ่ม!AK52</f>
        <v>12.701149425287356</v>
      </c>
      <c r="AC58" s="359">
        <f>+[3]ผู้ใช้น้ำเพิ่ม!AL52</f>
        <v>15.241379310344827</v>
      </c>
      <c r="AD58" s="359">
        <f>+[3]ผู้ใช้น้ำเพิ่ม!AM52</f>
        <v>31.934318555008208</v>
      </c>
      <c r="AE58" s="351">
        <f t="shared" si="5"/>
        <v>221</v>
      </c>
      <c r="AF58" s="360">
        <f>+[3]ผู้ใช้น้ำเพิ่ม!AO52</f>
        <v>221</v>
      </c>
      <c r="AG58" s="361">
        <v>1021</v>
      </c>
      <c r="AH58" s="362" t="s">
        <v>60</v>
      </c>
      <c r="AI58" s="363">
        <f>+[4]ต.ค.58!$X$9</f>
        <v>11</v>
      </c>
      <c r="AJ58" s="363">
        <f>+[4]พ.ย.58!$X$9</f>
        <v>8</v>
      </c>
      <c r="AK58" s="363">
        <f>+[4]ธ.ค.58!$X$9</f>
        <v>10</v>
      </c>
      <c r="AL58" s="363">
        <f>+[4]ม.ค.59!$X$9</f>
        <v>14</v>
      </c>
      <c r="AM58" s="363">
        <f>+[4]ก.พ.59!$X$9</f>
        <v>17</v>
      </c>
      <c r="AN58" s="363">
        <f>+[4]มี.ค.59!$X$9</f>
        <v>16</v>
      </c>
      <c r="AO58" s="363">
        <f>+[4]เม.ย.59!$X$9</f>
        <v>12</v>
      </c>
      <c r="AP58" s="363">
        <f>+[4]พ.ค.59!$X$9</f>
        <v>13</v>
      </c>
      <c r="AQ58" s="363">
        <f>+[4]มิ.ย.59!$X$9</f>
        <v>13</v>
      </c>
      <c r="AR58" s="363">
        <f>+[4]ก.ค.59!$X$9</f>
        <v>10</v>
      </c>
      <c r="AS58" s="363">
        <f>+[4]ส.ค.59!$X$9</f>
        <v>18</v>
      </c>
      <c r="AT58" s="363">
        <f>+[4]ก.ย.59!$X$9</f>
        <v>66</v>
      </c>
      <c r="AU58" s="353">
        <f t="shared" si="6"/>
        <v>208</v>
      </c>
    </row>
    <row r="59" spans="1:47" s="360" customFormat="1" x14ac:dyDescent="0.2">
      <c r="A59" s="354">
        <v>1022</v>
      </c>
      <c r="B59" s="355" t="s">
        <v>61</v>
      </c>
      <c r="C59" s="445">
        <f>+[2]ต.ค.59!$Y$9</f>
        <v>87</v>
      </c>
      <c r="D59" s="445">
        <f>+[2]พ.ย.59!$Y$9</f>
        <v>121</v>
      </c>
      <c r="E59" s="445">
        <f>+[2]ธ.ค.59!$Y$9</f>
        <v>69</v>
      </c>
      <c r="F59" s="445">
        <f>+[2]ม.ค.60!$Y$9</f>
        <v>91</v>
      </c>
      <c r="G59" s="445">
        <f>+[2]ก.พ.60!$Y$9</f>
        <v>144</v>
      </c>
      <c r="H59" s="445">
        <f>+[2]มี.ค.60!$Y$9</f>
        <v>141</v>
      </c>
      <c r="I59" s="445">
        <f>+[2]เม.ย.60!$Y$9</f>
        <v>122</v>
      </c>
      <c r="J59" s="445">
        <f>+[2]พ.ค.60!$Y$9</f>
        <v>105</v>
      </c>
      <c r="K59" s="445">
        <f>+[2]มิ.ย.60!$Y$9</f>
        <v>73</v>
      </c>
      <c r="L59" s="445">
        <f>+[2]ก.ค.60!$Y$9</f>
        <v>67</v>
      </c>
      <c r="M59" s="445">
        <f>+[2]ส.ค.60!$Y$9</f>
        <v>101</v>
      </c>
      <c r="N59" s="445">
        <f>+[2]ก.ย.60!$Y$9</f>
        <v>105</v>
      </c>
      <c r="O59" s="444">
        <f t="shared" si="4"/>
        <v>1226</v>
      </c>
      <c r="P59" s="356"/>
      <c r="Q59" s="357">
        <v>1022</v>
      </c>
      <c r="R59" s="358" t="s">
        <v>61</v>
      </c>
      <c r="S59" s="359">
        <f>+[3]ผู้ใช้น้ำเพิ่ม!AB53</f>
        <v>69.928491620111728</v>
      </c>
      <c r="T59" s="359">
        <f>+[3]ผู้ใช้น้ำเพิ่ม!AC53</f>
        <v>51.1173184357542</v>
      </c>
      <c r="U59" s="359">
        <f>+[3]ผู้ใช้น้ำเพิ่ม!AD53</f>
        <v>114.09385474860336</v>
      </c>
      <c r="V59" s="359">
        <f>+[3]ผู้ใช้น้ำเพิ่ม!AE53</f>
        <v>142.7195530726257</v>
      </c>
      <c r="W59" s="359">
        <f>+[3]ผู้ใช้น้ำเพิ่ม!AF53</f>
        <v>88.739664804469285</v>
      </c>
      <c r="X59" s="359">
        <f>+[3]ผู้ใช้น้ำเพิ่ม!AG53</f>
        <v>119.81899441340785</v>
      </c>
      <c r="Y59" s="359">
        <f>+[3]ผู้ใช้น้ำเพิ่ม!AH53</f>
        <v>92.829050279329635</v>
      </c>
      <c r="Z59" s="359">
        <f>+[3]ผู้ใช้น้ำเพิ่ม!AI53</f>
        <v>80.560893854748628</v>
      </c>
      <c r="AA59" s="359">
        <f>+[3]ผู้ใช้น้ำเพิ่ม!AJ53</f>
        <v>103.05251396648046</v>
      </c>
      <c r="AB59" s="359">
        <f>+[3]ผู้ใช้น้ำเพิ่ม!AK53</f>
        <v>62.158659217877101</v>
      </c>
      <c r="AC59" s="359">
        <f>+[3]ผู้ใช้น้ำเพิ่ม!AL53</f>
        <v>74.83575418994414</v>
      </c>
      <c r="AD59" s="359">
        <f>+[3]ผู้ใช้น้ำเพิ่ม!AM53</f>
        <v>98.145251396648064</v>
      </c>
      <c r="AE59" s="351">
        <f t="shared" si="5"/>
        <v>1098.0000000000002</v>
      </c>
      <c r="AF59" s="360">
        <f>+[3]ผู้ใช้น้ำเพิ่ม!AO53</f>
        <v>1098</v>
      </c>
      <c r="AG59" s="361">
        <v>1022</v>
      </c>
      <c r="AH59" s="362" t="s">
        <v>61</v>
      </c>
      <c r="AI59" s="363">
        <f>+[4]ต.ค.58!$Y$9</f>
        <v>40</v>
      </c>
      <c r="AJ59" s="363">
        <f>+[4]พ.ย.58!$Y$9</f>
        <v>37</v>
      </c>
      <c r="AK59" s="363">
        <f>+[4]ธ.ค.58!$Y$9</f>
        <v>173</v>
      </c>
      <c r="AL59" s="363">
        <f>+[4]ม.ค.59!$Y$9</f>
        <v>106</v>
      </c>
      <c r="AM59" s="363">
        <f>+[4]ก.พ.59!$Y$9</f>
        <v>90</v>
      </c>
      <c r="AN59" s="363">
        <f>+[4]มี.ค.59!$Y$9</f>
        <v>161</v>
      </c>
      <c r="AO59" s="363">
        <f>+[4]เม.ย.59!$Y$9</f>
        <v>71</v>
      </c>
      <c r="AP59" s="363">
        <f>+[4]พ.ค.59!$Y$9</f>
        <v>81</v>
      </c>
      <c r="AQ59" s="363">
        <f>+[4]มิ.ย.59!$Y$9</f>
        <v>98</v>
      </c>
      <c r="AR59" s="363">
        <f>+[4]ก.ค.59!$Y$9</f>
        <v>45</v>
      </c>
      <c r="AS59" s="363">
        <f>+[4]ส.ค.59!$Y$9</f>
        <v>72</v>
      </c>
      <c r="AT59" s="363">
        <f>+[4]ก.ย.59!$Y$9</f>
        <v>91</v>
      </c>
      <c r="AU59" s="353">
        <f t="shared" si="6"/>
        <v>1065</v>
      </c>
    </row>
    <row r="60" spans="1:47" s="360" customFormat="1" x14ac:dyDescent="0.2">
      <c r="A60" s="354">
        <v>1023</v>
      </c>
      <c r="B60" s="355" t="s">
        <v>62</v>
      </c>
      <c r="C60" s="445">
        <f>+[2]ต.ค.59!$Z$9</f>
        <v>7</v>
      </c>
      <c r="D60" s="445">
        <f>+[2]พ.ย.59!$Z$9</f>
        <v>24</v>
      </c>
      <c r="E60" s="445">
        <f>+[2]ธ.ค.59!$Z$9</f>
        <v>16</v>
      </c>
      <c r="F60" s="445">
        <f>+[2]ม.ค.60!$Z$9</f>
        <v>77</v>
      </c>
      <c r="G60" s="445">
        <f>+[2]ก.พ.60!$Z$9</f>
        <v>10</v>
      </c>
      <c r="H60" s="445">
        <f>+[2]มี.ค.60!$Z$9</f>
        <v>39</v>
      </c>
      <c r="I60" s="445">
        <f>+[2]เม.ย.60!$Z$9</f>
        <v>16</v>
      </c>
      <c r="J60" s="445">
        <f>+[2]พ.ค.60!$Z$9</f>
        <v>16</v>
      </c>
      <c r="K60" s="445">
        <f>+[2]มิ.ย.60!$Z$9</f>
        <v>17</v>
      </c>
      <c r="L60" s="445">
        <f>+[2]ก.ค.60!$Z$9</f>
        <v>7</v>
      </c>
      <c r="M60" s="445">
        <f>+[2]ส.ค.60!$Z$9</f>
        <v>9</v>
      </c>
      <c r="N60" s="445">
        <f>+[2]ก.ย.60!$Z$9</f>
        <v>6</v>
      </c>
      <c r="O60" s="444">
        <f t="shared" si="4"/>
        <v>244</v>
      </c>
      <c r="P60" s="356"/>
      <c r="Q60" s="357">
        <v>1023</v>
      </c>
      <c r="R60" s="358" t="s">
        <v>62</v>
      </c>
      <c r="S60" s="359">
        <f>+[3]ผู้ใช้น้ำเพิ่ม!AB54</f>
        <v>18.167061611374407</v>
      </c>
      <c r="T60" s="359">
        <f>+[3]ผู้ใช้น้ำเพิ่ม!AC54</f>
        <v>13.067535545023697</v>
      </c>
      <c r="U60" s="359">
        <f>+[3]ผู้ใช้น้ำเพิ่ม!AD54</f>
        <v>8.9241706161137451</v>
      </c>
      <c r="V60" s="359">
        <f>+[3]ผู้ใช้น้ำเพิ่ม!AE54</f>
        <v>16.57345971563981</v>
      </c>
      <c r="W60" s="359">
        <f>+[3]ผู้ใช้น้ำเพิ่ม!AF54</f>
        <v>15.298578199052134</v>
      </c>
      <c r="X60" s="359">
        <f>+[3]ผู้ใช้น้ำเพิ่ม!AG54</f>
        <v>20.716824644549764</v>
      </c>
      <c r="Y60" s="359">
        <f>+[3]ผู้ใช้น้ำเพิ่ม!AH54</f>
        <v>29.959715639810426</v>
      </c>
      <c r="Z60" s="359">
        <f>+[3]ผู้ใช้น้ำเพิ่ม!AI54</f>
        <v>45.258293838862564</v>
      </c>
      <c r="AA60" s="359">
        <f>+[3]ผู้ใช้น้ำเพิ่ม!AJ54</f>
        <v>22.629146919431282</v>
      </c>
      <c r="AB60" s="359">
        <f>+[3]ผู้ใช้น้ำเพิ่ม!AK54</f>
        <v>17.84834123222749</v>
      </c>
      <c r="AC60" s="359">
        <f>+[3]ผู้ใช้น้ำเพิ่ม!AL54</f>
        <v>45.895734597156398</v>
      </c>
      <c r="AD60" s="359">
        <f>+[3]ผู้ใช้น้ำเพิ่ม!AM54</f>
        <v>14.661137440758296</v>
      </c>
      <c r="AE60" s="351">
        <f t="shared" si="5"/>
        <v>269</v>
      </c>
      <c r="AF60" s="360">
        <f>+[3]ผู้ใช้น้ำเพิ่ม!AO54</f>
        <v>269</v>
      </c>
      <c r="AG60" s="361">
        <v>1023</v>
      </c>
      <c r="AH60" s="362" t="s">
        <v>62</v>
      </c>
      <c r="AI60" s="363">
        <f>+[4]ต.ค.58!$Z$9</f>
        <v>23</v>
      </c>
      <c r="AJ60" s="363">
        <f>+[4]พ.ย.58!$Z$9</f>
        <v>10</v>
      </c>
      <c r="AK60" s="363">
        <f>+[4]ธ.ค.58!$Z$9</f>
        <v>10</v>
      </c>
      <c r="AL60" s="363">
        <f>+[4]ม.ค.59!$Z$9</f>
        <v>19</v>
      </c>
      <c r="AM60" s="363">
        <f>+[4]ก.พ.59!$Z$9</f>
        <v>14</v>
      </c>
      <c r="AN60" s="363">
        <f>+[4]มี.ค.59!$Z$9</f>
        <v>31</v>
      </c>
      <c r="AO60" s="363">
        <f>+[4]เม.ย.59!$Z$9</f>
        <v>17</v>
      </c>
      <c r="AP60" s="363">
        <f>+[4]พ.ค.59!$Z$9</f>
        <v>45</v>
      </c>
      <c r="AQ60" s="363">
        <f>+[4]มิ.ย.59!$Z$9</f>
        <v>16</v>
      </c>
      <c r="AR60" s="363">
        <f>+[4]ก.ค.59!$Z$9</f>
        <v>10</v>
      </c>
      <c r="AS60" s="363">
        <f>+[4]ส.ค.59!$Z$9</f>
        <v>63</v>
      </c>
      <c r="AT60" s="363">
        <f>+[4]ก.ย.59!$Z$9</f>
        <v>33</v>
      </c>
      <c r="AU60" s="353">
        <f t="shared" si="6"/>
        <v>291</v>
      </c>
    </row>
    <row r="61" spans="1:47" s="360" customFormat="1" x14ac:dyDescent="0.2">
      <c r="A61" s="354">
        <v>1024</v>
      </c>
      <c r="B61" s="355" t="s">
        <v>63</v>
      </c>
      <c r="C61" s="445">
        <f>+[2]ต.ค.59!$AA$9</f>
        <v>77</v>
      </c>
      <c r="D61" s="445">
        <f>+[2]พ.ย.59!$AA$9</f>
        <v>166</v>
      </c>
      <c r="E61" s="445">
        <f>+[2]ธ.ค.59!$AA$9</f>
        <v>165</v>
      </c>
      <c r="F61" s="445">
        <f>+[2]ม.ค.60!$AA$9</f>
        <v>168</v>
      </c>
      <c r="G61" s="445">
        <f>+[2]ก.พ.60!$AA$9</f>
        <v>129</v>
      </c>
      <c r="H61" s="445">
        <f>+[2]มี.ค.60!$AA$9</f>
        <v>155</v>
      </c>
      <c r="I61" s="445">
        <f>+[2]เม.ย.60!$AA$9</f>
        <v>149</v>
      </c>
      <c r="J61" s="445">
        <f>+[2]พ.ค.60!$AA$9</f>
        <v>166</v>
      </c>
      <c r="K61" s="445">
        <f>+[2]มิ.ย.60!$AA$9</f>
        <v>132</v>
      </c>
      <c r="L61" s="445">
        <f>+[2]ก.ค.60!$AA$9</f>
        <v>103</v>
      </c>
      <c r="M61" s="445">
        <f>+[2]ส.ค.60!$AA$9</f>
        <v>112</v>
      </c>
      <c r="N61" s="445">
        <f>+[2]ก.ย.60!$AA$9</f>
        <v>100</v>
      </c>
      <c r="O61" s="444">
        <f t="shared" si="4"/>
        <v>1622</v>
      </c>
      <c r="P61" s="356"/>
      <c r="Q61" s="357">
        <v>1024</v>
      </c>
      <c r="R61" s="358" t="s">
        <v>63</v>
      </c>
      <c r="S61" s="359">
        <f>+[3]ผู้ใช้น้ำเพิ่ม!AB55</f>
        <v>156.68797797491584</v>
      </c>
      <c r="T61" s="359">
        <f>+[3]ผู้ใช้น้ำเพิ่ม!AC55</f>
        <v>113.17987152034262</v>
      </c>
      <c r="U61" s="359">
        <f>+[3]ผู้ใช้น้ำเพิ่ม!AD55</f>
        <v>159.3337412052615</v>
      </c>
      <c r="V61" s="359">
        <f>+[3]ผู้ใช้น้ำเพิ่ม!AE55</f>
        <v>119.0593453655552</v>
      </c>
      <c r="W61" s="359">
        <f>+[3]ผู้ใช้น้ำเพิ่ม!AF55</f>
        <v>164.33129397369225</v>
      </c>
      <c r="X61" s="359">
        <f>+[3]ผู้ใช้น้ำเพิ่ม!AG55</f>
        <v>144.34108289996939</v>
      </c>
      <c r="Y61" s="359">
        <f>+[3]ผู้ใช้น้ำเพิ่ม!AH55</f>
        <v>157.27592535943714</v>
      </c>
      <c r="Z61" s="359">
        <f>+[3]ผู้ใช้น้ำเพิ่ม!AI55</f>
        <v>138.16763536249616</v>
      </c>
      <c r="AA61" s="359">
        <f>+[3]ผู้ใช้น้ำเพิ่ม!AJ55</f>
        <v>234.29703273172223</v>
      </c>
      <c r="AB61" s="359">
        <f>+[3]ผู้ใช้น้ำเพิ่ม!AK55</f>
        <v>154.04221474457017</v>
      </c>
      <c r="AC61" s="359">
        <f>+[3]ผู้ใช้น้ำเพิ่ม!AL55</f>
        <v>161.68553074334659</v>
      </c>
      <c r="AD61" s="359">
        <f>+[3]ผู้ใช้น้ำเพิ่ม!AM55</f>
        <v>219.59834811869069</v>
      </c>
      <c r="AE61" s="351">
        <f t="shared" si="5"/>
        <v>1921.9999999999998</v>
      </c>
      <c r="AF61" s="360">
        <f>+[3]ผู้ใช้น้ำเพิ่ม!AO55</f>
        <v>1922</v>
      </c>
      <c r="AG61" s="361">
        <v>1024</v>
      </c>
      <c r="AH61" s="362" t="s">
        <v>63</v>
      </c>
      <c r="AI61" s="363">
        <f>+[4]ต.ค.58!$AA$9</f>
        <v>86</v>
      </c>
      <c r="AJ61" s="363">
        <f>+[4]พ.ย.58!$AA$9</f>
        <v>107</v>
      </c>
      <c r="AK61" s="363">
        <f>+[4]ธ.ค.58!$AA$9</f>
        <v>160</v>
      </c>
      <c r="AL61" s="363">
        <f>+[4]ม.ค.59!$AA$9</f>
        <v>68</v>
      </c>
      <c r="AM61" s="363">
        <f>+[4]ก.พ.59!$AA$9</f>
        <v>218</v>
      </c>
      <c r="AN61" s="363">
        <f>+[4]มี.ค.59!$AA$9</f>
        <v>118</v>
      </c>
      <c r="AO61" s="363">
        <f>+[4]เม.ย.59!$AA$9</f>
        <v>129</v>
      </c>
      <c r="AP61" s="363">
        <f>+[4]พ.ค.59!$AA$9</f>
        <v>227</v>
      </c>
      <c r="AQ61" s="363">
        <f>+[4]มิ.ย.59!$AA$9</f>
        <v>300</v>
      </c>
      <c r="AR61" s="363">
        <f>+[4]ก.ค.59!$AA$9</f>
        <v>215</v>
      </c>
      <c r="AS61" s="363">
        <f>+[4]ส.ค.59!$AA$9</f>
        <v>244</v>
      </c>
      <c r="AT61" s="363">
        <f>+[4]ก.ย.59!$AA$9</f>
        <v>285</v>
      </c>
      <c r="AU61" s="353">
        <f t="shared" si="6"/>
        <v>2157</v>
      </c>
    </row>
    <row r="62" spans="1:47" s="360" customFormat="1" x14ac:dyDescent="0.2">
      <c r="A62" s="354">
        <v>1025</v>
      </c>
      <c r="B62" s="355" t="s">
        <v>64</v>
      </c>
      <c r="C62" s="445">
        <f>+[2]ต.ค.59!$AB$9</f>
        <v>89</v>
      </c>
      <c r="D62" s="445">
        <f>+[2]พ.ย.59!$AB$9</f>
        <v>30</v>
      </c>
      <c r="E62" s="445">
        <f>+[2]ธ.ค.59!$AB$9</f>
        <v>63</v>
      </c>
      <c r="F62" s="445">
        <f>+[2]ม.ค.60!$AB$9</f>
        <v>16</v>
      </c>
      <c r="G62" s="445">
        <f>+[2]ก.พ.60!$AB$9</f>
        <v>39</v>
      </c>
      <c r="H62" s="445">
        <f>+[2]มี.ค.60!$AB$9</f>
        <v>24</v>
      </c>
      <c r="I62" s="445">
        <f>+[2]เม.ย.60!$AB$9</f>
        <v>42</v>
      </c>
      <c r="J62" s="445">
        <f>+[2]พ.ค.60!$AB$9</f>
        <v>51</v>
      </c>
      <c r="K62" s="445">
        <f>+[2]มิ.ย.60!$AB$9</f>
        <v>80</v>
      </c>
      <c r="L62" s="445">
        <f>+[2]ก.ค.60!$AB$9</f>
        <v>33</v>
      </c>
      <c r="M62" s="445">
        <f>+[2]ส.ค.60!$AB$9</f>
        <v>59</v>
      </c>
      <c r="N62" s="445">
        <f>+[2]ก.ย.60!$AB$9</f>
        <v>26</v>
      </c>
      <c r="O62" s="444">
        <f t="shared" si="4"/>
        <v>552</v>
      </c>
      <c r="P62" s="356"/>
      <c r="Q62" s="357">
        <v>1025</v>
      </c>
      <c r="R62" s="358" t="s">
        <v>64</v>
      </c>
      <c r="S62" s="359">
        <f>+[3]ผู้ใช้น้ำเพิ่ม!AB56</f>
        <v>61.762087490406749</v>
      </c>
      <c r="T62" s="359">
        <f>+[3]ผู้ใช้น้ำเพิ่ม!AC56</f>
        <v>68.735226400613968</v>
      </c>
      <c r="U62" s="359">
        <f>+[3]ผู้ใช้น้ำเพิ่ม!AD56</f>
        <v>73.716039907904829</v>
      </c>
      <c r="V62" s="359">
        <f>+[3]ผู้ใช้น้ำเพิ่ม!AE56</f>
        <v>74.712202609363004</v>
      </c>
      <c r="W62" s="359">
        <f>+[3]ผู้ใช้น้ำเพิ่ม!AF56</f>
        <v>143.44742900997699</v>
      </c>
      <c r="X62" s="359">
        <f>+[3]ผู้ใช้น้ำเพิ่ม!AG56</f>
        <v>161.37835763622408</v>
      </c>
      <c r="Y62" s="359">
        <f>+[3]ผู้ใช้น้ำเพิ่ม!AH56</f>
        <v>135.47812739831159</v>
      </c>
      <c r="Z62" s="359">
        <f>+[3]ผู้ใช้น้ำเพิ่ม!AI56</f>
        <v>143.44742900997699</v>
      </c>
      <c r="AA62" s="359">
        <f>+[3]ผู้ใช้น้ำเพิ่ม!AJ56</f>
        <v>113.56254796623178</v>
      </c>
      <c r="AB62" s="359">
        <f>+[3]ผู้ใช้น้ำเพิ่ม!AK56</f>
        <v>106.58940905602454</v>
      </c>
      <c r="AC62" s="359">
        <f>+[3]ผู้ใช้น้ำเพิ่ม!AL56</f>
        <v>111.57022256331543</v>
      </c>
      <c r="AD62" s="359">
        <f>+[3]ผู้ใช้น้ำเพิ่ม!AM56</f>
        <v>103.60092095165002</v>
      </c>
      <c r="AE62" s="351">
        <f t="shared" si="5"/>
        <v>1298</v>
      </c>
      <c r="AF62" s="360">
        <f>+[3]ผู้ใช้น้ำเพิ่ม!AO56</f>
        <v>1298</v>
      </c>
      <c r="AG62" s="361">
        <v>1025</v>
      </c>
      <c r="AH62" s="362" t="s">
        <v>64</v>
      </c>
      <c r="AI62" s="363">
        <f>+[4]ต.ค.58!$AB$9</f>
        <v>26</v>
      </c>
      <c r="AJ62" s="363">
        <f>+[4]พ.ย.58!$AB$9</f>
        <v>40</v>
      </c>
      <c r="AK62" s="363">
        <f>+[4]ธ.ค.58!$AB$9</f>
        <v>17</v>
      </c>
      <c r="AL62" s="363">
        <f>+[4]ม.ค.59!$AB$9</f>
        <v>30</v>
      </c>
      <c r="AM62" s="363">
        <f>+[4]ก.พ.59!$AB$9</f>
        <v>97</v>
      </c>
      <c r="AN62" s="363">
        <f>+[4]มี.ค.59!$AB$9</f>
        <v>110</v>
      </c>
      <c r="AO62" s="363">
        <f>+[4]เม.ย.59!$AB$9</f>
        <v>46</v>
      </c>
      <c r="AP62" s="363">
        <f>+[4]พ.ค.59!$AB$9</f>
        <v>40</v>
      </c>
      <c r="AQ62" s="363">
        <f>+[4]มิ.ย.59!$AB$9</f>
        <v>66</v>
      </c>
      <c r="AR62" s="363">
        <f>+[4]ก.ค.59!$AB$9</f>
        <v>57</v>
      </c>
      <c r="AS62" s="363">
        <f>+[4]ส.ค.59!$AB$9</f>
        <v>30</v>
      </c>
      <c r="AT62" s="363">
        <f>+[4]ก.ย.59!$AB$9</f>
        <v>50</v>
      </c>
      <c r="AU62" s="353">
        <f t="shared" si="6"/>
        <v>609</v>
      </c>
    </row>
    <row r="63" spans="1:47" s="360" customFormat="1" x14ac:dyDescent="0.2">
      <c r="A63" s="354">
        <v>1026</v>
      </c>
      <c r="B63" s="355" t="s">
        <v>65</v>
      </c>
      <c r="C63" s="445">
        <f>+[2]ต.ค.59!$AC$9</f>
        <v>5</v>
      </c>
      <c r="D63" s="445">
        <f>+[2]พ.ย.59!$AC$9</f>
        <v>10</v>
      </c>
      <c r="E63" s="445">
        <f>+[2]ธ.ค.59!$AC$9</f>
        <v>7</v>
      </c>
      <c r="F63" s="445">
        <f>+[2]ม.ค.60!$AC$9</f>
        <v>7</v>
      </c>
      <c r="G63" s="445">
        <f>+[2]ก.พ.60!$AC$9</f>
        <v>5</v>
      </c>
      <c r="H63" s="445">
        <f>+[2]มี.ค.60!$AC$9</f>
        <v>10</v>
      </c>
      <c r="I63" s="445">
        <f>+[2]เม.ย.60!$AC$9</f>
        <v>3</v>
      </c>
      <c r="J63" s="445">
        <f>+[2]พ.ค.60!$AC$9</f>
        <v>2</v>
      </c>
      <c r="K63" s="445">
        <f>+[2]มิ.ย.60!$AC$9</f>
        <v>9</v>
      </c>
      <c r="L63" s="445">
        <f>+[2]ก.ค.60!$AC$9</f>
        <v>7</v>
      </c>
      <c r="M63" s="445">
        <f>+[2]ส.ค.60!$AC$9</f>
        <v>2</v>
      </c>
      <c r="N63" s="445">
        <f>+[2]ก.ย.60!$AC$9</f>
        <v>3</v>
      </c>
      <c r="O63" s="444">
        <f t="shared" si="4"/>
        <v>70</v>
      </c>
      <c r="P63" s="356"/>
      <c r="Q63" s="357">
        <v>1026</v>
      </c>
      <c r="R63" s="358" t="s">
        <v>65</v>
      </c>
      <c r="S63" s="359">
        <f>+[3]ผู้ใช้น้ำเพิ่ม!AB57</f>
        <v>6.1363636363636367</v>
      </c>
      <c r="T63" s="359">
        <f>+[3]ผู้ใช้น้ำเพิ่ม!AC57</f>
        <v>9.8181818181818183</v>
      </c>
      <c r="U63" s="359">
        <f>+[3]ผู้ใช้น้ำเพิ่ม!AD57</f>
        <v>3.6818181818181821</v>
      </c>
      <c r="V63" s="359">
        <f>+[3]ผู้ใช้น้ำเพิ่ม!AE57</f>
        <v>5.2159090909090917</v>
      </c>
      <c r="W63" s="359">
        <f>+[3]ผู้ใช้น้ำเพิ่ม!AF57</f>
        <v>7.9772727272727275</v>
      </c>
      <c r="X63" s="359">
        <f>+[3]ผู้ใช้น้ำเพิ่ม!AG57</f>
        <v>10.431818181818183</v>
      </c>
      <c r="Y63" s="359">
        <f>+[3]ผู้ใช้น้ำเพิ่ม!AH57</f>
        <v>10.738636363636363</v>
      </c>
      <c r="Z63" s="359">
        <f>+[3]ผู้ใช้น้ำเพิ่ม!AI57</f>
        <v>9.8181818181818183</v>
      </c>
      <c r="AA63" s="359">
        <f>+[3]ผู้ใช้น้ำเพิ่ม!AJ57</f>
        <v>21.170454545454547</v>
      </c>
      <c r="AB63" s="359">
        <f>+[3]ผู้ใช้น้ำเพิ่ม!AK57</f>
        <v>4.9090909090909092</v>
      </c>
      <c r="AC63" s="359">
        <f>+[3]ผู้ใช้น้ำเพิ่ม!AL57</f>
        <v>3.375</v>
      </c>
      <c r="AD63" s="359">
        <f>+[3]ผู้ใช้น้ำเพิ่ม!AM57</f>
        <v>14.727272727272728</v>
      </c>
      <c r="AE63" s="351">
        <f t="shared" si="5"/>
        <v>108.00000000000001</v>
      </c>
      <c r="AF63" s="360">
        <f>+[3]ผู้ใช้น้ำเพิ่ม!AO57</f>
        <v>108</v>
      </c>
      <c r="AG63" s="361">
        <v>1026</v>
      </c>
      <c r="AH63" s="362" t="s">
        <v>65</v>
      </c>
      <c r="AI63" s="363">
        <f>+[4]ต.ค.58!$AC$9</f>
        <v>8</v>
      </c>
      <c r="AJ63" s="363">
        <f>+[4]พ.ย.58!$AC$9</f>
        <v>14</v>
      </c>
      <c r="AK63" s="363">
        <f>+[4]ธ.ค.58!$AC$9</f>
        <v>5</v>
      </c>
      <c r="AL63" s="363">
        <f>+[4]ม.ค.59!$AC$9</f>
        <v>4</v>
      </c>
      <c r="AM63" s="363">
        <f>+[4]ก.พ.59!$AC$9</f>
        <v>14</v>
      </c>
      <c r="AN63" s="363">
        <f>+[4]มี.ค.59!$AC$9</f>
        <v>15</v>
      </c>
      <c r="AO63" s="363">
        <f>+[4]เม.ย.59!$AC$9</f>
        <v>16</v>
      </c>
      <c r="AP63" s="363">
        <f>+[4]พ.ค.59!$AC$9</f>
        <v>13</v>
      </c>
      <c r="AQ63" s="363">
        <f>+[4]มิ.ย.59!$AC$9</f>
        <v>25</v>
      </c>
      <c r="AR63" s="363">
        <f>+[4]ก.ค.59!$AC$9</f>
        <v>5</v>
      </c>
      <c r="AS63" s="363">
        <f>+[4]ส.ค.59!$AC$9</f>
        <v>6</v>
      </c>
      <c r="AT63" s="363">
        <f>+[4]ก.ย.59!$AC$9</f>
        <v>40</v>
      </c>
      <c r="AU63" s="353">
        <f t="shared" si="6"/>
        <v>165</v>
      </c>
    </row>
    <row r="64" spans="1:47" s="360" customFormat="1" x14ac:dyDescent="0.2">
      <c r="A64" s="354">
        <v>1027</v>
      </c>
      <c r="B64" s="355" t="s">
        <v>66</v>
      </c>
      <c r="C64" s="445">
        <f>+[2]ต.ค.59!$AD$9</f>
        <v>32</v>
      </c>
      <c r="D64" s="445">
        <f>+[2]พ.ย.59!$AD$9</f>
        <v>9</v>
      </c>
      <c r="E64" s="445">
        <f>+[2]ธ.ค.59!$AD$9</f>
        <v>15</v>
      </c>
      <c r="F64" s="445">
        <f>+[2]ม.ค.60!$AD$9</f>
        <v>10</v>
      </c>
      <c r="G64" s="445">
        <f>+[2]ก.พ.60!$AD$9</f>
        <v>7</v>
      </c>
      <c r="H64" s="445">
        <f>+[2]มี.ค.60!$AD$9</f>
        <v>10</v>
      </c>
      <c r="I64" s="445">
        <f>+[2]เม.ย.60!$AD$9</f>
        <v>13</v>
      </c>
      <c r="J64" s="445">
        <f>+[2]พ.ค.60!$AD$9</f>
        <v>17</v>
      </c>
      <c r="K64" s="445">
        <f>+[2]มิ.ย.60!$AD$9</f>
        <v>21</v>
      </c>
      <c r="L64" s="445">
        <f>+[2]ก.ค.60!$AD$9</f>
        <v>20</v>
      </c>
      <c r="M64" s="445">
        <f>+[2]ส.ค.60!$AD$9</f>
        <v>14</v>
      </c>
      <c r="N64" s="445">
        <f>+[2]ก.ย.60!$AD$9</f>
        <v>8</v>
      </c>
      <c r="O64" s="444">
        <f t="shared" si="4"/>
        <v>176</v>
      </c>
      <c r="P64" s="356"/>
      <c r="Q64" s="357">
        <v>1027</v>
      </c>
      <c r="R64" s="358" t="s">
        <v>66</v>
      </c>
      <c r="S64" s="359">
        <f>+[3]ผู้ใช้น้ำเพิ่ม!AB58</f>
        <v>17.055492638731597</v>
      </c>
      <c r="T64" s="359">
        <f>+[3]ผู้ใช้น้ำเพิ่ม!AC58</f>
        <v>14.497168742921856</v>
      </c>
      <c r="U64" s="359">
        <f>+[3]ผู้ใช้น้ำเพิ่ม!AD58</f>
        <v>16.202718006795013</v>
      </c>
      <c r="V64" s="359">
        <f>+[3]ผู้ใช้น้ำเพิ่ม!AE58</f>
        <v>14.21291053227633</v>
      </c>
      <c r="W64" s="359">
        <f>+[3]ผู้ใช้น้ำเพิ่ม!AF58</f>
        <v>15.06568516421291</v>
      </c>
      <c r="X64" s="359">
        <f>+[3]ผู้ใช้น้ำเพิ่ม!AG58</f>
        <v>18.761041902604752</v>
      </c>
      <c r="Y64" s="359">
        <f>+[3]ผู้ใช้น้ำเพิ่ม!AH58</f>
        <v>33.542468856172142</v>
      </c>
      <c r="Z64" s="359">
        <f>+[3]ผู้ใช้น้ำเพิ่ม!AI58</f>
        <v>33.826727066817661</v>
      </c>
      <c r="AA64" s="359">
        <f>+[3]ผู้ใช้น้ำเพิ่ม!AJ58</f>
        <v>20.750849377123437</v>
      </c>
      <c r="AB64" s="359">
        <f>+[3]ผู้ใช้น้ำเพิ่ม!AK58</f>
        <v>27.004530011325027</v>
      </c>
      <c r="AC64" s="359">
        <f>+[3]ผู้ใช้น้ำเพิ่ม!AL58</f>
        <v>19.045300113250278</v>
      </c>
      <c r="AD64" s="359">
        <f>+[3]ผู้ใช้น้ำเพิ่ม!AM58</f>
        <v>21.035107587768969</v>
      </c>
      <c r="AE64" s="351">
        <f t="shared" si="5"/>
        <v>250.99999999999997</v>
      </c>
      <c r="AF64" s="360">
        <f>+[3]ผู้ใช้น้ำเพิ่ม!AO58</f>
        <v>251</v>
      </c>
      <c r="AG64" s="361">
        <v>1027</v>
      </c>
      <c r="AH64" s="362" t="s">
        <v>66</v>
      </c>
      <c r="AI64" s="363">
        <f>+[4]ต.ค.58!$AD$9</f>
        <v>8</v>
      </c>
      <c r="AJ64" s="363">
        <f>+[4]พ.ย.58!$AD$9</f>
        <v>7</v>
      </c>
      <c r="AK64" s="363">
        <f>+[4]ธ.ค.58!$AD$9</f>
        <v>22</v>
      </c>
      <c r="AL64" s="363">
        <f>+[4]ม.ค.59!$AD$9</f>
        <v>11</v>
      </c>
      <c r="AM64" s="363">
        <f>+[4]ก.พ.59!$AD$9</f>
        <v>9</v>
      </c>
      <c r="AN64" s="363">
        <f>+[4]มี.ค.59!$AD$9</f>
        <v>13</v>
      </c>
      <c r="AO64" s="363">
        <f>+[4]เม.ย.59!$AD$9</f>
        <v>75</v>
      </c>
      <c r="AP64" s="363">
        <f>+[4]พ.ค.59!$AD$9</f>
        <v>45</v>
      </c>
      <c r="AQ64" s="363">
        <f>+[4]มิ.ย.59!$AD$9</f>
        <v>9</v>
      </c>
      <c r="AR64" s="363">
        <f>+[4]ก.ค.59!$AD$9</f>
        <v>21</v>
      </c>
      <c r="AS64" s="363">
        <f>+[4]ส.ค.59!$AD$9</f>
        <v>38</v>
      </c>
      <c r="AT64" s="363">
        <f>+[4]ก.ย.59!$AD$9</f>
        <v>58</v>
      </c>
      <c r="AU64" s="353">
        <f t="shared" si="6"/>
        <v>316</v>
      </c>
    </row>
    <row r="65" spans="1:47" s="360" customFormat="1" x14ac:dyDescent="0.2">
      <c r="A65" s="354">
        <v>1028</v>
      </c>
      <c r="B65" s="355" t="s">
        <v>67</v>
      </c>
      <c r="C65" s="445">
        <f>+[2]ต.ค.59!$AE$9</f>
        <v>66</v>
      </c>
      <c r="D65" s="445">
        <f>+[2]พ.ย.59!$AE$9</f>
        <v>66</v>
      </c>
      <c r="E65" s="445">
        <f>+[2]ธ.ค.59!$AE$9</f>
        <v>120</v>
      </c>
      <c r="F65" s="445">
        <f>+[2]ม.ค.60!$AE$9</f>
        <v>62</v>
      </c>
      <c r="G65" s="445">
        <f>+[2]ก.พ.60!$AE$9</f>
        <v>56</v>
      </c>
      <c r="H65" s="445">
        <f>+[2]มี.ค.60!$AE$9</f>
        <v>86</v>
      </c>
      <c r="I65" s="445">
        <f>+[2]เม.ย.60!$AE$9</f>
        <v>60</v>
      </c>
      <c r="J65" s="445">
        <f>+[2]พ.ค.60!$AE$9</f>
        <v>58</v>
      </c>
      <c r="K65" s="445">
        <f>+[2]มิ.ย.60!$AE$9</f>
        <v>55</v>
      </c>
      <c r="L65" s="445">
        <f>+[2]ก.ค.60!$AE$9</f>
        <v>53</v>
      </c>
      <c r="M65" s="445">
        <f>+[2]ส.ค.60!$AE$9</f>
        <v>58</v>
      </c>
      <c r="N65" s="445">
        <f>+[2]ก.ย.60!$AE$9</f>
        <v>43</v>
      </c>
      <c r="O65" s="444">
        <f t="shared" si="4"/>
        <v>783</v>
      </c>
      <c r="P65" s="356"/>
      <c r="Q65" s="357">
        <v>1028</v>
      </c>
      <c r="R65" s="358" t="s">
        <v>67</v>
      </c>
      <c r="S65" s="359">
        <f>+[3]ผู้ใช้น้ำเพิ่ม!AB59</f>
        <v>80.32948666931955</v>
      </c>
      <c r="T65" s="359">
        <f>+[3]ผู้ใช้น้ำเพิ่ม!AC59</f>
        <v>76.276163947473137</v>
      </c>
      <c r="U65" s="359">
        <f>+[3]ผู้ใช้น้ำเพิ่ม!AD59</f>
        <v>81.803422204536417</v>
      </c>
      <c r="V65" s="359">
        <f>+[3]ผู้ใช้น้ำเพิ่ม!AE59</f>
        <v>70.380421806605654</v>
      </c>
      <c r="W65" s="359">
        <f>+[3]ผู้ใช้น้ำเพิ่ม!AF59</f>
        <v>56.746518105849589</v>
      </c>
      <c r="X65" s="359">
        <f>+[3]ผู้ใช้น้ำเพิ่ม!AG59</f>
        <v>37.585356148030243</v>
      </c>
      <c r="Y65" s="359">
        <f>+[3]ผู้ใช้น้ำเพิ่ม!AH59</f>
        <v>69.274970155193003</v>
      </c>
      <c r="Z65" s="359">
        <f>+[3]ผู้ใช้น้ำเพิ่ม!AI59</f>
        <v>51.956227616394749</v>
      </c>
      <c r="AA65" s="359">
        <f>+[3]ผู้ใช้น้ำเพิ่ม!AJ59</f>
        <v>74.802228412256284</v>
      </c>
      <c r="AB65" s="359">
        <f>+[3]ผู้ใช้น้ำเพิ่ม!AK59</f>
        <v>132.65419816951851</v>
      </c>
      <c r="AC65" s="359">
        <f>+[3]ผู้ใช้น้ำเพิ่ม!AL59</f>
        <v>98.385196975726231</v>
      </c>
      <c r="AD65" s="359">
        <f>+[3]ผู้ใช้น้ำเพิ่ม!AM59</f>
        <v>95.805809789096713</v>
      </c>
      <c r="AE65" s="351">
        <f t="shared" si="5"/>
        <v>926</v>
      </c>
      <c r="AF65" s="360">
        <f>+[3]ผู้ใช้น้ำเพิ่ม!AO59</f>
        <v>926</v>
      </c>
      <c r="AG65" s="361">
        <v>1028</v>
      </c>
      <c r="AH65" s="362" t="s">
        <v>67</v>
      </c>
      <c r="AI65" s="363">
        <f>+[4]ต.ค.58!$AE$9</f>
        <v>97</v>
      </c>
      <c r="AJ65" s="363">
        <f>+[4]พ.ย.58!$AE$9</f>
        <v>56</v>
      </c>
      <c r="AK65" s="363">
        <f>+[4]ธ.ค.58!$AE$9</f>
        <v>96</v>
      </c>
      <c r="AL65" s="363">
        <f>+[4]ม.ค.59!$AE$9</f>
        <v>56</v>
      </c>
      <c r="AM65" s="363">
        <f>+[4]ก.พ.59!$AE$9</f>
        <v>50</v>
      </c>
      <c r="AN65" s="363">
        <f>+[4]มี.ค.59!$AE$9</f>
        <v>52</v>
      </c>
      <c r="AO65" s="363">
        <f>+[4]เม.ย.59!$AE$9</f>
        <v>76</v>
      </c>
      <c r="AP65" s="363">
        <f>+[4]พ.ค.59!$AE$9</f>
        <v>41</v>
      </c>
      <c r="AQ65" s="363">
        <f>+[4]มิ.ย.59!$AE$9</f>
        <v>0</v>
      </c>
      <c r="AR65" s="363">
        <f>+[4]ก.ค.59!$AE$9</f>
        <v>100</v>
      </c>
      <c r="AS65" s="363">
        <f>+[4]ส.ค.59!$AE$9</f>
        <v>99</v>
      </c>
      <c r="AT65" s="363">
        <f>+[4]ก.ย.59!$AE$9</f>
        <v>129</v>
      </c>
      <c r="AU65" s="353">
        <f t="shared" si="6"/>
        <v>852</v>
      </c>
    </row>
    <row r="66" spans="1:47" s="360" customFormat="1" x14ac:dyDescent="0.2">
      <c r="A66" s="354">
        <v>1029</v>
      </c>
      <c r="B66" s="355" t="s">
        <v>68</v>
      </c>
      <c r="C66" s="445">
        <f>+[2]ต.ค.59!$AF$9</f>
        <v>22</v>
      </c>
      <c r="D66" s="445">
        <f>+[2]พ.ย.59!$AF$9</f>
        <v>17</v>
      </c>
      <c r="E66" s="445">
        <f>+[2]ธ.ค.59!$AF$9</f>
        <v>11</v>
      </c>
      <c r="F66" s="445">
        <f>+[2]ม.ค.60!$AF$9</f>
        <v>5</v>
      </c>
      <c r="G66" s="445">
        <f>+[2]ก.พ.60!$AF$9</f>
        <v>18</v>
      </c>
      <c r="H66" s="445">
        <f>+[2]มี.ค.60!$AF$9</f>
        <v>15</v>
      </c>
      <c r="I66" s="445">
        <f>+[2]เม.ย.60!$AF$9</f>
        <v>13</v>
      </c>
      <c r="J66" s="445">
        <f>+[2]พ.ค.60!$AF$9</f>
        <v>5</v>
      </c>
      <c r="K66" s="445">
        <f>+[2]มิ.ย.60!$AF$9</f>
        <v>51</v>
      </c>
      <c r="L66" s="445">
        <f>+[2]ก.ค.60!$AF$9</f>
        <v>24</v>
      </c>
      <c r="M66" s="445">
        <f>+[2]ส.ค.60!$AF$9</f>
        <v>4</v>
      </c>
      <c r="N66" s="445">
        <f>+[2]ก.ย.60!$AF$9</f>
        <v>4</v>
      </c>
      <c r="O66" s="444">
        <f t="shared" si="4"/>
        <v>189</v>
      </c>
      <c r="P66" s="356"/>
      <c r="Q66" s="357">
        <v>1029</v>
      </c>
      <c r="R66" s="358" t="s">
        <v>68</v>
      </c>
      <c r="S66" s="359">
        <f>+[3]ผู้ใช้น้ำเพิ่ม!AB60</f>
        <v>4.4287369640787952</v>
      </c>
      <c r="T66" s="359">
        <f>+[3]ผู้ใช้น้ำเพิ่ม!AC60</f>
        <v>13.286210892236385</v>
      </c>
      <c r="U66" s="359">
        <f>+[3]ผู้ใช้น้ำเพิ่ม!AD60</f>
        <v>9.9119351100811119</v>
      </c>
      <c r="V66" s="359">
        <f>+[3]ผู้ใช้น้ำเพิ่ม!AE60</f>
        <v>18.558516801853997</v>
      </c>
      <c r="W66" s="359">
        <f>+[3]ผู้ใช้น้ำเพิ่ม!AF60</f>
        <v>28.681344148319813</v>
      </c>
      <c r="X66" s="359">
        <f>+[3]ผู้ใช้น้ำเพิ่ม!AG60</f>
        <v>21.51100811123986</v>
      </c>
      <c r="Y66" s="359">
        <f>+[3]ผู้ใช้น้ำเพิ่ม!AH60</f>
        <v>16.238702201622246</v>
      </c>
      <c r="Z66" s="359">
        <f>+[3]ผู้ใช้น้ำเพิ่ม!AI60</f>
        <v>24.252607184241018</v>
      </c>
      <c r="AA66" s="359">
        <f>+[3]ผู้ใช้น้ำเพิ่ม!AJ60</f>
        <v>14.762456546929315</v>
      </c>
      <c r="AB66" s="359">
        <f>+[3]ผู้ใช้น้ำเพิ่ม!AK60</f>
        <v>8.6465816917728837</v>
      </c>
      <c r="AC66" s="359">
        <f>+[3]ผู้ใช้น้ำเพิ่ม!AL60</f>
        <v>4.8505214368482044</v>
      </c>
      <c r="AD66" s="359">
        <f>+[3]ผู้ใช้น้ำเพิ่ม!AM60</f>
        <v>16.871378910776361</v>
      </c>
      <c r="AE66" s="351">
        <f t="shared" si="5"/>
        <v>182</v>
      </c>
      <c r="AF66" s="360">
        <f>+[3]ผู้ใช้น้ำเพิ่ม!AO60</f>
        <v>182</v>
      </c>
      <c r="AG66" s="361">
        <v>1029</v>
      </c>
      <c r="AH66" s="362" t="s">
        <v>68</v>
      </c>
      <c r="AI66" s="363">
        <f>+[4]ต.ค.58!$AF$9</f>
        <v>7</v>
      </c>
      <c r="AJ66" s="363">
        <f>+[4]พ.ย.58!$AF$9</f>
        <v>25</v>
      </c>
      <c r="AK66" s="363">
        <f>+[4]ธ.ค.58!$AF$9</f>
        <v>17</v>
      </c>
      <c r="AL66" s="363">
        <f>+[4]ม.ค.59!$AF$9</f>
        <v>49</v>
      </c>
      <c r="AM66" s="363">
        <f>+[4]ก.พ.59!$AF$9</f>
        <v>78</v>
      </c>
      <c r="AN66" s="363">
        <f>+[4]มี.ค.59!$AF$9</f>
        <v>57</v>
      </c>
      <c r="AO66" s="363">
        <f>+[4]เม.ย.59!$AF$9</f>
        <v>50</v>
      </c>
      <c r="AP66" s="363">
        <f>+[4]พ.ค.59!$AF$9</f>
        <v>59</v>
      </c>
      <c r="AQ66" s="363">
        <f>+[4]มิ.ย.59!$AF$9</f>
        <v>40</v>
      </c>
      <c r="AR66" s="363">
        <f>+[4]ก.ค.59!$AF$9</f>
        <v>21</v>
      </c>
      <c r="AS66" s="363">
        <f>+[4]ส.ค.59!$AF$9</f>
        <v>0</v>
      </c>
      <c r="AT66" s="363">
        <f>+[4]ก.ย.59!$AF$9</f>
        <v>59</v>
      </c>
      <c r="AU66" s="353">
        <f t="shared" si="6"/>
        <v>462</v>
      </c>
    </row>
    <row r="67" spans="1:47" s="360" customFormat="1" ht="15" thickBot="1" x14ac:dyDescent="0.25">
      <c r="A67" s="364">
        <v>1030</v>
      </c>
      <c r="B67" s="365" t="s">
        <v>69</v>
      </c>
      <c r="C67" s="366">
        <f>+[2]ต.ค.59!$AG$9</f>
        <v>27</v>
      </c>
      <c r="D67" s="366">
        <f>+[2]พ.ย.59!$AG$9</f>
        <v>21</v>
      </c>
      <c r="E67" s="366">
        <f>+[2]ธ.ค.59!$AG$9</f>
        <v>10</v>
      </c>
      <c r="F67" s="366">
        <f>+[2]ม.ค.60!$AG$9</f>
        <v>7</v>
      </c>
      <c r="G67" s="366">
        <f>+[2]ก.พ.60!$AG$9</f>
        <v>6</v>
      </c>
      <c r="H67" s="366">
        <f>+[2]มี.ค.60!$AG$9</f>
        <v>38</v>
      </c>
      <c r="I67" s="366">
        <f>+[2]เม.ย.60!$AG$9</f>
        <v>14</v>
      </c>
      <c r="J67" s="366">
        <f>+[2]พ.ค.60!$AG$9</f>
        <v>15</v>
      </c>
      <c r="K67" s="366">
        <f>+[2]มิ.ย.60!$AG$9</f>
        <v>4</v>
      </c>
      <c r="L67" s="366">
        <f>+[2]ก.ค.60!$AG$9</f>
        <v>12</v>
      </c>
      <c r="M67" s="366">
        <f>+[2]ส.ค.60!$AG$9</f>
        <v>13</v>
      </c>
      <c r="N67" s="366">
        <f>+[2]ก.ย.60!$AG$9</f>
        <v>11</v>
      </c>
      <c r="O67" s="373">
        <f t="shared" si="4"/>
        <v>178</v>
      </c>
      <c r="P67" s="356"/>
      <c r="Q67" s="367">
        <v>1030</v>
      </c>
      <c r="R67" s="368" t="s">
        <v>69</v>
      </c>
      <c r="S67" s="369">
        <f>+[3]ผู้ใช้น้ำเพิ่ม!AB61</f>
        <v>20.237154150197625</v>
      </c>
      <c r="T67" s="369">
        <f>+[3]ผู้ใช้น้ำเพิ่ม!AC61</f>
        <v>28.458498023715411</v>
      </c>
      <c r="U67" s="369">
        <f>+[3]ผู้ใช้น้ำเพิ่ม!AD61</f>
        <v>13.280632411067192</v>
      </c>
      <c r="V67" s="369">
        <f>+[3]ผู้ใช้น้ำเพิ่ม!AE61</f>
        <v>25.928853754940707</v>
      </c>
      <c r="W67" s="369">
        <f>+[3]ผู้ใช้น้ำเพิ่ม!AF61</f>
        <v>20.237154150197625</v>
      </c>
      <c r="X67" s="369">
        <f>+[3]ผู้ใช้น้ำเพิ่ม!AG61</f>
        <v>30.355731225296442</v>
      </c>
      <c r="Y67" s="369">
        <f>+[3]ผู้ใช้น้ำเพิ่ม!AH61</f>
        <v>30.988142292490114</v>
      </c>
      <c r="Z67" s="369">
        <f>+[3]ผู้ใช้น้ำเพิ่ม!AI61</f>
        <v>35.415019762845851</v>
      </c>
      <c r="AA67" s="369">
        <f>+[3]ผู้ใช้น้ำเพิ่ม!AJ61</f>
        <v>45.533596837944657</v>
      </c>
      <c r="AB67" s="369">
        <f>+[3]ผู้ใช้น้ำเพิ่ม!AK61</f>
        <v>17.07509881422925</v>
      </c>
      <c r="AC67" s="369">
        <f>+[3]ผู้ใช้น้ำเพิ่ม!AL61</f>
        <v>17.707509881422926</v>
      </c>
      <c r="AD67" s="369">
        <f>+[3]ผู้ใช้น้ำเพิ่ม!AM61</f>
        <v>34.782608695652172</v>
      </c>
      <c r="AE67" s="374">
        <f t="shared" si="5"/>
        <v>320</v>
      </c>
      <c r="AF67" s="360">
        <f>+[3]ผู้ใช้น้ำเพิ่ม!AO61</f>
        <v>320</v>
      </c>
      <c r="AG67" s="370">
        <v>1030</v>
      </c>
      <c r="AH67" s="371" t="s">
        <v>69</v>
      </c>
      <c r="AI67" s="372">
        <f>+[4]ต.ค.58!$AG$9</f>
        <v>4</v>
      </c>
      <c r="AJ67" s="372">
        <f>+[4]พ.ย.58!$AG$9</f>
        <v>11</v>
      </c>
      <c r="AK67" s="372">
        <f>+[4]ธ.ค.58!$AG$9</f>
        <v>9</v>
      </c>
      <c r="AL67" s="372">
        <f>+[4]ม.ค.59!$AG$9</f>
        <v>18</v>
      </c>
      <c r="AM67" s="372">
        <f>+[4]ก.พ.59!$AG$9</f>
        <v>13</v>
      </c>
      <c r="AN67" s="372">
        <f>+[4]มี.ค.59!$AG$9</f>
        <v>22</v>
      </c>
      <c r="AO67" s="372">
        <f>+[4]เม.ย.59!$AG$9</f>
        <v>21</v>
      </c>
      <c r="AP67" s="372">
        <f>+[4]พ.ค.59!$AG$9</f>
        <v>29</v>
      </c>
      <c r="AQ67" s="372">
        <f>+[4]มิ.ย.59!$AG$9</f>
        <v>47</v>
      </c>
      <c r="AR67" s="372">
        <f>+[4]ก.ค.59!$AG$9</f>
        <v>7</v>
      </c>
      <c r="AS67" s="372">
        <f>+[4]ส.ค.59!$AG$9</f>
        <v>3</v>
      </c>
      <c r="AT67" s="372">
        <f>+[4]ก.ย.59!$AG$9</f>
        <v>27</v>
      </c>
      <c r="AU67" s="375">
        <f t="shared" si="6"/>
        <v>211</v>
      </c>
    </row>
    <row r="68" spans="1:47" ht="15" thickBot="1" x14ac:dyDescent="0.25"/>
    <row r="69" spans="1:47" x14ac:dyDescent="0.2">
      <c r="A69" s="205">
        <v>1</v>
      </c>
      <c r="B69" s="206">
        <v>2</v>
      </c>
      <c r="C69" s="206">
        <v>3</v>
      </c>
      <c r="D69" s="206">
        <v>4</v>
      </c>
      <c r="E69" s="206">
        <v>5</v>
      </c>
      <c r="F69" s="206">
        <v>6</v>
      </c>
      <c r="G69" s="206">
        <v>7</v>
      </c>
      <c r="H69" s="206">
        <v>8</v>
      </c>
      <c r="I69" s="206">
        <v>9</v>
      </c>
      <c r="J69" s="206">
        <v>10</v>
      </c>
      <c r="K69" s="206">
        <v>11</v>
      </c>
      <c r="L69" s="206">
        <v>12</v>
      </c>
      <c r="M69" s="206">
        <v>13</v>
      </c>
      <c r="N69" s="206">
        <v>14</v>
      </c>
      <c r="O69" s="207">
        <v>15</v>
      </c>
      <c r="P69" s="209">
        <v>16</v>
      </c>
      <c r="Q69" s="220">
        <v>17</v>
      </c>
      <c r="R69" s="221">
        <v>18</v>
      </c>
      <c r="S69" s="221">
        <v>19</v>
      </c>
      <c r="T69" s="221">
        <v>20</v>
      </c>
      <c r="U69" s="221">
        <v>21</v>
      </c>
      <c r="V69" s="221">
        <v>22</v>
      </c>
      <c r="W69" s="221">
        <v>23</v>
      </c>
      <c r="X69" s="221">
        <v>24</v>
      </c>
      <c r="Y69" s="221">
        <v>25</v>
      </c>
      <c r="Z69" s="221">
        <v>26</v>
      </c>
      <c r="AA69" s="221">
        <v>27</v>
      </c>
      <c r="AB69" s="221">
        <v>28</v>
      </c>
      <c r="AC69" s="221">
        <v>29</v>
      </c>
      <c r="AD69" s="221">
        <v>30</v>
      </c>
      <c r="AE69" s="222">
        <v>31</v>
      </c>
      <c r="AF69" s="219">
        <v>32</v>
      </c>
      <c r="AG69" s="233">
        <v>33</v>
      </c>
      <c r="AH69" s="234">
        <v>34</v>
      </c>
      <c r="AI69" s="234">
        <v>35</v>
      </c>
      <c r="AJ69" s="234">
        <v>36</v>
      </c>
      <c r="AK69" s="234">
        <v>37</v>
      </c>
      <c r="AL69" s="234">
        <v>38</v>
      </c>
      <c r="AM69" s="234">
        <v>39</v>
      </c>
      <c r="AN69" s="234">
        <v>40</v>
      </c>
      <c r="AO69" s="234">
        <v>41</v>
      </c>
      <c r="AP69" s="234">
        <v>42</v>
      </c>
      <c r="AQ69" s="234">
        <v>43</v>
      </c>
      <c r="AR69" s="234">
        <v>44</v>
      </c>
      <c r="AS69" s="234">
        <v>45</v>
      </c>
      <c r="AT69" s="234">
        <v>46</v>
      </c>
      <c r="AU69" s="235">
        <v>47</v>
      </c>
    </row>
    <row r="70" spans="1:47" s="196" customFormat="1" x14ac:dyDescent="0.2">
      <c r="A70" s="214" t="s">
        <v>110</v>
      </c>
      <c r="B70" s="208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10"/>
      <c r="P70" s="209"/>
      <c r="Q70" s="223" t="s">
        <v>88</v>
      </c>
      <c r="R70" s="224"/>
      <c r="S70" s="225"/>
      <c r="T70" s="225"/>
      <c r="U70" s="225"/>
      <c r="V70" s="225"/>
      <c r="W70" s="225"/>
      <c r="X70" s="225"/>
      <c r="Y70" s="225"/>
      <c r="Z70" s="225"/>
      <c r="AA70" s="225"/>
      <c r="AB70" s="225"/>
      <c r="AC70" s="225"/>
      <c r="AD70" s="225"/>
      <c r="AE70" s="226"/>
      <c r="AG70" s="236" t="s">
        <v>112</v>
      </c>
      <c r="AH70" s="237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9"/>
    </row>
    <row r="71" spans="1:47" s="323" customFormat="1" x14ac:dyDescent="0.2">
      <c r="A71" s="211" t="s">
        <v>40</v>
      </c>
      <c r="B71" s="201" t="s">
        <v>41</v>
      </c>
      <c r="C71" s="202" t="s">
        <v>74</v>
      </c>
      <c r="D71" s="202" t="s">
        <v>75</v>
      </c>
      <c r="E71" s="202" t="s">
        <v>76</v>
      </c>
      <c r="F71" s="202" t="s">
        <v>77</v>
      </c>
      <c r="G71" s="202" t="s">
        <v>78</v>
      </c>
      <c r="H71" s="202" t="s">
        <v>79</v>
      </c>
      <c r="I71" s="202" t="s">
        <v>80</v>
      </c>
      <c r="J71" s="202" t="s">
        <v>81</v>
      </c>
      <c r="K71" s="202" t="s">
        <v>82</v>
      </c>
      <c r="L71" s="202" t="s">
        <v>83</v>
      </c>
      <c r="M71" s="202" t="s">
        <v>84</v>
      </c>
      <c r="N71" s="202" t="s">
        <v>85</v>
      </c>
      <c r="O71" s="212" t="s">
        <v>21</v>
      </c>
      <c r="P71" s="217"/>
      <c r="Q71" s="227" t="s">
        <v>40</v>
      </c>
      <c r="R71" s="228" t="s">
        <v>41</v>
      </c>
      <c r="S71" s="229" t="s">
        <v>74</v>
      </c>
      <c r="T71" s="229" t="s">
        <v>75</v>
      </c>
      <c r="U71" s="229" t="s">
        <v>76</v>
      </c>
      <c r="V71" s="229" t="s">
        <v>77</v>
      </c>
      <c r="W71" s="229" t="s">
        <v>78</v>
      </c>
      <c r="X71" s="229" t="s">
        <v>79</v>
      </c>
      <c r="Y71" s="229" t="s">
        <v>80</v>
      </c>
      <c r="Z71" s="229" t="s">
        <v>81</v>
      </c>
      <c r="AA71" s="229" t="s">
        <v>82</v>
      </c>
      <c r="AB71" s="229" t="s">
        <v>83</v>
      </c>
      <c r="AC71" s="229" t="s">
        <v>84</v>
      </c>
      <c r="AD71" s="229" t="s">
        <v>85</v>
      </c>
      <c r="AE71" s="230" t="s">
        <v>21</v>
      </c>
      <c r="AG71" s="324" t="s">
        <v>40</v>
      </c>
      <c r="AH71" s="325" t="s">
        <v>41</v>
      </c>
      <c r="AI71" s="326" t="s">
        <v>74</v>
      </c>
      <c r="AJ71" s="326" t="s">
        <v>75</v>
      </c>
      <c r="AK71" s="326" t="s">
        <v>76</v>
      </c>
      <c r="AL71" s="326" t="s">
        <v>77</v>
      </c>
      <c r="AM71" s="326" t="s">
        <v>78</v>
      </c>
      <c r="AN71" s="326" t="s">
        <v>79</v>
      </c>
      <c r="AO71" s="326" t="s">
        <v>80</v>
      </c>
      <c r="AP71" s="326" t="s">
        <v>81</v>
      </c>
      <c r="AQ71" s="326" t="s">
        <v>82</v>
      </c>
      <c r="AR71" s="326" t="s">
        <v>83</v>
      </c>
      <c r="AS71" s="326" t="s">
        <v>84</v>
      </c>
      <c r="AT71" s="326" t="s">
        <v>85</v>
      </c>
      <c r="AU71" s="327" t="s">
        <v>21</v>
      </c>
    </row>
    <row r="72" spans="1:47" s="376" customFormat="1" x14ac:dyDescent="0.2">
      <c r="A72" s="213">
        <v>1003</v>
      </c>
      <c r="B72" s="204" t="s">
        <v>42</v>
      </c>
      <c r="C72" s="377">
        <f t="shared" ref="C72:N72" si="7">SUM(C73:C99)</f>
        <v>7.1288564900000004</v>
      </c>
      <c r="D72" s="377">
        <f t="shared" si="7"/>
        <v>7.3201653199999992</v>
      </c>
      <c r="E72" s="377">
        <f t="shared" si="7"/>
        <v>7.3735426599999991</v>
      </c>
      <c r="F72" s="377">
        <f t="shared" si="7"/>
        <v>7.7464177900000006</v>
      </c>
      <c r="G72" s="377">
        <f t="shared" si="7"/>
        <v>7.5416828900000006</v>
      </c>
      <c r="H72" s="377">
        <f t="shared" si="7"/>
        <v>7.4267125800000002</v>
      </c>
      <c r="I72" s="377">
        <f t="shared" si="7"/>
        <v>8.6516066600000006</v>
      </c>
      <c r="J72" s="377">
        <f t="shared" si="7"/>
        <v>8.2894316000000003</v>
      </c>
      <c r="K72" s="377">
        <f t="shared" si="7"/>
        <v>7.9268964300000011</v>
      </c>
      <c r="L72" s="377">
        <f t="shared" si="7"/>
        <v>7.5577739600000013</v>
      </c>
      <c r="M72" s="377">
        <f t="shared" si="7"/>
        <v>7.6685574599999988</v>
      </c>
      <c r="N72" s="377">
        <f t="shared" si="7"/>
        <v>7.7466060199999998</v>
      </c>
      <c r="O72" s="378">
        <f>SUM(C72:N72)</f>
        <v>92.378249860000011</v>
      </c>
      <c r="P72" s="218"/>
      <c r="Q72" s="231">
        <v>1003</v>
      </c>
      <c r="R72" s="232" t="s">
        <v>42</v>
      </c>
      <c r="S72" s="379">
        <f t="shared" ref="S72:AD72" si="8">SUM(S73:S99)</f>
        <v>7.4998030000000018</v>
      </c>
      <c r="T72" s="379">
        <f t="shared" si="8"/>
        <v>7.7783630000000024</v>
      </c>
      <c r="U72" s="379">
        <f t="shared" si="8"/>
        <v>7.6294730000000008</v>
      </c>
      <c r="V72" s="379">
        <f t="shared" si="8"/>
        <v>7.9942579999999994</v>
      </c>
      <c r="W72" s="379">
        <f t="shared" si="8"/>
        <v>7.6729049999999992</v>
      </c>
      <c r="X72" s="379">
        <f t="shared" si="8"/>
        <v>7.5427600000000004</v>
      </c>
      <c r="Y72" s="379">
        <f t="shared" si="8"/>
        <v>8.5503929999999997</v>
      </c>
      <c r="Z72" s="379">
        <f t="shared" si="8"/>
        <v>8.890566999999999</v>
      </c>
      <c r="AA72" s="379">
        <f t="shared" si="8"/>
        <v>8.5878019999999999</v>
      </c>
      <c r="AB72" s="379">
        <f t="shared" si="8"/>
        <v>8.1682380000000006</v>
      </c>
      <c r="AC72" s="379">
        <f t="shared" si="8"/>
        <v>7.8897239999999984</v>
      </c>
      <c r="AD72" s="379">
        <f t="shared" si="8"/>
        <v>8.0757110000000001</v>
      </c>
      <c r="AE72" s="380">
        <f>SUM(S72:AD72)</f>
        <v>96.279996999999995</v>
      </c>
      <c r="AG72" s="240">
        <v>1003</v>
      </c>
      <c r="AH72" s="241" t="s">
        <v>42</v>
      </c>
      <c r="AI72" s="381">
        <f t="shared" ref="AI72:AT72" si="9">SUM(AI73:AI99)</f>
        <v>7.0824943599999983</v>
      </c>
      <c r="AJ72" s="381">
        <f t="shared" si="9"/>
        <v>7.3622788699999999</v>
      </c>
      <c r="AK72" s="381">
        <f t="shared" si="9"/>
        <v>7.1881295800000018</v>
      </c>
      <c r="AL72" s="381">
        <f t="shared" si="9"/>
        <v>7.5210051199999999</v>
      </c>
      <c r="AM72" s="381">
        <f t="shared" si="9"/>
        <v>7.2293043900000002</v>
      </c>
      <c r="AN72" s="381">
        <f t="shared" si="9"/>
        <v>7.1041087400000018</v>
      </c>
      <c r="AO72" s="381">
        <f t="shared" si="9"/>
        <v>8.2387351800000008</v>
      </c>
      <c r="AP72" s="381">
        <f t="shared" si="9"/>
        <v>8.5919689999999989</v>
      </c>
      <c r="AQ72" s="381">
        <f t="shared" si="9"/>
        <v>8.0822814399999992</v>
      </c>
      <c r="AR72" s="381">
        <f t="shared" si="9"/>
        <v>7.6276452000000008</v>
      </c>
      <c r="AS72" s="381">
        <f t="shared" si="9"/>
        <v>7.0697757300000008</v>
      </c>
      <c r="AT72" s="381">
        <f t="shared" si="9"/>
        <v>7.5762410600000001</v>
      </c>
      <c r="AU72" s="382">
        <f>SUM(AI72:AT72)</f>
        <v>90.673968670000008</v>
      </c>
    </row>
    <row r="73" spans="1:47" s="392" customFormat="1" x14ac:dyDescent="0.2">
      <c r="A73" s="383">
        <v>1004</v>
      </c>
      <c r="B73" s="384" t="s">
        <v>43</v>
      </c>
      <c r="C73" s="385">
        <f>+[2]ต.ค.59!$G$30/10^6</f>
        <v>2.6004860000000001</v>
      </c>
      <c r="D73" s="385">
        <f>+[2]พ.ย.59!$G$30/10^6</f>
        <v>2.6556259999999998</v>
      </c>
      <c r="E73" s="385">
        <f>+[2]ธ.ค.59!$G$30/10^6</f>
        <v>2.715541</v>
      </c>
      <c r="F73" s="385">
        <f>+[2]ม.ค.60!$G$30/10^6</f>
        <v>2.8848199999999999</v>
      </c>
      <c r="G73" s="385">
        <f>+[2]ก.พ.60!$G$30/10^6</f>
        <v>2.7957709999999998</v>
      </c>
      <c r="H73" s="385">
        <f>+[2]มี.ค.60!$G$30/10^6</f>
        <v>2.7811119999999998</v>
      </c>
      <c r="I73" s="385">
        <f>+[2]เม.ย.60!$G$30/10^6</f>
        <v>3.2441399999999998</v>
      </c>
      <c r="J73" s="385">
        <f>+[2]พ.ค.60!$G$30/10^6</f>
        <v>3.0268969999999999</v>
      </c>
      <c r="K73" s="385">
        <f>+[2]มิ.ย.60!$G$30/10^6</f>
        <v>2.862279</v>
      </c>
      <c r="L73" s="385">
        <f>+[2]ก.ค.60!$G$30/10^6</f>
        <v>2.7132170000000002</v>
      </c>
      <c r="M73" s="385">
        <f>+[2]ส.ค.60!$G$30/10^6</f>
        <v>2.802378</v>
      </c>
      <c r="N73" s="385">
        <f>+[2]ก.ย.60!$G$30/10^6</f>
        <v>2.8291119999999998</v>
      </c>
      <c r="O73" s="378">
        <f t="shared" ref="O73:O99" si="10">SUM(C73:N73)</f>
        <v>33.911378999999997</v>
      </c>
      <c r="P73" s="386"/>
      <c r="Q73" s="387">
        <v>1004</v>
      </c>
      <c r="R73" s="388" t="s">
        <v>43</v>
      </c>
      <c r="S73" s="389">
        <f>+[3]น้ำจำหน่าย!AB35/10^6</f>
        <v>2.7783169999999999</v>
      </c>
      <c r="T73" s="389">
        <f>+[3]น้ำจำหน่าย!AC35/10^6</f>
        <v>2.906603</v>
      </c>
      <c r="U73" s="389">
        <f>+[3]น้ำจำหน่าย!AD35/10^6</f>
        <v>2.867388</v>
      </c>
      <c r="V73" s="389">
        <f>+[3]น้ำจำหน่าย!AE35/10^6</f>
        <v>2.9779629999999999</v>
      </c>
      <c r="W73" s="389">
        <f>+[3]น้ำจำหน่าย!AF35/10^6</f>
        <v>2.9073370000000001</v>
      </c>
      <c r="X73" s="389">
        <f>+[3]น้ำจำหน่าย!AG35/10^6</f>
        <v>2.825707</v>
      </c>
      <c r="Y73" s="389">
        <f>+[3]น้ำจำหน่าย!AH35/10^6</f>
        <v>3.145756</v>
      </c>
      <c r="Z73" s="389">
        <f>+[3]น้ำจำหน่าย!AI35/10^6</f>
        <v>3.2394720000000001</v>
      </c>
      <c r="AA73" s="389">
        <f>+[3]น้ำจำหน่าย!AJ35/10^6</f>
        <v>3.1596760000000002</v>
      </c>
      <c r="AB73" s="389">
        <f>+[3]น้ำจำหน่าย!AK35/10^6</f>
        <v>2.9755029999999998</v>
      </c>
      <c r="AC73" s="389">
        <f>+[3]น้ำจำหน่าย!AL35/10^6</f>
        <v>2.924121</v>
      </c>
      <c r="AD73" s="389">
        <f>+[3]น้ำจำหน่าย!AM35/10^6</f>
        <v>3.0116969999999998</v>
      </c>
      <c r="AE73" s="380">
        <f t="shared" ref="AE73:AE99" si="11">SUM(S73:AD73)</f>
        <v>35.719539999999995</v>
      </c>
      <c r="AF73" s="390">
        <f>+[3]น้ำจำหน่าย!AO35/10^6</f>
        <v>35.719540000000002</v>
      </c>
      <c r="AG73" s="242">
        <v>1004</v>
      </c>
      <c r="AH73" s="243" t="s">
        <v>43</v>
      </c>
      <c r="AI73" s="391">
        <f>+[4]ต.ค.58!$G$28/10^6</f>
        <v>2.6210870000000002</v>
      </c>
      <c r="AJ73" s="391">
        <f>+[4]พ.ย.58!$G$28/10^6</f>
        <v>2.7336420000000001</v>
      </c>
      <c r="AK73" s="391">
        <f>+[4]ธ.ค.58!$G$28/10^6</f>
        <v>2.6689419999999999</v>
      </c>
      <c r="AL73" s="391">
        <f>+[4]ม.ค.59!$G$28/10^6</f>
        <v>2.8164940000000001</v>
      </c>
      <c r="AM73" s="391">
        <f>+[4]ก.พ.59!$G$28/10^6</f>
        <v>2.6924519999999998</v>
      </c>
      <c r="AN73" s="391">
        <f>+[4]มี.ค.59!$G$28/10^6</f>
        <v>2.6126459999999998</v>
      </c>
      <c r="AO73" s="391">
        <f>+[4]เม.ย.59!$G$28/10^6</f>
        <v>3.0476299999999998</v>
      </c>
      <c r="AP73" s="391">
        <f>+[4]พ.ค.59!$G$28/10^6</f>
        <v>3.014691</v>
      </c>
      <c r="AQ73" s="391">
        <f>+[4]มิ.ย.59!$G$28/10^6</f>
        <v>2.9353929999999999</v>
      </c>
      <c r="AR73" s="391">
        <f>+[4]ก.ค.59!$G$28/10^6</f>
        <v>2.710118</v>
      </c>
      <c r="AS73" s="391">
        <f>+[4]ส.ค.59!$G$28/10^6</f>
        <v>2.6041289999999999</v>
      </c>
      <c r="AT73" s="391">
        <f>+[4]ก.ย.59!$G$28/10^6</f>
        <v>2.7947350000000002</v>
      </c>
      <c r="AU73" s="382">
        <f t="shared" ref="AU73:AU99" si="12">SUM(AI73:AT73)</f>
        <v>33.251958999999999</v>
      </c>
    </row>
    <row r="74" spans="1:47" s="392" customFormat="1" x14ac:dyDescent="0.2">
      <c r="A74" s="383">
        <v>1005</v>
      </c>
      <c r="B74" s="384" t="s">
        <v>44</v>
      </c>
      <c r="C74" s="385">
        <f>+[2]ต.ค.59!$H$30/10^6</f>
        <v>4.4784999999999998E-2</v>
      </c>
      <c r="D74" s="385">
        <f>+[2]พ.ย.59!$H$30/10^6</f>
        <v>4.9244000000000003E-2</v>
      </c>
      <c r="E74" s="385">
        <f>+[2]ธ.ค.59!$H$30/10^6</f>
        <v>4.7400999999999999E-2</v>
      </c>
      <c r="F74" s="385">
        <f>+[2]ม.ค.60!$H$30/10^6</f>
        <v>5.1159000000000003E-2</v>
      </c>
      <c r="G74" s="385">
        <f>+[2]ก.พ.60!$H$30/10^6</f>
        <v>5.0021999999999997E-2</v>
      </c>
      <c r="H74" s="385">
        <f>+[2]มี.ค.60!$H$30/10^6</f>
        <v>4.9096000000000001E-2</v>
      </c>
      <c r="I74" s="385">
        <f>+[2]เม.ย.60!$H$30/10^6</f>
        <v>6.0921000000000003E-2</v>
      </c>
      <c r="J74" s="385">
        <f>+[2]พ.ค.60!$H$30/10^6</f>
        <v>5.6508000000000003E-2</v>
      </c>
      <c r="K74" s="385">
        <f>+[2]มิ.ย.60!$H$30/10^6</f>
        <v>5.2275000000000002E-2</v>
      </c>
      <c r="L74" s="385">
        <f>+[2]ก.ค.60!$H$30/10^6</f>
        <v>5.0915000000000002E-2</v>
      </c>
      <c r="M74" s="385">
        <f>+[2]ส.ค.60!$H$30/10^6</f>
        <v>5.0818000000000002E-2</v>
      </c>
      <c r="N74" s="385">
        <f>+[2]ก.ย.60!$H$30/10^6</f>
        <v>5.1297000000000002E-2</v>
      </c>
      <c r="O74" s="378">
        <f t="shared" si="10"/>
        <v>0.61444100000000013</v>
      </c>
      <c r="P74" s="386"/>
      <c r="Q74" s="387">
        <v>1005</v>
      </c>
      <c r="R74" s="388" t="s">
        <v>44</v>
      </c>
      <c r="S74" s="389">
        <f>+[3]น้ำจำหน่าย!AB36/10^6</f>
        <v>4.5719000000000003E-2</v>
      </c>
      <c r="T74" s="389">
        <f>+[3]น้ำจำหน่าย!AC36/10^6</f>
        <v>4.53E-2</v>
      </c>
      <c r="U74" s="389">
        <f>+[3]น้ำจำหน่าย!AD36/10^6</f>
        <v>4.4488E-2</v>
      </c>
      <c r="V74" s="389">
        <f>+[3]น้ำจำหน่าย!AE36/10^6</f>
        <v>4.8732999999999999E-2</v>
      </c>
      <c r="W74" s="389">
        <f>+[3]น้ำจำหน่าย!AF36/10^6</f>
        <v>4.6297999999999999E-2</v>
      </c>
      <c r="X74" s="389">
        <f>+[3]น้ำจำหน่าย!AG36/10^6</f>
        <v>4.4847999999999999E-2</v>
      </c>
      <c r="Y74" s="389">
        <f>+[3]น้ำจำหน่าย!AH36/10^6</f>
        <v>5.5821999999999997E-2</v>
      </c>
      <c r="Z74" s="389">
        <f>+[3]น้ำจำหน่าย!AI36/10^6</f>
        <v>5.7673000000000002E-2</v>
      </c>
      <c r="AA74" s="389">
        <f>+[3]น้ำจำหน่าย!AJ36/10^6</f>
        <v>5.3949999999999998E-2</v>
      </c>
      <c r="AB74" s="389">
        <f>+[3]น้ำจำหน่าย!AK36/10^6</f>
        <v>4.8895000000000001E-2</v>
      </c>
      <c r="AC74" s="389">
        <f>+[3]น้ำจำหน่าย!AL36/10^6</f>
        <v>4.9123E-2</v>
      </c>
      <c r="AD74" s="389">
        <f>+[3]น้ำจำหน่าย!AM36/10^6</f>
        <v>4.9771999999999997E-2</v>
      </c>
      <c r="AE74" s="380">
        <f t="shared" si="11"/>
        <v>0.59062100000000006</v>
      </c>
      <c r="AF74" s="390">
        <f>+[3]น้ำจำหน่าย!AO36/10^6</f>
        <v>0.59062000000000003</v>
      </c>
      <c r="AG74" s="242">
        <v>1005</v>
      </c>
      <c r="AH74" s="243" t="s">
        <v>44</v>
      </c>
      <c r="AI74" s="391">
        <f>+[4]ต.ค.58!$H$28/10^6</f>
        <v>4.7135000000000003E-2</v>
      </c>
      <c r="AJ74" s="391">
        <f>+[4]พ.ย.58!$H$28/10^6</f>
        <v>4.5524000000000002E-2</v>
      </c>
      <c r="AK74" s="391">
        <f>+[4]ธ.ค.58!$H$28/10^6</f>
        <v>4.6587000000000003E-2</v>
      </c>
      <c r="AL74" s="391">
        <f>+[4]ม.ค.59!$H$28/10^6</f>
        <v>5.1525000000000001E-2</v>
      </c>
      <c r="AM74" s="391">
        <f>+[4]ก.พ.59!$H$28/10^6</f>
        <v>4.6344000000000003E-2</v>
      </c>
      <c r="AN74" s="391">
        <f>+[4]มี.ค.59!$H$28/10^6</f>
        <v>4.4357000000000001E-2</v>
      </c>
      <c r="AO74" s="391">
        <f>+[4]เม.ย.59!$H$28/10^6</f>
        <v>6.0720000000000003E-2</v>
      </c>
      <c r="AP74" s="391">
        <f>+[4]พ.ค.59!$H$28/10^6</f>
        <v>6.4146999999999996E-2</v>
      </c>
      <c r="AQ74" s="391">
        <f>+[4]มิ.ย.59!$H$28/10^6</f>
        <v>5.8352000000000001E-2</v>
      </c>
      <c r="AR74" s="391">
        <f>+[4]ก.ค.59!$H$28/10^6</f>
        <v>5.0027000000000002E-2</v>
      </c>
      <c r="AS74" s="391">
        <f>+[4]ส.ค.59!$H$28/10^6</f>
        <v>4.9033E-2</v>
      </c>
      <c r="AT74" s="391">
        <f>+[4]ก.ย.59!$H$28/10^6</f>
        <v>5.1714999999999997E-2</v>
      </c>
      <c r="AU74" s="382">
        <f t="shared" si="12"/>
        <v>0.61546599999999996</v>
      </c>
    </row>
    <row r="75" spans="1:47" s="392" customFormat="1" x14ac:dyDescent="0.2">
      <c r="A75" s="383">
        <v>1006</v>
      </c>
      <c r="B75" s="384" t="s">
        <v>45</v>
      </c>
      <c r="C75" s="385">
        <f>+[2]ต.ค.59!$I$30/10^6</f>
        <v>0.20614907000000002</v>
      </c>
      <c r="D75" s="385">
        <f>+[2]พ.ย.59!$I$30/10^6</f>
        <v>0.22051220000000002</v>
      </c>
      <c r="E75" s="385">
        <f>+[2]ธ.ค.59!$I$30/10^6</f>
        <v>0.22251735</v>
      </c>
      <c r="F75" s="385">
        <f>+[2]ม.ค.60!$I$30/10^6</f>
        <v>0.23230145999999999</v>
      </c>
      <c r="G75" s="385">
        <f>+[2]ก.พ.60!$I$30/10^6</f>
        <v>0.23376545999999998</v>
      </c>
      <c r="H75" s="385">
        <f>+[2]มี.ค.60!$I$30/10^6</f>
        <v>0.23694081</v>
      </c>
      <c r="I75" s="385">
        <f>+[2]เม.ย.60!$I$30/10^6</f>
        <v>0.284551</v>
      </c>
      <c r="J75" s="385">
        <f>+[2]พ.ค.60!$I$30/10^6</f>
        <v>0.26946120000000001</v>
      </c>
      <c r="K75" s="385">
        <f>+[2]มิ.ย.60!$I$30/10^6</f>
        <v>0.23913503</v>
      </c>
      <c r="L75" s="385">
        <f>+[2]ก.ค.60!$I$30/10^6</f>
        <v>0.22661265999999999</v>
      </c>
      <c r="M75" s="385">
        <f>+[2]ส.ค.60!$I$30/10^6</f>
        <v>0.227432</v>
      </c>
      <c r="N75" s="385">
        <f>+[2]ก.ย.60!$I$30/10^6</f>
        <v>0.23028051999999999</v>
      </c>
      <c r="O75" s="378">
        <f t="shared" si="10"/>
        <v>2.8296587600000001</v>
      </c>
      <c r="P75" s="386"/>
      <c r="Q75" s="387">
        <v>1006</v>
      </c>
      <c r="R75" s="388" t="s">
        <v>45</v>
      </c>
      <c r="S75" s="389">
        <f>+[3]น้ำจำหน่าย!AB37/10^6</f>
        <v>0.22173599999999999</v>
      </c>
      <c r="T75" s="389">
        <f>+[3]น้ำจำหน่าย!AC37/10^6</f>
        <v>0.24243200000000001</v>
      </c>
      <c r="U75" s="389">
        <f>+[3]น้ำจำหน่าย!AD37/10^6</f>
        <v>0.23740600000000001</v>
      </c>
      <c r="V75" s="389">
        <f>+[3]น้ำจำหน่าย!AE37/10^6</f>
        <v>0.24912000000000001</v>
      </c>
      <c r="W75" s="389">
        <f>+[3]น้ำจำหน่าย!AF37/10^6</f>
        <v>0.24648700000000001</v>
      </c>
      <c r="X75" s="389">
        <f>+[3]น้ำจำหน่าย!AG37/10^6</f>
        <v>0.243593</v>
      </c>
      <c r="Y75" s="389">
        <f>+[3]น้ำจำหน่าย!AH37/10^6</f>
        <v>0.27796500000000002</v>
      </c>
      <c r="Z75" s="389">
        <f>+[3]น้ำจำหน่าย!AI37/10^6</f>
        <v>0.299788</v>
      </c>
      <c r="AA75" s="389">
        <f>+[3]น้ำจำหน่าย!AJ37/10^6</f>
        <v>0.28006399999999998</v>
      </c>
      <c r="AB75" s="389">
        <f>+[3]น้ำจำหน่าย!AK37/10^6</f>
        <v>0.25418400000000002</v>
      </c>
      <c r="AC75" s="389">
        <f>+[3]น้ำจำหน่าย!AL37/10^6</f>
        <v>0.24944</v>
      </c>
      <c r="AD75" s="389">
        <f>+[3]น้ำจำหน่าย!AM37/10^6</f>
        <v>0.251525</v>
      </c>
      <c r="AE75" s="380">
        <f t="shared" si="11"/>
        <v>3.0537399999999999</v>
      </c>
      <c r="AF75" s="390">
        <f>+[3]น้ำจำหน่าย!AO37/10^6</f>
        <v>3.0537399999999999</v>
      </c>
      <c r="AG75" s="242">
        <v>1006</v>
      </c>
      <c r="AH75" s="243" t="s">
        <v>45</v>
      </c>
      <c r="AI75" s="391">
        <f>+[4]ต.ค.58!$I$28/10^6</f>
        <v>0.20429089</v>
      </c>
      <c r="AJ75" s="391">
        <f>+[4]พ.ย.58!$I$28/10^6</f>
        <v>0.225191</v>
      </c>
      <c r="AK75" s="391">
        <f>+[4]ธ.ค.58!$I$28/10^6</f>
        <v>0.21947104000000001</v>
      </c>
      <c r="AL75" s="391">
        <f>+[4]ม.ค.59!$I$28/10^6</f>
        <v>0.23408065</v>
      </c>
      <c r="AM75" s="391">
        <f>+[4]ก.พ.59!$I$28/10^6</f>
        <v>0.222388</v>
      </c>
      <c r="AN75" s="391">
        <f>+[4]มี.ค.59!$I$28/10^6</f>
        <v>0.21876514999999999</v>
      </c>
      <c r="AO75" s="391">
        <f>+[4]เม.ย.59!$I$28/10^6</f>
        <v>0.2546001</v>
      </c>
      <c r="AP75" s="391">
        <f>+[4]พ.ค.59!$I$28/10^6</f>
        <v>0.28325600000000001</v>
      </c>
      <c r="AQ75" s="391">
        <f>+[4]มิ.ย.59!$I$28/10^6</f>
        <v>0.25242122</v>
      </c>
      <c r="AR75" s="391">
        <f>+[4]ก.ค.59!$I$28/10^6</f>
        <v>0.217526</v>
      </c>
      <c r="AS75" s="391">
        <f>+[4]ส.ค.59!$I$28/10^6</f>
        <v>0.21900325000000001</v>
      </c>
      <c r="AT75" s="391">
        <f>+[4]ก.ย.59!$I$28/10^6</f>
        <v>0.22381187999999999</v>
      </c>
      <c r="AU75" s="382">
        <f t="shared" si="12"/>
        <v>2.77480518</v>
      </c>
    </row>
    <row r="76" spans="1:47" s="392" customFormat="1" x14ac:dyDescent="0.2">
      <c r="A76" s="383">
        <v>1007</v>
      </c>
      <c r="B76" s="384" t="s">
        <v>46</v>
      </c>
      <c r="C76" s="385">
        <f>+[2]ต.ค.59!$J$30/10^6</f>
        <v>0.38655400000000001</v>
      </c>
      <c r="D76" s="385">
        <f>+[2]พ.ย.59!$J$30/10^6</f>
        <v>0.40917100000000001</v>
      </c>
      <c r="E76" s="385">
        <f>+[2]ธ.ค.59!$J$30/10^6</f>
        <v>0.41414299999999998</v>
      </c>
      <c r="F76" s="385">
        <f>+[2]ม.ค.60!$J$30/10^6</f>
        <v>0.42419499999999999</v>
      </c>
      <c r="G76" s="385">
        <f>+[2]ก.พ.60!$J$30/10^6</f>
        <v>0.43355900000000003</v>
      </c>
      <c r="H76" s="385">
        <f>+[2]มี.ค.60!$J$30/10^6</f>
        <v>0.41814800000000002</v>
      </c>
      <c r="I76" s="385">
        <f>+[2]เม.ย.60!$J$30/10^6</f>
        <v>0.48757699999999998</v>
      </c>
      <c r="J76" s="385">
        <f>+[2]พ.ค.60!$J$30/10^6</f>
        <v>0.49199100000000001</v>
      </c>
      <c r="K76" s="385">
        <f>+[2]มิ.ย.60!$J$30/10^6</f>
        <v>0.44381900000000002</v>
      </c>
      <c r="L76" s="385">
        <f>+[2]ก.ค.60!$J$30/10^6</f>
        <v>0.424286</v>
      </c>
      <c r="M76" s="385">
        <f>+[2]ส.ค.60!$J$30/10^6</f>
        <v>0.42061500000000002</v>
      </c>
      <c r="N76" s="385">
        <f>+[2]ก.ย.60!$J$30/10^6</f>
        <v>0.41854200000000003</v>
      </c>
      <c r="O76" s="378">
        <f t="shared" si="10"/>
        <v>5.1726000000000001</v>
      </c>
      <c r="P76" s="386"/>
      <c r="Q76" s="387">
        <v>1007</v>
      </c>
      <c r="R76" s="388" t="s">
        <v>46</v>
      </c>
      <c r="S76" s="389">
        <f>+[3]น้ำจำหน่าย!AB38/10^6</f>
        <v>0.42913899999999999</v>
      </c>
      <c r="T76" s="389">
        <f>+[3]น้ำจำหน่าย!AC38/10^6</f>
        <v>0.44989200000000001</v>
      </c>
      <c r="U76" s="389">
        <f>+[3]น้ำจำหน่าย!AD38/10^6</f>
        <v>0.43992500000000001</v>
      </c>
      <c r="V76" s="389">
        <f>+[3]น้ำจำหน่าย!AE38/10^6</f>
        <v>0.45133499999999999</v>
      </c>
      <c r="W76" s="389">
        <f>+[3]น้ำจำหน่าย!AF38/10^6</f>
        <v>0.43314900000000001</v>
      </c>
      <c r="X76" s="389">
        <f>+[3]น้ำจำหน่าย!AG38/10^6</f>
        <v>0.42931000000000002</v>
      </c>
      <c r="Y76" s="389">
        <f>+[3]น้ำจำหน่าย!AH38/10^6</f>
        <v>0.47330499999999998</v>
      </c>
      <c r="Z76" s="389">
        <f>+[3]น้ำจำหน่าย!AI38/10^6</f>
        <v>0.50051900000000005</v>
      </c>
      <c r="AA76" s="389">
        <f>+[3]น้ำจำหน่าย!AJ38/10^6</f>
        <v>0.47231600000000001</v>
      </c>
      <c r="AB76" s="389">
        <f>+[3]น้ำจำหน่าย!AK38/10^6</f>
        <v>0.44744</v>
      </c>
      <c r="AC76" s="389">
        <f>+[3]น้ำจำหน่าย!AL38/10^6</f>
        <v>0.44311400000000001</v>
      </c>
      <c r="AD76" s="389">
        <f>+[3]น้ำจำหน่าย!AM38/10^6</f>
        <v>0.44884600000000002</v>
      </c>
      <c r="AE76" s="380">
        <f t="shared" si="11"/>
        <v>5.4182900000000007</v>
      </c>
      <c r="AF76" s="390">
        <f>+[3]น้ำจำหน่าย!AO38/10^6</f>
        <v>5.4182899999999998</v>
      </c>
      <c r="AG76" s="242">
        <v>1007</v>
      </c>
      <c r="AH76" s="243" t="s">
        <v>46</v>
      </c>
      <c r="AI76" s="391">
        <f>+[4]ต.ค.58!$J$28/10^6</f>
        <v>0.38727200000000001</v>
      </c>
      <c r="AJ76" s="391">
        <f>+[4]พ.ย.58!$J$28/10^6</f>
        <v>0.40864400000000001</v>
      </c>
      <c r="AK76" s="391">
        <f>+[4]ธ.ค.58!$J$28/10^6</f>
        <v>0.40455000000000002</v>
      </c>
      <c r="AL76" s="391">
        <f>+[4]ม.ค.59!$J$28/10^6</f>
        <v>0.424205</v>
      </c>
      <c r="AM76" s="391">
        <f>+[4]ก.พ.59!$J$28/10^6</f>
        <v>0.40276600000000001</v>
      </c>
      <c r="AN76" s="391">
        <f>+[4]มี.ค.59!$J$28/10^6</f>
        <v>0.40003100000000003</v>
      </c>
      <c r="AO76" s="391">
        <f>+[4]เม.ย.59!$J$28/10^6</f>
        <v>0.44283</v>
      </c>
      <c r="AP76" s="391">
        <f>+[4]พ.ค.59!$J$28/10^6</f>
        <v>0.46995599999999998</v>
      </c>
      <c r="AQ76" s="391">
        <f>+[4]มิ.ย.59!$J$28/10^6</f>
        <v>0.428035</v>
      </c>
      <c r="AR76" s="391">
        <f>+[4]ก.ค.59!$J$28/10^6</f>
        <v>0.39705200000000002</v>
      </c>
      <c r="AS76" s="391">
        <f>+[4]ส.ค.59!$J$28/10^6</f>
        <v>0.40498000000000001</v>
      </c>
      <c r="AT76" s="391">
        <f>+[4]ก.ย.59!$J$28/10^6</f>
        <v>0.40474500000000002</v>
      </c>
      <c r="AU76" s="382">
        <f t="shared" si="12"/>
        <v>4.975066</v>
      </c>
    </row>
    <row r="77" spans="1:47" s="392" customFormat="1" x14ac:dyDescent="0.2">
      <c r="A77" s="383">
        <v>1008</v>
      </c>
      <c r="B77" s="384" t="s">
        <v>47</v>
      </c>
      <c r="C77" s="385">
        <f>+[2]ต.ค.59!$K$30/10^6</f>
        <v>0.103203</v>
      </c>
      <c r="D77" s="385">
        <f>+[2]พ.ย.59!$K$30/10^6</f>
        <v>0.105242</v>
      </c>
      <c r="E77" s="385">
        <f>+[2]ธ.ค.59!$K$30/10^6</f>
        <v>0.10981857</v>
      </c>
      <c r="F77" s="385">
        <f>+[2]ม.ค.60!$K$30/10^6</f>
        <v>0.11737</v>
      </c>
      <c r="G77" s="385">
        <f>+[2]ก.พ.60!$K$30/10^6</f>
        <v>0.11895799999999999</v>
      </c>
      <c r="H77" s="385">
        <f>+[2]มี.ค.60!$K$30/10^6</f>
        <v>0.112329</v>
      </c>
      <c r="I77" s="385">
        <f>+[2]เม.ย.60!$K$30/10^6</f>
        <v>0.12903500000000001</v>
      </c>
      <c r="J77" s="385">
        <f>+[2]พ.ค.60!$K$30/10^6</f>
        <v>0.12409199999999999</v>
      </c>
      <c r="K77" s="385">
        <f>+[2]มิ.ย.60!$K$30/10^6</f>
        <v>0.118738</v>
      </c>
      <c r="L77" s="385">
        <f>+[2]ก.ค.60!$K$30/10^6</f>
        <v>0.107629</v>
      </c>
      <c r="M77" s="385">
        <f>+[2]ส.ค.60!$K$30/10^6</f>
        <v>0.116539</v>
      </c>
      <c r="N77" s="385">
        <f>+[2]ก.ย.60!$K$30/10^6</f>
        <v>0.115817</v>
      </c>
      <c r="O77" s="378">
        <f t="shared" si="10"/>
        <v>1.3787705699999999</v>
      </c>
      <c r="P77" s="386"/>
      <c r="Q77" s="387">
        <v>1008</v>
      </c>
      <c r="R77" s="388" t="s">
        <v>47</v>
      </c>
      <c r="S77" s="389">
        <f>+[3]น้ำจำหน่าย!AB39/10^6</f>
        <v>8.4153000000000006E-2</v>
      </c>
      <c r="T77" s="389">
        <f>+[3]น้ำจำหน่าย!AC39/10^6</f>
        <v>8.7217000000000003E-2</v>
      </c>
      <c r="U77" s="389">
        <f>+[3]น้ำจำหน่าย!AD39/10^6</f>
        <v>8.5499000000000006E-2</v>
      </c>
      <c r="V77" s="389">
        <f>+[3]น้ำจำหน่าย!AE39/10^6</f>
        <v>9.4826999999999995E-2</v>
      </c>
      <c r="W77" s="389">
        <f>+[3]น้ำจำหน่าย!AF39/10^6</f>
        <v>9.0485999999999997E-2</v>
      </c>
      <c r="X77" s="389">
        <f>+[3]น้ำจำหน่าย!AG39/10^6</f>
        <v>9.1575000000000004E-2</v>
      </c>
      <c r="Y77" s="389">
        <f>+[3]น้ำจำหน่าย!AH39/10^6</f>
        <v>0.102287</v>
      </c>
      <c r="Z77" s="389">
        <f>+[3]น้ำจำหน่าย!AI39/10^6</f>
        <v>0.116118</v>
      </c>
      <c r="AA77" s="389">
        <f>+[3]น้ำจำหน่าย!AJ39/10^6</f>
        <v>0.10492700000000001</v>
      </c>
      <c r="AB77" s="389">
        <f>+[3]น้ำจำหน่าย!AK39/10^6</f>
        <v>0.101539</v>
      </c>
      <c r="AC77" s="389">
        <f>+[3]น้ำจำหน่าย!AL39/10^6</f>
        <v>0.103196</v>
      </c>
      <c r="AD77" s="389">
        <f>+[3]น้ำจำหน่าย!AM39/10^6</f>
        <v>0.102005</v>
      </c>
      <c r="AE77" s="380">
        <f t="shared" si="11"/>
        <v>1.163829</v>
      </c>
      <c r="AF77" s="390">
        <f>+[3]น้ำจำหน่าย!AO39/10^6</f>
        <v>1.1638299999999999</v>
      </c>
      <c r="AG77" s="242">
        <v>1008</v>
      </c>
      <c r="AH77" s="243" t="s">
        <v>47</v>
      </c>
      <c r="AI77" s="391">
        <f>+[4]ต.ค.58!$K$28/10^6</f>
        <v>9.0230000000000005E-2</v>
      </c>
      <c r="AJ77" s="391">
        <f>+[4]พ.ย.58!$K$28/10^6</f>
        <v>9.6406000000000006E-2</v>
      </c>
      <c r="AK77" s="391">
        <f>+[4]ธ.ค.58!$K$28/10^6</f>
        <v>9.1666209999999998E-2</v>
      </c>
      <c r="AL77" s="391">
        <f>+[4]ม.ค.59!$K$28/10^6</f>
        <v>0.10529332000000001</v>
      </c>
      <c r="AM77" s="391">
        <f>+[4]ก.พ.59!$K$28/10^6</f>
        <v>9.9144029999999994E-2</v>
      </c>
      <c r="AN77" s="391">
        <f>+[4]มี.ค.59!$K$28/10^6</f>
        <v>0.10650151000000001</v>
      </c>
      <c r="AO77" s="391">
        <f>+[4]เม.ย.59!$K$28/10^6</f>
        <v>0.1177605</v>
      </c>
      <c r="AP77" s="391">
        <f>+[4]พ.ค.59!$K$28/10^6</f>
        <v>0.13838400000000001</v>
      </c>
      <c r="AQ77" s="391">
        <f>+[4]มิ.ย.59!$K$28/10^6</f>
        <v>0.1140355</v>
      </c>
      <c r="AR77" s="391">
        <f>+[4]ก.ค.59!$K$28/10^6</f>
        <v>0.10986700000000001</v>
      </c>
      <c r="AS77" s="391">
        <f>+[4]ส.ค.59!$K$28/10^6</f>
        <v>0.102391</v>
      </c>
      <c r="AT77" s="391">
        <f>+[4]ก.ย.59!$K$28/10^6</f>
        <v>0.10975483</v>
      </c>
      <c r="AU77" s="382">
        <f t="shared" si="12"/>
        <v>1.2814338999999999</v>
      </c>
    </row>
    <row r="78" spans="1:47" s="392" customFormat="1" x14ac:dyDescent="0.2">
      <c r="A78" s="383">
        <v>1009</v>
      </c>
      <c r="B78" s="384" t="s">
        <v>48</v>
      </c>
      <c r="C78" s="385">
        <f>+[2]ต.ค.59!$L$30/10^6</f>
        <v>0.100191</v>
      </c>
      <c r="D78" s="385">
        <f>+[2]พ.ย.59!$L$30/10^6</f>
        <v>0.10304000000000001</v>
      </c>
      <c r="E78" s="385">
        <f>+[2]ธ.ค.59!$L$30/10^6</f>
        <v>9.7383139999999993E-2</v>
      </c>
      <c r="F78" s="385">
        <f>+[2]ม.ค.60!$L$30/10^6</f>
        <v>9.9271999999999999E-2</v>
      </c>
      <c r="G78" s="385">
        <f>+[2]ก.พ.60!$L$30/10^6</f>
        <v>0.100578</v>
      </c>
      <c r="H78" s="385">
        <f>+[2]มี.ค.60!$L$30/10^6</f>
        <v>9.5977000000000007E-2</v>
      </c>
      <c r="I78" s="385">
        <f>+[2]เม.ย.60!$L$30/10^6</f>
        <v>0.104722</v>
      </c>
      <c r="J78" s="385">
        <f>+[2]พ.ค.60!$L$30/10^6</f>
        <v>0.111168</v>
      </c>
      <c r="K78" s="385">
        <f>+[2]มิ.ย.60!$L$30/10^6</f>
        <v>0.10986799999999999</v>
      </c>
      <c r="L78" s="385">
        <f>+[2]ก.ค.60!$L$30/10^6</f>
        <v>0.105144</v>
      </c>
      <c r="M78" s="385">
        <f>+[2]ส.ค.60!$L$30/10^6</f>
        <v>0.104231</v>
      </c>
      <c r="N78" s="385">
        <f>+[2]ก.ย.60!$L$30/10^6</f>
        <v>0.103869</v>
      </c>
      <c r="O78" s="378">
        <f t="shared" si="10"/>
        <v>1.2354431399999999</v>
      </c>
      <c r="P78" s="386"/>
      <c r="Q78" s="387">
        <v>1009</v>
      </c>
      <c r="R78" s="388" t="s">
        <v>48</v>
      </c>
      <c r="S78" s="389">
        <f>+[3]น้ำจำหน่าย!AB40/10^6</f>
        <v>0.101034</v>
      </c>
      <c r="T78" s="389">
        <f>+[3]น้ำจำหน่าย!AC40/10^6</f>
        <v>0.105618</v>
      </c>
      <c r="U78" s="389">
        <f>+[3]น้ำจำหน่าย!AD40/10^6</f>
        <v>9.9734000000000003E-2</v>
      </c>
      <c r="V78" s="389">
        <f>+[3]น้ำจำหน่าย!AE40/10^6</f>
        <v>0.108333</v>
      </c>
      <c r="W78" s="389">
        <f>+[3]น้ำจำหน่าย!AF40/10^6</f>
        <v>0.103695</v>
      </c>
      <c r="X78" s="389">
        <f>+[3]น้ำจำหน่าย!AG40/10^6</f>
        <v>0.10038</v>
      </c>
      <c r="Y78" s="389">
        <f>+[3]น้ำจำหน่าย!AH40/10^6</f>
        <v>0.11253100000000001</v>
      </c>
      <c r="Z78" s="389">
        <f>+[3]น้ำจำหน่าย!AI40/10^6</f>
        <v>0.121465</v>
      </c>
      <c r="AA78" s="389">
        <f>+[3]น้ำจำหน่าย!AJ40/10^6</f>
        <v>0.11851</v>
      </c>
      <c r="AB78" s="389">
        <f>+[3]น้ำจำหน่าย!AK40/10^6</f>
        <v>0.114666</v>
      </c>
      <c r="AC78" s="389">
        <f>+[3]น้ำจำหน่าย!AL40/10^6</f>
        <v>0.112855</v>
      </c>
      <c r="AD78" s="389">
        <f>+[3]น้ำจำหน่าย!AM40/10^6</f>
        <v>0.110099</v>
      </c>
      <c r="AE78" s="380">
        <f t="shared" si="11"/>
        <v>1.3089200000000001</v>
      </c>
      <c r="AF78" s="390">
        <f>+[3]น้ำจำหน่าย!AO40/10^6</f>
        <v>1.3089200000000001</v>
      </c>
      <c r="AG78" s="242">
        <v>1009</v>
      </c>
      <c r="AH78" s="243" t="s">
        <v>48</v>
      </c>
      <c r="AI78" s="391">
        <f>+[4]ต.ค.58!$L$28/10^6</f>
        <v>9.8058999999999993E-2</v>
      </c>
      <c r="AJ78" s="391">
        <f>+[4]พ.ย.58!$L$28/10^6</f>
        <v>0.101256</v>
      </c>
      <c r="AK78" s="391">
        <f>+[4]ธ.ค.58!$L$28/10^6</f>
        <v>9.5196000000000003E-2</v>
      </c>
      <c r="AL78" s="391">
        <f>+[4]ม.ค.59!$L$28/10^6</f>
        <v>9.6860500000000002E-2</v>
      </c>
      <c r="AM78" s="391">
        <f>+[4]ก.พ.59!$L$28/10^6</f>
        <v>9.6929500000000002E-2</v>
      </c>
      <c r="AN78" s="391">
        <f>+[4]มี.ค.59!$L$28/10^6</f>
        <v>9.4788999999999998E-2</v>
      </c>
      <c r="AO78" s="391">
        <f>+[4]เม.ย.59!$L$28/10^6</f>
        <v>0.10814699999999999</v>
      </c>
      <c r="AP78" s="391">
        <f>+[4]พ.ค.59!$L$28/10^6</f>
        <v>0.120937</v>
      </c>
      <c r="AQ78" s="391">
        <f>+[4]มิ.ย.59!$L$28/10^6</f>
        <v>0.110537</v>
      </c>
      <c r="AR78" s="391">
        <f>+[4]ก.ค.59!$L$28/10^6</f>
        <v>0.104839</v>
      </c>
      <c r="AS78" s="391">
        <f>+[4]ส.ค.59!$L$28/10^6</f>
        <v>0.10111199999999999</v>
      </c>
      <c r="AT78" s="391">
        <f>+[4]ก.ย.59!$L$28/10^6</f>
        <v>0.104361</v>
      </c>
      <c r="AU78" s="382">
        <f t="shared" si="12"/>
        <v>1.233023</v>
      </c>
    </row>
    <row r="79" spans="1:47" s="392" customFormat="1" x14ac:dyDescent="0.2">
      <c r="A79" s="383">
        <v>1010</v>
      </c>
      <c r="B79" s="384" t="s">
        <v>49</v>
      </c>
      <c r="C79" s="385">
        <f>+[2]ต.ค.59!$M$30/10^6</f>
        <v>0.124324</v>
      </c>
      <c r="D79" s="385">
        <f>+[2]พ.ย.59!$M$30/10^6</f>
        <v>0.13219</v>
      </c>
      <c r="E79" s="385">
        <f>+[2]ธ.ค.59!$M$30/10^6</f>
        <v>0.129694</v>
      </c>
      <c r="F79" s="385">
        <f>+[2]ม.ค.60!$M$30/10^6</f>
        <v>0.13628999999999999</v>
      </c>
      <c r="G79" s="385">
        <f>+[2]ก.พ.60!$M$30/10^6</f>
        <v>0.130992</v>
      </c>
      <c r="H79" s="385">
        <f>+[2]มี.ค.60!$M$30/10^6</f>
        <v>0.13189400000000001</v>
      </c>
      <c r="I79" s="385">
        <f>+[2]เม.ย.60!$M$30/10^6</f>
        <v>0.158301</v>
      </c>
      <c r="J79" s="385">
        <f>+[2]พ.ค.60!$M$30/10^6</f>
        <v>0.14590900000000001</v>
      </c>
      <c r="K79" s="385">
        <f>+[2]มิ.ย.60!$M$30/10^6</f>
        <v>0.14452699999999999</v>
      </c>
      <c r="L79" s="385">
        <f>+[2]ก.ค.60!$M$30/10^6</f>
        <v>0.13176599999999999</v>
      </c>
      <c r="M79" s="385">
        <f>+[2]ส.ค.60!$M$30/10^6</f>
        <v>0.134133</v>
      </c>
      <c r="N79" s="385">
        <f>+[2]ก.ย.60!$M$30/10^6</f>
        <v>0.141096</v>
      </c>
      <c r="O79" s="378">
        <f t="shared" si="10"/>
        <v>1.6411160000000002</v>
      </c>
      <c r="P79" s="386"/>
      <c r="Q79" s="387">
        <v>1010</v>
      </c>
      <c r="R79" s="388" t="s">
        <v>49</v>
      </c>
      <c r="S79" s="389">
        <f>+[3]น้ำจำหน่าย!AB41/10^6</f>
        <v>0.13873199999999999</v>
      </c>
      <c r="T79" s="389">
        <f>+[3]น้ำจำหน่าย!AC41/10^6</f>
        <v>0.14119799999999999</v>
      </c>
      <c r="U79" s="389">
        <f>+[3]น้ำจำหน่าย!AD41/10^6</f>
        <v>0.13215499999999999</v>
      </c>
      <c r="V79" s="389">
        <f>+[3]น้ำจำหน่าย!AE41/10^6</f>
        <v>0.14472099999999999</v>
      </c>
      <c r="W79" s="389">
        <f>+[3]น้ำจำหน่าย!AF41/10^6</f>
        <v>0.14008899999999999</v>
      </c>
      <c r="X79" s="389">
        <f>+[3]น้ำจำหน่าย!AG41/10^6</f>
        <v>0.135962</v>
      </c>
      <c r="Y79" s="389">
        <f>+[3]น้ำจำหน่าย!AH41/10^6</f>
        <v>0.157583</v>
      </c>
      <c r="Z79" s="389">
        <f>+[3]น้ำจำหน่าย!AI41/10^6</f>
        <v>0.167437</v>
      </c>
      <c r="AA79" s="389">
        <f>+[3]น้ำจำหน่าย!AJ41/10^6</f>
        <v>0.15882299999999999</v>
      </c>
      <c r="AB79" s="389">
        <f>+[3]น้ำจำหน่าย!AK41/10^6</f>
        <v>0.13993</v>
      </c>
      <c r="AC79" s="389">
        <f>+[3]น้ำจำหน่าย!AL41/10^6</f>
        <v>0.138462</v>
      </c>
      <c r="AD79" s="389">
        <f>+[3]น้ำจำหน่าย!AM41/10^6</f>
        <v>0.13896800000000001</v>
      </c>
      <c r="AE79" s="380">
        <f t="shared" si="11"/>
        <v>1.7340600000000002</v>
      </c>
      <c r="AF79" s="390">
        <f>+[3]น้ำจำหน่าย!AO41/10^6</f>
        <v>1.7340599999999999</v>
      </c>
      <c r="AG79" s="242">
        <v>1010</v>
      </c>
      <c r="AH79" s="243" t="s">
        <v>49</v>
      </c>
      <c r="AI79" s="391">
        <f>+[4]ต.ค.58!$M$28/10^6</f>
        <v>0.129799</v>
      </c>
      <c r="AJ79" s="391">
        <f>+[4]พ.ย.58!$M$28/10^6</f>
        <v>0.13081899999999999</v>
      </c>
      <c r="AK79" s="391">
        <f>+[4]ธ.ค.58!$M$28/10^6</f>
        <v>0.13022900000000001</v>
      </c>
      <c r="AL79" s="391">
        <f>+[4]ม.ค.59!$M$28/10^6</f>
        <v>0.13394700000000001</v>
      </c>
      <c r="AM79" s="391">
        <f>+[4]ก.พ.59!$M$28/10^6</f>
        <v>0.13251199999999999</v>
      </c>
      <c r="AN79" s="391">
        <f>+[4]มี.ค.59!$M$28/10^6</f>
        <v>0.132109</v>
      </c>
      <c r="AO79" s="391">
        <f>+[4]เม.ย.59!$M$28/10^6</f>
        <v>0.15196899999999999</v>
      </c>
      <c r="AP79" s="391">
        <f>+[4]พ.ค.59!$M$28/10^6</f>
        <v>0.165716</v>
      </c>
      <c r="AQ79" s="391">
        <f>+[4]มิ.ย.59!$M$28/10^6</f>
        <v>0.153169</v>
      </c>
      <c r="AR79" s="391">
        <f>+[4]ก.ค.59!$M$28/10^6</f>
        <v>0.12987099999999999</v>
      </c>
      <c r="AS79" s="391">
        <f>+[4]ส.ค.59!$M$28/10^6</f>
        <v>0.13083</v>
      </c>
      <c r="AT79" s="391">
        <f>+[4]ก.ย.59!$M$28/10^6</f>
        <v>0.12870899999999999</v>
      </c>
      <c r="AU79" s="382">
        <f t="shared" si="12"/>
        <v>1.6496790000000001</v>
      </c>
    </row>
    <row r="80" spans="1:47" s="392" customFormat="1" x14ac:dyDescent="0.2">
      <c r="A80" s="383">
        <v>1011</v>
      </c>
      <c r="B80" s="384" t="s">
        <v>50</v>
      </c>
      <c r="C80" s="385">
        <f>+[2]ต.ค.59!$N$30/10^6</f>
        <v>8.2790000000000002E-2</v>
      </c>
      <c r="D80" s="385">
        <f>+[2]พ.ย.59!$N$30/10^6</f>
        <v>8.5692000000000004E-2</v>
      </c>
      <c r="E80" s="385">
        <f>+[2]ธ.ค.59!$N$30/10^6</f>
        <v>8.6360999999999993E-2</v>
      </c>
      <c r="F80" s="385">
        <f>+[2]ม.ค.60!$N$30/10^6</f>
        <v>8.9906E-2</v>
      </c>
      <c r="G80" s="385">
        <f>+[2]ก.พ.60!$N$30/10^6</f>
        <v>9.0666999999999998E-2</v>
      </c>
      <c r="H80" s="385">
        <f>+[2]มี.ค.60!$N$30/10^6</f>
        <v>8.7433999999999998E-2</v>
      </c>
      <c r="I80" s="385">
        <f>+[2]เม.ย.60!$N$30/10^6</f>
        <v>0.10587000000000001</v>
      </c>
      <c r="J80" s="385">
        <f>+[2]พ.ค.60!$N$30/10^6</f>
        <v>0.105934</v>
      </c>
      <c r="K80" s="385">
        <f>+[2]มิ.ย.60!$N$30/10^6</f>
        <v>9.9876999999999994E-2</v>
      </c>
      <c r="L80" s="385">
        <f>+[2]ก.ค.60!$N$30/10^6</f>
        <v>8.6009000000000002E-2</v>
      </c>
      <c r="M80" s="385">
        <f>+[2]ส.ค.60!$N$30/10^6</f>
        <v>9.0620999999999993E-2</v>
      </c>
      <c r="N80" s="385">
        <f>+[2]ก.ย.60!$N$30/10^6</f>
        <v>8.8104000000000002E-2</v>
      </c>
      <c r="O80" s="378">
        <f t="shared" si="10"/>
        <v>1.0992649999999999</v>
      </c>
      <c r="P80" s="386"/>
      <c r="Q80" s="387">
        <v>1011</v>
      </c>
      <c r="R80" s="388" t="s">
        <v>50</v>
      </c>
      <c r="S80" s="389">
        <f>+[3]น้ำจำหน่าย!AB42/10^6</f>
        <v>8.3546999999999996E-2</v>
      </c>
      <c r="T80" s="389">
        <f>+[3]น้ำจำหน่าย!AC42/10^6</f>
        <v>8.7759000000000004E-2</v>
      </c>
      <c r="U80" s="389">
        <f>+[3]น้ำจำหน่าย!AD42/10^6</f>
        <v>8.4616999999999998E-2</v>
      </c>
      <c r="V80" s="389">
        <f>+[3]น้ำจำหน่าย!AE42/10^6</f>
        <v>8.5347000000000006E-2</v>
      </c>
      <c r="W80" s="389">
        <f>+[3]น้ำจำหน่าย!AF42/10^6</f>
        <v>8.5128999999999996E-2</v>
      </c>
      <c r="X80" s="389">
        <f>+[3]น้ำจำหน่าย!AG42/10^6</f>
        <v>8.5389999999999994E-2</v>
      </c>
      <c r="Y80" s="389">
        <f>+[3]น้ำจำหน่าย!AH42/10^6</f>
        <v>0.10113900000000001</v>
      </c>
      <c r="Z80" s="389">
        <f>+[3]น้ำจำหน่าย!AI42/10^6</f>
        <v>0.11154500000000001</v>
      </c>
      <c r="AA80" s="389">
        <f>+[3]น้ำจำหน่าย!AJ42/10^6</f>
        <v>0.103534</v>
      </c>
      <c r="AB80" s="389">
        <f>+[3]น้ำจำหน่าย!AK42/10^6</f>
        <v>9.0684000000000001E-2</v>
      </c>
      <c r="AC80" s="389">
        <f>+[3]น้ำจำหน่าย!AL42/10^6</f>
        <v>8.7586999999999998E-2</v>
      </c>
      <c r="AD80" s="389">
        <f>+[3]น้ำจำหน่าย!AM42/10^6</f>
        <v>8.6490999999999998E-2</v>
      </c>
      <c r="AE80" s="380">
        <f t="shared" si="11"/>
        <v>1.0927690000000001</v>
      </c>
      <c r="AF80" s="390">
        <f>+[3]น้ำจำหน่าย!AO42/10^6</f>
        <v>1.09277</v>
      </c>
      <c r="AG80" s="242">
        <v>1011</v>
      </c>
      <c r="AH80" s="243" t="s">
        <v>50</v>
      </c>
      <c r="AI80" s="391">
        <f>+[4]ต.ค.58!$N$28/10^6</f>
        <v>8.3058000000000007E-2</v>
      </c>
      <c r="AJ80" s="391">
        <f>+[4]พ.ย.58!$N$28/10^6</f>
        <v>8.5696999999999995E-2</v>
      </c>
      <c r="AK80" s="391">
        <f>+[4]ธ.ค.58!$N$28/10^6</f>
        <v>8.7051000000000003E-2</v>
      </c>
      <c r="AL80" s="391">
        <f>+[4]ม.ค.59!$N$28/10^6</f>
        <v>8.6094000000000004E-2</v>
      </c>
      <c r="AM80" s="391">
        <f>+[4]ก.พ.59!$N$28/10^6</f>
        <v>8.3330000000000001E-2</v>
      </c>
      <c r="AN80" s="391">
        <f>+[4]มี.ค.59!$N$28/10^6</f>
        <v>8.5700999999999999E-2</v>
      </c>
      <c r="AO80" s="391">
        <f>+[4]เม.ย.59!$N$28/10^6</f>
        <v>0.10006900000000001</v>
      </c>
      <c r="AP80" s="391">
        <f>+[4]พ.ค.59!$N$28/10^6</f>
        <v>0.11809699999999999</v>
      </c>
      <c r="AQ80" s="391">
        <f>+[4]มิ.ย.59!$N$28/10^6</f>
        <v>0.103093</v>
      </c>
      <c r="AR80" s="391">
        <f>+[4]ก.ค.59!$N$28/10^6</f>
        <v>9.0393000000000001E-2</v>
      </c>
      <c r="AS80" s="391">
        <f>+[4]ส.ค.59!$N$28/10^6</f>
        <v>8.6309999999999998E-2</v>
      </c>
      <c r="AT80" s="391">
        <f>+[4]ก.ย.59!$N$28/10^6</f>
        <v>8.1112000000000004E-2</v>
      </c>
      <c r="AU80" s="382">
        <f t="shared" si="12"/>
        <v>1.0900050000000001</v>
      </c>
    </row>
    <row r="81" spans="1:47" s="392" customFormat="1" x14ac:dyDescent="0.2">
      <c r="A81" s="383">
        <v>1012</v>
      </c>
      <c r="B81" s="384" t="s">
        <v>51</v>
      </c>
      <c r="C81" s="385">
        <f>+[2]ต.ค.59!$O$30/10^6</f>
        <v>0.26950800000000003</v>
      </c>
      <c r="D81" s="385">
        <f>+[2]พ.ย.59!$O$30/10^6</f>
        <v>0.26792199999999999</v>
      </c>
      <c r="E81" s="385">
        <f>+[2]ธ.ค.59!$O$30/10^6</f>
        <v>0.26750499999999999</v>
      </c>
      <c r="F81" s="385">
        <f>+[2]ม.ค.60!$O$30/10^6</f>
        <v>0.28560799999999997</v>
      </c>
      <c r="G81" s="385">
        <f>+[2]ก.พ.60!$O$30/10^6</f>
        <v>0.287831</v>
      </c>
      <c r="H81" s="385">
        <f>+[2]มี.ค.60!$O$30/10^6</f>
        <v>0.27431299999999997</v>
      </c>
      <c r="I81" s="385">
        <f>+[2]เม.ย.60!$O$30/10^6</f>
        <v>0.31587300000000001</v>
      </c>
      <c r="J81" s="385">
        <f>+[2]พ.ค.60!$O$30/10^6</f>
        <v>0.32407399999999997</v>
      </c>
      <c r="K81" s="385">
        <f>+[2]มิ.ย.60!$O$30/10^6</f>
        <v>0.29863899999999999</v>
      </c>
      <c r="L81" s="385">
        <f>+[2]ก.ค.60!$O$30/10^6</f>
        <v>0.28748899999999999</v>
      </c>
      <c r="M81" s="385">
        <f>+[2]ส.ค.60!$O$30/10^6</f>
        <v>0.29763299999999998</v>
      </c>
      <c r="N81" s="385">
        <f>+[2]ก.ย.60!$O$30/10^6</f>
        <v>0.29874200000000001</v>
      </c>
      <c r="O81" s="378">
        <f t="shared" si="10"/>
        <v>3.4751369999999997</v>
      </c>
      <c r="P81" s="386"/>
      <c r="Q81" s="387">
        <v>1012</v>
      </c>
      <c r="R81" s="388" t="s">
        <v>51</v>
      </c>
      <c r="S81" s="389">
        <f>+[3]น้ำจำหน่าย!AB43/10^6</f>
        <v>0.27740199999999998</v>
      </c>
      <c r="T81" s="389">
        <f>+[3]น้ำจำหน่าย!AC43/10^6</f>
        <v>0.28498600000000002</v>
      </c>
      <c r="U81" s="389">
        <f>+[3]น้ำจำหน่าย!AD43/10^6</f>
        <v>0.28166600000000003</v>
      </c>
      <c r="V81" s="389">
        <f>+[3]น้ำจำหน่าย!AE43/10^6</f>
        <v>0.27947</v>
      </c>
      <c r="W81" s="389">
        <f>+[3]น้ำจำหน่าย!AF43/10^6</f>
        <v>0.27507799999999999</v>
      </c>
      <c r="X81" s="389">
        <f>+[3]น้ำจำหน่าย!AG43/10^6</f>
        <v>0.27050200000000002</v>
      </c>
      <c r="Y81" s="389">
        <f>+[3]น้ำจำหน่าย!AH43/10^6</f>
        <v>0.30612299999999998</v>
      </c>
      <c r="Z81" s="389">
        <f>+[3]น้ำจำหน่าย!AI43/10^6</f>
        <v>0.34088400000000002</v>
      </c>
      <c r="AA81" s="389">
        <f>+[3]น้ำจำหน่าย!AJ43/10^6</f>
        <v>0.32481100000000002</v>
      </c>
      <c r="AB81" s="389">
        <f>+[3]น้ำจำหน่าย!AK43/10^6</f>
        <v>0.30913499999999999</v>
      </c>
      <c r="AC81" s="389">
        <f>+[3]น้ำจำหน่าย!AL43/10^6</f>
        <v>0.29838599999999998</v>
      </c>
      <c r="AD81" s="389">
        <f>+[3]น้ำจำหน่าย!AM43/10^6</f>
        <v>0.30554500000000001</v>
      </c>
      <c r="AE81" s="380">
        <f t="shared" si="11"/>
        <v>3.5539879999999999</v>
      </c>
      <c r="AF81" s="390">
        <f>+[3]น้ำจำหน่าย!AO43/10^6</f>
        <v>3.5539900000000002</v>
      </c>
      <c r="AG81" s="242">
        <v>1012</v>
      </c>
      <c r="AH81" s="243" t="s">
        <v>51</v>
      </c>
      <c r="AI81" s="391">
        <f>+[4]ต.ค.58!$O$28/10^6</f>
        <v>0.26220399999999999</v>
      </c>
      <c r="AJ81" s="391">
        <f>+[4]พ.ย.58!$O$28/10^6</f>
        <v>0.27053199999999999</v>
      </c>
      <c r="AK81" s="391">
        <f>+[4]ธ.ค.58!$O$28/10^6</f>
        <v>0.26494000000000001</v>
      </c>
      <c r="AL81" s="391">
        <f>+[4]ม.ค.59!$O$28/10^6</f>
        <v>0.26508100000000001</v>
      </c>
      <c r="AM81" s="391">
        <f>+[4]ก.พ.59!$O$28/10^6</f>
        <v>0.26327699999999998</v>
      </c>
      <c r="AN81" s="391">
        <f>+[4]มี.ค.59!$O$28/10^6</f>
        <v>0.25628699999999999</v>
      </c>
      <c r="AO81" s="391">
        <f>+[4]เม.ย.59!$O$28/10^6</f>
        <v>0.29874699999999998</v>
      </c>
      <c r="AP81" s="391">
        <f>+[4]พ.ค.59!$O$28/10^6</f>
        <v>0.33008599999999999</v>
      </c>
      <c r="AQ81" s="391">
        <f>+[4]มิ.ย.59!$O$28/10^6</f>
        <v>0.30914700000000001</v>
      </c>
      <c r="AR81" s="391">
        <f>+[4]ก.ค.59!$O$28/10^6</f>
        <v>0.284692</v>
      </c>
      <c r="AS81" s="391">
        <f>+[4]ส.ค.59!$O$28/10^6</f>
        <v>0.26987299999999997</v>
      </c>
      <c r="AT81" s="391">
        <f>+[4]ก.ย.59!$O$28/10^6</f>
        <v>0.28854400000000002</v>
      </c>
      <c r="AU81" s="382">
        <f t="shared" si="12"/>
        <v>3.36341</v>
      </c>
    </row>
    <row r="82" spans="1:47" s="392" customFormat="1" x14ac:dyDescent="0.2">
      <c r="A82" s="383">
        <v>1013</v>
      </c>
      <c r="B82" s="384" t="s">
        <v>52</v>
      </c>
      <c r="C82" s="385">
        <f>+[2]ต.ค.59!$P$30/10^6</f>
        <v>1.5394E-2</v>
      </c>
      <c r="D82" s="385">
        <f>+[2]พ.ย.59!$P$30/10^6</f>
        <v>1.5424999999999999E-2</v>
      </c>
      <c r="E82" s="385">
        <f>+[2]ธ.ค.59!$P$30/10^6</f>
        <v>1.4383999999999999E-2</v>
      </c>
      <c r="F82" s="385">
        <f>+[2]ม.ค.60!$P$30/10^6</f>
        <v>1.5949999999999999E-2</v>
      </c>
      <c r="G82" s="385">
        <f>+[2]ก.พ.60!$P$30/10^6</f>
        <v>1.5245E-2</v>
      </c>
      <c r="H82" s="385">
        <f>+[2]มี.ค.60!$P$30/10^6</f>
        <v>1.5461000000000001E-2</v>
      </c>
      <c r="I82" s="385">
        <f>+[2]เม.ย.60!$P$30/10^6</f>
        <v>2.1388999999999998E-2</v>
      </c>
      <c r="J82" s="385">
        <f>+[2]พ.ค.60!$P$30/10^6</f>
        <v>1.9012999999999999E-2</v>
      </c>
      <c r="K82" s="385">
        <f>+[2]มิ.ย.60!$P$30/10^6</f>
        <v>1.7194999999999998E-2</v>
      </c>
      <c r="L82" s="385">
        <f>+[2]ก.ค.60!$P$30/10^6</f>
        <v>1.6733000000000001E-2</v>
      </c>
      <c r="M82" s="385">
        <f>+[2]ส.ค.60!$P$30/10^6</f>
        <v>1.6348000000000001E-2</v>
      </c>
      <c r="N82" s="385">
        <f>+[2]ก.ย.60!$P$30/10^6</f>
        <v>1.6938999999999999E-2</v>
      </c>
      <c r="O82" s="378">
        <f t="shared" si="10"/>
        <v>0.19947599999999999</v>
      </c>
      <c r="P82" s="386"/>
      <c r="Q82" s="387">
        <v>1013</v>
      </c>
      <c r="R82" s="388" t="s">
        <v>52</v>
      </c>
      <c r="S82" s="389">
        <f>+[3]น้ำจำหน่าย!AB44/10^6</f>
        <v>1.3631000000000001E-2</v>
      </c>
      <c r="T82" s="389">
        <f>+[3]น้ำจำหน่าย!AC44/10^6</f>
        <v>1.5637000000000002E-2</v>
      </c>
      <c r="U82" s="389">
        <f>+[3]น้ำจำหน่าย!AD44/10^6</f>
        <v>1.4796999999999999E-2</v>
      </c>
      <c r="V82" s="389">
        <f>+[3]น้ำจำหน่าย!AE44/10^6</f>
        <v>1.5474E-2</v>
      </c>
      <c r="W82" s="389">
        <f>+[3]น้ำจำหน่าย!AF44/10^6</f>
        <v>1.4754E-2</v>
      </c>
      <c r="X82" s="389">
        <f>+[3]น้ำจำหน่าย!AG44/10^6</f>
        <v>1.5386E-2</v>
      </c>
      <c r="Y82" s="389">
        <f>+[3]น้ำจำหน่าย!AH44/10^6</f>
        <v>2.0004999999999998E-2</v>
      </c>
      <c r="Z82" s="389">
        <f>+[3]น้ำจำหน่าย!AI44/10^6</f>
        <v>1.9585000000000002E-2</v>
      </c>
      <c r="AA82" s="389">
        <f>+[3]น้ำจำหน่าย!AJ44/10^6</f>
        <v>1.9292E-2</v>
      </c>
      <c r="AB82" s="389">
        <f>+[3]น้ำจำหน่าย!AK44/10^6</f>
        <v>1.7606E-2</v>
      </c>
      <c r="AC82" s="389">
        <f>+[3]น้ำจำหน่าย!AL44/10^6</f>
        <v>1.6618999999999998E-2</v>
      </c>
      <c r="AD82" s="389">
        <f>+[3]น้ำจำหน่าย!AM44/10^6</f>
        <v>1.6653999999999999E-2</v>
      </c>
      <c r="AE82" s="380">
        <f t="shared" si="11"/>
        <v>0.19944000000000001</v>
      </c>
      <c r="AF82" s="390">
        <f>+[3]น้ำจำหน่าย!AO44/10^6</f>
        <v>0.19944000000000001</v>
      </c>
      <c r="AG82" s="242">
        <v>1013</v>
      </c>
      <c r="AH82" s="243" t="s">
        <v>52</v>
      </c>
      <c r="AI82" s="391">
        <f>+[4]ต.ค.58!$P$28/10^6</f>
        <v>1.332E-2</v>
      </c>
      <c r="AJ82" s="391">
        <f>+[4]พ.ย.58!$P$28/10^6</f>
        <v>1.3984999999999999E-2</v>
      </c>
      <c r="AK82" s="391">
        <f>+[4]ธ.ค.58!$P$28/10^6</f>
        <v>1.4978999999999999E-2</v>
      </c>
      <c r="AL82" s="391">
        <f>+[4]ม.ค.59!$P$28/10^6</f>
        <v>1.4609E-2</v>
      </c>
      <c r="AM82" s="391">
        <f>+[4]ก.พ.59!$P$28/10^6</f>
        <v>1.3882E-2</v>
      </c>
      <c r="AN82" s="391">
        <f>+[4]มี.ค.59!$P$28/10^6</f>
        <v>1.4596E-2</v>
      </c>
      <c r="AO82" s="391">
        <f>+[4]เม.ย.59!$P$28/10^6</f>
        <v>1.9675999999999999E-2</v>
      </c>
      <c r="AP82" s="391">
        <f>+[4]พ.ค.59!$P$28/10^6</f>
        <v>2.1694000000000001E-2</v>
      </c>
      <c r="AQ82" s="391">
        <f>+[4]มิ.ย.59!$P$28/10^6</f>
        <v>1.9997999999999998E-2</v>
      </c>
      <c r="AR82" s="391">
        <f>+[4]ก.ค.59!$P$28/10^6</f>
        <v>1.4822E-2</v>
      </c>
      <c r="AS82" s="391">
        <f>+[4]ส.ค.59!$P$28/10^6</f>
        <v>1.4978E-2</v>
      </c>
      <c r="AT82" s="391">
        <f>+[4]ก.ย.59!$P$28/10^6</f>
        <v>1.6389999999999998E-2</v>
      </c>
      <c r="AU82" s="382">
        <f t="shared" si="12"/>
        <v>0.19292899999999996</v>
      </c>
    </row>
    <row r="83" spans="1:47" s="392" customFormat="1" x14ac:dyDescent="0.2">
      <c r="A83" s="383">
        <v>1014</v>
      </c>
      <c r="B83" s="384" t="s">
        <v>53</v>
      </c>
      <c r="C83" s="385">
        <f>+[2]ต.ค.59!$Q$30/10^6</f>
        <v>0.67767200000000005</v>
      </c>
      <c r="D83" s="385">
        <f>+[2]พ.ย.59!$Q$30/10^6</f>
        <v>0.680149</v>
      </c>
      <c r="E83" s="385">
        <f>+[2]ธ.ค.59!$Q$30/10^6</f>
        <v>0.69690700000000005</v>
      </c>
      <c r="F83" s="385">
        <f>+[2]ม.ค.60!$Q$30/10^6</f>
        <v>0.72013099999999997</v>
      </c>
      <c r="G83" s="385">
        <f>+[2]ก.พ.60!$Q$30/10^6</f>
        <v>0.69596400000000003</v>
      </c>
      <c r="H83" s="385">
        <f>+[2]มี.ค.60!$Q$30/10^6</f>
        <v>0.68816900000000003</v>
      </c>
      <c r="I83" s="385">
        <f>+[2]เม.ย.60!$Q$30/10^6</f>
        <v>0.78644199999999997</v>
      </c>
      <c r="J83" s="385">
        <f>+[2]พ.ค.60!$Q$30/10^6</f>
        <v>0.77976699999999999</v>
      </c>
      <c r="K83" s="385">
        <f>+[2]มิ.ย.60!$Q$30/10^6</f>
        <v>0.74036100000000005</v>
      </c>
      <c r="L83" s="385">
        <f>+[2]ก.ค.60!$Q$30/10^6</f>
        <v>0.72070000000000001</v>
      </c>
      <c r="M83" s="385">
        <f>+[2]ส.ค.60!$Q$30/10^6</f>
        <v>0.71746399999999999</v>
      </c>
      <c r="N83" s="385">
        <f>+[2]ก.ย.60!$Q$30/10^6</f>
        <v>0.72929900000000003</v>
      </c>
      <c r="O83" s="378">
        <f t="shared" si="10"/>
        <v>8.6330249999999982</v>
      </c>
      <c r="P83" s="386"/>
      <c r="Q83" s="387">
        <v>1014</v>
      </c>
      <c r="R83" s="388" t="s">
        <v>53</v>
      </c>
      <c r="S83" s="389">
        <f>+[3]น้ำจำหน่าย!AB45/10^6</f>
        <v>0.71316599999999997</v>
      </c>
      <c r="T83" s="389">
        <f>+[3]น้ำจำหน่าย!AC45/10^6</f>
        <v>0.73428499999999997</v>
      </c>
      <c r="U83" s="389">
        <f>+[3]น้ำจำหน่าย!AD45/10^6</f>
        <v>0.72659300000000004</v>
      </c>
      <c r="V83" s="389">
        <f>+[3]น้ำจำหน่าย!AE45/10^6</f>
        <v>0.74768599999999996</v>
      </c>
      <c r="W83" s="389">
        <f>+[3]น้ำจำหน่าย!AF45/10^6</f>
        <v>0.71573900000000001</v>
      </c>
      <c r="X83" s="389">
        <f>+[3]น้ำจำหน่าย!AG45/10^6</f>
        <v>0.71716999999999997</v>
      </c>
      <c r="Y83" s="389">
        <f>+[3]น้ำจำหน่าย!AH45/10^6</f>
        <v>0.81791999999999998</v>
      </c>
      <c r="Z83" s="389">
        <f>+[3]น้ำจำหน่าย!AI45/10^6</f>
        <v>0.868645</v>
      </c>
      <c r="AA83" s="389">
        <f>+[3]น้ำจำหน่าย!AJ45/10^6</f>
        <v>0.81979500000000005</v>
      </c>
      <c r="AB83" s="389">
        <f>+[3]น้ำจำหน่าย!AK45/10^6</f>
        <v>0.78902399999999995</v>
      </c>
      <c r="AC83" s="389">
        <f>+[3]น้ำจำหน่าย!AL45/10^6</f>
        <v>0.73627299999999996</v>
      </c>
      <c r="AD83" s="389">
        <f>+[3]น้ำจำหน่าย!AM45/10^6</f>
        <v>0.76277499999999998</v>
      </c>
      <c r="AE83" s="380">
        <f t="shared" si="11"/>
        <v>9.1490710000000011</v>
      </c>
      <c r="AF83" s="390">
        <f>+[3]น้ำจำหน่าย!AO45/10^6</f>
        <v>9.14907</v>
      </c>
      <c r="AG83" s="242">
        <v>1014</v>
      </c>
      <c r="AH83" s="243" t="s">
        <v>53</v>
      </c>
      <c r="AI83" s="391">
        <f>+[4]ต.ค.58!$Q$28/10^6</f>
        <v>0.69975399999999999</v>
      </c>
      <c r="AJ83" s="391">
        <f>+[4]พ.ย.58!$Q$28/10^6</f>
        <v>0.71262400000000004</v>
      </c>
      <c r="AK83" s="391">
        <f>+[4]ธ.ค.58!$Q$28/10^6</f>
        <v>0.70006199999999996</v>
      </c>
      <c r="AL83" s="391">
        <f>+[4]ม.ค.59!$Q$28/10^6</f>
        <v>0.71237600000000001</v>
      </c>
      <c r="AM83" s="391">
        <f>+[4]ก.พ.59!$Q$28/10^6</f>
        <v>0.68908100000000005</v>
      </c>
      <c r="AN83" s="391">
        <f>+[4]มี.ค.59!$Q$28/10^6</f>
        <v>0.68293499999999996</v>
      </c>
      <c r="AO83" s="391">
        <f>+[4]เม.ย.59!$Q$28/10^6</f>
        <v>0.77704300000000004</v>
      </c>
      <c r="AP83" s="391">
        <f>+[4]พ.ค.59!$Q$28/10^6</f>
        <v>0.86404899999999996</v>
      </c>
      <c r="AQ83" s="391">
        <f>+[4]มิ.ย.59!$Q$28/10^6</f>
        <v>0.79314700000000005</v>
      </c>
      <c r="AR83" s="391">
        <f>+[4]ก.ค.59!$Q$28/10^6</f>
        <v>0.76474299999999995</v>
      </c>
      <c r="AS83" s="391">
        <f>+[4]ส.ค.59!$Q$28/10^6</f>
        <v>0.67755600000000005</v>
      </c>
      <c r="AT83" s="391">
        <f>+[4]ก.ย.59!$Q$28/10^6</f>
        <v>0.72971799999999998</v>
      </c>
      <c r="AU83" s="382">
        <f t="shared" si="12"/>
        <v>8.8030880000000007</v>
      </c>
    </row>
    <row r="84" spans="1:47" s="392" customFormat="1" x14ac:dyDescent="0.2">
      <c r="A84" s="383">
        <v>1015</v>
      </c>
      <c r="B84" s="384" t="s">
        <v>54</v>
      </c>
      <c r="C84" s="385">
        <f>+[2]ต.ค.59!$R$30/10^6</f>
        <v>8.2737600000000008E-2</v>
      </c>
      <c r="D84" s="385">
        <f>+[2]พ.ย.59!$R$30/10^6</f>
        <v>8.6150199999999996E-2</v>
      </c>
      <c r="E84" s="385">
        <f>+[2]ธ.ค.59!$R$30/10^6</f>
        <v>8.3412699999999992E-2</v>
      </c>
      <c r="F84" s="385">
        <f>+[2]ม.ค.60!$R$30/10^6</f>
        <v>9.0232000000000007E-2</v>
      </c>
      <c r="G84" s="385">
        <f>+[2]ก.พ.60!$R$30/10^6</f>
        <v>8.2901500000000003E-2</v>
      </c>
      <c r="H84" s="385">
        <f>+[2]มี.ค.60!$R$30/10^6</f>
        <v>8.51412E-2</v>
      </c>
      <c r="I84" s="385">
        <f>+[2]เม.ย.60!$R$30/10^6</f>
        <v>9.6033499999999994E-2</v>
      </c>
      <c r="J84" s="385">
        <f>+[2]พ.ค.60!$R$30/10^6</f>
        <v>0.10157389999999999</v>
      </c>
      <c r="K84" s="385">
        <f>+[2]มิ.ย.60!$R$30/10^6</f>
        <v>8.5647399999999999E-2</v>
      </c>
      <c r="L84" s="385">
        <f>+[2]ก.ค.60!$R$30/10^6</f>
        <v>8.8641300000000006E-2</v>
      </c>
      <c r="M84" s="385">
        <f>+[2]ส.ค.60!$R$30/10^6</f>
        <v>8.3092600000000003E-2</v>
      </c>
      <c r="N84" s="385">
        <f>+[2]ก.ย.60!$R$30/10^6</f>
        <v>8.8449699999999992E-2</v>
      </c>
      <c r="O84" s="378">
        <f t="shared" si="10"/>
        <v>1.0540136</v>
      </c>
      <c r="P84" s="386"/>
      <c r="Q84" s="387">
        <v>1015</v>
      </c>
      <c r="R84" s="388" t="s">
        <v>54</v>
      </c>
      <c r="S84" s="389">
        <f>+[3]น้ำจำหน่าย!AB46/10^6</f>
        <v>7.707E-2</v>
      </c>
      <c r="T84" s="389">
        <f>+[3]น้ำจำหน่าย!AC46/10^6</f>
        <v>8.0411999999999997E-2</v>
      </c>
      <c r="U84" s="389">
        <f>+[3]น้ำจำหน่าย!AD46/10^6</f>
        <v>7.8339000000000006E-2</v>
      </c>
      <c r="V84" s="389">
        <f>+[3]น้ำจำหน่าย!AE46/10^6</f>
        <v>8.4489999999999996E-2</v>
      </c>
      <c r="W84" s="389">
        <f>+[3]น้ำจำหน่าย!AF46/10^6</f>
        <v>7.8875000000000001E-2</v>
      </c>
      <c r="X84" s="389">
        <f>+[3]น้ำจำหน่าย!AG46/10^6</f>
        <v>7.8770000000000007E-2</v>
      </c>
      <c r="Y84" s="389">
        <f>+[3]น้ำจำหน่าย!AH46/10^6</f>
        <v>9.4892000000000004E-2</v>
      </c>
      <c r="Z84" s="389">
        <f>+[3]น้ำจำหน่าย!AI46/10^6</f>
        <v>0.10477</v>
      </c>
      <c r="AA84" s="389">
        <f>+[3]น้ำจำหน่าย!AJ46/10^6</f>
        <v>9.1314999999999993E-2</v>
      </c>
      <c r="AB84" s="389">
        <f>+[3]น้ำจำหน่าย!AK46/10^6</f>
        <v>8.6608000000000004E-2</v>
      </c>
      <c r="AC84" s="389">
        <f>+[3]น้ำจำหน่าย!AL46/10^6</f>
        <v>8.3104999999999998E-2</v>
      </c>
      <c r="AD84" s="389">
        <f>+[3]น้ำจำหน่าย!AM46/10^6</f>
        <v>8.4763000000000005E-2</v>
      </c>
      <c r="AE84" s="380">
        <f t="shared" si="11"/>
        <v>1.023409</v>
      </c>
      <c r="AF84" s="390">
        <f>+[3]น้ำจำหน่าย!AO46/10^6</f>
        <v>1.0234099999999999</v>
      </c>
      <c r="AG84" s="242">
        <v>1015</v>
      </c>
      <c r="AH84" s="243" t="s">
        <v>54</v>
      </c>
      <c r="AI84" s="391">
        <f>+[4]ต.ค.58!$R$28/10^6</f>
        <v>7.6564999999999994E-2</v>
      </c>
      <c r="AJ84" s="391">
        <f>+[4]พ.ย.58!$R$28/10^6</f>
        <v>8.1775E-2</v>
      </c>
      <c r="AK84" s="391">
        <f>+[4]ธ.ค.58!$R$28/10^6</f>
        <v>8.1583000000000003E-2</v>
      </c>
      <c r="AL84" s="391">
        <f>+[4]ม.ค.59!$R$28/10^6</f>
        <v>8.3429000000000003E-2</v>
      </c>
      <c r="AM84" s="391">
        <f>+[4]ก.พ.59!$R$28/10^6</f>
        <v>7.7948400000000001E-2</v>
      </c>
      <c r="AN84" s="391">
        <f>+[4]มี.ค.59!$R$28/10^6</f>
        <v>7.97239E-2</v>
      </c>
      <c r="AO84" s="391">
        <f>+[4]เม.ย.59!$R$28/10^6</f>
        <v>9.5738399999999987E-2</v>
      </c>
      <c r="AP84" s="391">
        <f>+[4]พ.ค.59!$R$28/10^6</f>
        <v>0.114638</v>
      </c>
      <c r="AQ84" s="391">
        <f>+[4]มิ.ย.59!$R$28/10^6</f>
        <v>9.5234800000000008E-2</v>
      </c>
      <c r="AR84" s="391">
        <f>+[4]ก.ค.59!$R$28/10^6</f>
        <v>8.8342100000000007E-2</v>
      </c>
      <c r="AS84" s="391">
        <f>+[4]ส.ค.59!$R$28/10^6</f>
        <v>8.3597899999999989E-2</v>
      </c>
      <c r="AT84" s="391">
        <f>+[4]ก.ย.59!$R$28/10^6</f>
        <v>8.2579E-2</v>
      </c>
      <c r="AU84" s="382">
        <f t="shared" si="12"/>
        <v>1.0411545</v>
      </c>
    </row>
    <row r="85" spans="1:47" s="392" customFormat="1" x14ac:dyDescent="0.2">
      <c r="A85" s="383">
        <v>1016</v>
      </c>
      <c r="B85" s="384" t="s">
        <v>55</v>
      </c>
      <c r="C85" s="385">
        <f>+[2]ต.ค.59!$S$30/10^6</f>
        <v>0.10399589999999999</v>
      </c>
      <c r="D85" s="385">
        <f>+[2]พ.ย.59!$S$30/10^6</f>
        <v>0.10721839999999999</v>
      </c>
      <c r="E85" s="385">
        <f>+[2]ธ.ค.59!$S$30/10^6</f>
        <v>0.10436089999999999</v>
      </c>
      <c r="F85" s="385">
        <f>+[2]ม.ค.60!$S$30/10^6</f>
        <v>0.11925387</v>
      </c>
      <c r="G85" s="385">
        <f>+[2]ก.พ.60!$S$30/10^6</f>
        <v>0.11138192999999999</v>
      </c>
      <c r="H85" s="385">
        <f>+[2]มี.ค.60!$S$30/10^6</f>
        <v>0.11526657000000001</v>
      </c>
      <c r="I85" s="385">
        <f>+[2]เม.ย.60!$S$30/10^6</f>
        <v>0.13420542999999999</v>
      </c>
      <c r="J85" s="385">
        <f>+[2]พ.ค.60!$S$30/10^6</f>
        <v>0.1396075</v>
      </c>
      <c r="K85" s="385">
        <f>+[2]มิ.ย.60!$S$30/10^6</f>
        <v>0.115657</v>
      </c>
      <c r="L85" s="385">
        <f>+[2]ก.ค.60!$S$30/10^6</f>
        <v>0.10812099999999999</v>
      </c>
      <c r="M85" s="385">
        <f>+[2]ส.ค.60!$S$30/10^6</f>
        <v>0.11208750000000001</v>
      </c>
      <c r="N85" s="385">
        <f>+[2]ก.ย.60!$S$30/10^6</f>
        <v>0.1100988</v>
      </c>
      <c r="O85" s="378">
        <f t="shared" si="10"/>
        <v>1.3812548</v>
      </c>
      <c r="P85" s="386"/>
      <c r="Q85" s="387">
        <v>1016</v>
      </c>
      <c r="R85" s="388" t="s">
        <v>55</v>
      </c>
      <c r="S85" s="389">
        <f>+[3]น้ำจำหน่าย!AB47/10^6</f>
        <v>0.105</v>
      </c>
      <c r="T85" s="389">
        <f>+[3]น้ำจำหน่าย!AC47/10^6</f>
        <v>0.111432</v>
      </c>
      <c r="U85" s="389">
        <f>+[3]น้ำจำหน่าย!AD47/10^6</f>
        <v>0.110162</v>
      </c>
      <c r="V85" s="389">
        <f>+[3]น้ำจำหน่าย!AE47/10^6</f>
        <v>0.115842</v>
      </c>
      <c r="W85" s="389">
        <f>+[3]น้ำจำหน่าย!AF47/10^6</f>
        <v>0.112168</v>
      </c>
      <c r="X85" s="389">
        <f>+[3]น้ำจำหน่าย!AG47/10^6</f>
        <v>0.115052</v>
      </c>
      <c r="Y85" s="389">
        <f>+[3]น้ำจำหน่าย!AH47/10^6</f>
        <v>0.136071</v>
      </c>
      <c r="Z85" s="389">
        <f>+[3]น้ำจำหน่าย!AI47/10^6</f>
        <v>0.147258</v>
      </c>
      <c r="AA85" s="389">
        <f>+[3]น้ำจำหน่าย!AJ47/10^6</f>
        <v>0.12889700000000001</v>
      </c>
      <c r="AB85" s="389">
        <f>+[3]น้ำจำหน่าย!AK47/10^6</f>
        <v>0.117244</v>
      </c>
      <c r="AC85" s="389">
        <f>+[3]น้ำจำหน่าย!AL47/10^6</f>
        <v>0.11779000000000001</v>
      </c>
      <c r="AD85" s="389">
        <f>+[3]น้ำจำหน่าย!AM47/10^6</f>
        <v>0.115413</v>
      </c>
      <c r="AE85" s="380">
        <f t="shared" si="11"/>
        <v>1.432329</v>
      </c>
      <c r="AF85" s="390">
        <f>+[3]น้ำจำหน่าย!AO47/10^6</f>
        <v>1.4323300000000001</v>
      </c>
      <c r="AG85" s="242">
        <v>1016</v>
      </c>
      <c r="AH85" s="243" t="s">
        <v>55</v>
      </c>
      <c r="AI85" s="391">
        <f>+[4]ต.ค.58!$S$28/10^6</f>
        <v>0.101004</v>
      </c>
      <c r="AJ85" s="391">
        <f>+[4]พ.ย.58!$S$28/10^6</f>
        <v>0.107686</v>
      </c>
      <c r="AK85" s="391">
        <f>+[4]ธ.ค.58!$S$28/10^6</f>
        <v>0.110127</v>
      </c>
      <c r="AL85" s="391">
        <f>+[4]ม.ค.59!$S$28/10^6</f>
        <v>0.11328344</v>
      </c>
      <c r="AM85" s="391">
        <f>+[4]ก.พ.59!$S$28/10^6</f>
        <v>0.10890464</v>
      </c>
      <c r="AN85" s="391">
        <f>+[4]มี.ค.59!$S$28/10^6</f>
        <v>0.1115727</v>
      </c>
      <c r="AO85" s="391">
        <f>+[4]เม.ย.59!$S$28/10^6</f>
        <v>0.13408010000000001</v>
      </c>
      <c r="AP85" s="391">
        <f>+[4]พ.ค.59!$S$28/10^6</f>
        <v>0.15307489999999999</v>
      </c>
      <c r="AQ85" s="391">
        <f>+[4]มิ.ย.59!$S$28/10^6</f>
        <v>0.12476619999999999</v>
      </c>
      <c r="AR85" s="391">
        <f>+[4]ก.ค.59!$S$28/10^6</f>
        <v>0.1071791</v>
      </c>
      <c r="AS85" s="391">
        <f>+[4]ส.ค.59!$S$28/10^6</f>
        <v>0.1086806</v>
      </c>
      <c r="AT85" s="391">
        <f>+[4]ก.ย.59!$S$28/10^6</f>
        <v>0.1081503</v>
      </c>
      <c r="AU85" s="382">
        <f t="shared" si="12"/>
        <v>1.3885089799999999</v>
      </c>
    </row>
    <row r="86" spans="1:47" s="392" customFormat="1" x14ac:dyDescent="0.2">
      <c r="A86" s="383">
        <v>1017</v>
      </c>
      <c r="B86" s="384" t="s">
        <v>56</v>
      </c>
      <c r="C86" s="385">
        <f>+[2]ต.ค.59!$T$30/10^6</f>
        <v>0.19789499999999999</v>
      </c>
      <c r="D86" s="385">
        <f>+[2]พ.ย.59!$T$30/10^6</f>
        <v>0.20990600000000001</v>
      </c>
      <c r="E86" s="385">
        <f>+[2]ธ.ค.59!$T$30/10^6</f>
        <v>0.205704</v>
      </c>
      <c r="F86" s="385">
        <f>+[2]ม.ค.60!$T$30/10^6</f>
        <v>0.212449</v>
      </c>
      <c r="G86" s="385">
        <f>+[2]ก.พ.60!$T$30/10^6</f>
        <v>0.20675399999999999</v>
      </c>
      <c r="H86" s="385">
        <f>+[2]มี.ค.60!$T$30/10^6</f>
        <v>0.19666</v>
      </c>
      <c r="I86" s="385">
        <f>+[2]เม.ย.60!$T$30/10^6</f>
        <v>0.233102</v>
      </c>
      <c r="J86" s="385">
        <f>+[2]พ.ค.60!$T$30/10^6</f>
        <v>0.22784299999999999</v>
      </c>
      <c r="K86" s="385">
        <f>+[2]มิ.ย.60!$T$30/10^6</f>
        <v>0.223303</v>
      </c>
      <c r="L86" s="385">
        <f>+[2]ก.ค.60!$T$30/10^6</f>
        <v>0.210509</v>
      </c>
      <c r="M86" s="385">
        <f>+[2]ส.ค.60!$T$30/10^6</f>
        <v>0.21188699999999999</v>
      </c>
      <c r="N86" s="385">
        <f>+[2]ก.ย.60!$T$30/10^6</f>
        <v>0.21010699999999999</v>
      </c>
      <c r="O86" s="378">
        <f t="shared" si="10"/>
        <v>2.5461189999999996</v>
      </c>
      <c r="P86" s="386"/>
      <c r="Q86" s="387">
        <v>1017</v>
      </c>
      <c r="R86" s="388" t="s">
        <v>56</v>
      </c>
      <c r="S86" s="389">
        <f>+[3]น้ำจำหน่าย!AB48/10^6</f>
        <v>0.212286</v>
      </c>
      <c r="T86" s="389">
        <f>+[3]น้ำจำหน่าย!AC48/10^6</f>
        <v>0.21598800000000001</v>
      </c>
      <c r="U86" s="389">
        <f>+[3]น้ำจำหน่าย!AD48/10^6</f>
        <v>0.21699099999999999</v>
      </c>
      <c r="V86" s="389">
        <f>+[3]น้ำจำหน่าย!AE48/10^6</f>
        <v>0.21912799999999999</v>
      </c>
      <c r="W86" s="389">
        <f>+[3]น้ำจำหน่าย!AF48/10^6</f>
        <v>0.212723</v>
      </c>
      <c r="X86" s="389">
        <f>+[3]น้ำจำหน่าย!AG48/10^6</f>
        <v>0.20833499999999999</v>
      </c>
      <c r="Y86" s="389">
        <f>+[3]น้ำจำหน่าย!AH48/10^6</f>
        <v>0.24496100000000001</v>
      </c>
      <c r="Z86" s="389">
        <f>+[3]น้ำจำหน่าย!AI48/10^6</f>
        <v>0.25323800000000002</v>
      </c>
      <c r="AA86" s="389">
        <f>+[3]น้ำจำหน่าย!AJ48/10^6</f>
        <v>0.24010300000000001</v>
      </c>
      <c r="AB86" s="389">
        <f>+[3]น้ำจำหน่าย!AK48/10^6</f>
        <v>0.23058000000000001</v>
      </c>
      <c r="AC86" s="389">
        <f>+[3]น้ำจำหน่าย!AL48/10^6</f>
        <v>0.21881100000000001</v>
      </c>
      <c r="AD86" s="389">
        <f>+[3]น้ำจำหน่าย!AM48/10^6</f>
        <v>0.22004499999999999</v>
      </c>
      <c r="AE86" s="380">
        <f t="shared" si="11"/>
        <v>2.6931889999999998</v>
      </c>
      <c r="AF86" s="390">
        <f>+[3]น้ำจำหน่าย!AO48/10^6</f>
        <v>2.69319</v>
      </c>
      <c r="AG86" s="242">
        <v>1017</v>
      </c>
      <c r="AH86" s="243" t="s">
        <v>56</v>
      </c>
      <c r="AI86" s="391">
        <f>+[4]ต.ค.58!$T$28/10^6</f>
        <v>0.20672599999999999</v>
      </c>
      <c r="AJ86" s="391">
        <f>+[4]พ.ย.58!$T$28/10^6</f>
        <v>0.20537900000000001</v>
      </c>
      <c r="AK86" s="391">
        <f>+[4]ธ.ค.58!$T$28/10^6</f>
        <v>0.211785</v>
      </c>
      <c r="AL86" s="391">
        <f>+[4]ม.ค.59!$T$28/10^6</f>
        <v>0.209063</v>
      </c>
      <c r="AM86" s="391">
        <f>+[4]ก.พ.59!$T$28/10^6</f>
        <v>0.20708099999999999</v>
      </c>
      <c r="AN86" s="391">
        <f>+[4]มี.ค.59!$T$28/10^6</f>
        <v>0.20127500000000001</v>
      </c>
      <c r="AO86" s="391">
        <f>+[4]เม.ย.59!$T$28/10^6</f>
        <v>0.239866</v>
      </c>
      <c r="AP86" s="391">
        <f>+[4]พ.ค.59!$T$28/10^6</f>
        <v>0.25448399999999999</v>
      </c>
      <c r="AQ86" s="391">
        <f>+[4]มิ.ย.59!$T$28/10^6</f>
        <v>0.23438899999999999</v>
      </c>
      <c r="AR86" s="391">
        <f>+[4]ก.ค.59!$T$28/10^6</f>
        <v>0.221612</v>
      </c>
      <c r="AS86" s="391">
        <f>+[4]ส.ค.59!$T$28/10^6</f>
        <v>0.199601</v>
      </c>
      <c r="AT86" s="391">
        <f>+[4]ก.ย.59!$T$28/10^6</f>
        <v>0.210261</v>
      </c>
      <c r="AU86" s="382">
        <f t="shared" si="12"/>
        <v>2.6015220000000001</v>
      </c>
    </row>
    <row r="87" spans="1:47" s="392" customFormat="1" x14ac:dyDescent="0.2">
      <c r="A87" s="383">
        <v>1018</v>
      </c>
      <c r="B87" s="384" t="s">
        <v>57</v>
      </c>
      <c r="C87" s="385">
        <f>+[2]ต.ค.59!$U$30/10^6</f>
        <v>8.7942000000000006E-2</v>
      </c>
      <c r="D87" s="385">
        <f>+[2]พ.ย.59!$U$30/10^6</f>
        <v>8.7984999999999994E-2</v>
      </c>
      <c r="E87" s="385">
        <f>+[2]ธ.ค.59!$U$30/10^6</f>
        <v>8.9039999999999994E-2</v>
      </c>
      <c r="F87" s="385">
        <f>+[2]ม.ค.60!$U$30/10^6</f>
        <v>9.3789999999999998E-2</v>
      </c>
      <c r="G87" s="385">
        <f>+[2]ก.พ.60!$U$30/10^6</f>
        <v>8.5854E-2</v>
      </c>
      <c r="H87" s="385">
        <f>+[2]มี.ค.60!$U$30/10^6</f>
        <v>8.8598999999999997E-2</v>
      </c>
      <c r="I87" s="385">
        <f>+[2]เม.ย.60!$U$30/10^6</f>
        <v>0.108864</v>
      </c>
      <c r="J87" s="385">
        <f>+[2]พ.ค.60!$U$30/10^6</f>
        <v>0.105974</v>
      </c>
      <c r="K87" s="385">
        <f>+[2]มิ.ย.60!$U$30/10^6</f>
        <v>9.7184000000000006E-2</v>
      </c>
      <c r="L87" s="385">
        <f>+[2]ก.ค.60!$U$30/10^6</f>
        <v>9.3690999999999997E-2</v>
      </c>
      <c r="M87" s="385">
        <f>+[2]ส.ค.60!$U$30/10^6</f>
        <v>9.1471999999999998E-2</v>
      </c>
      <c r="N87" s="385">
        <f>+[2]ก.ย.60!$U$30/10^6</f>
        <v>9.0791999999999998E-2</v>
      </c>
      <c r="O87" s="378">
        <f t="shared" si="10"/>
        <v>1.1211869999999999</v>
      </c>
      <c r="P87" s="386"/>
      <c r="Q87" s="387">
        <v>1018</v>
      </c>
      <c r="R87" s="388" t="s">
        <v>57</v>
      </c>
      <c r="S87" s="389">
        <f>+[3]น้ำจำหน่าย!AB49/10^6</f>
        <v>8.9500999999999997E-2</v>
      </c>
      <c r="T87" s="389">
        <f>+[3]น้ำจำหน่าย!AC49/10^6</f>
        <v>8.9898000000000006E-2</v>
      </c>
      <c r="U87" s="389">
        <f>+[3]น้ำจำหน่าย!AD49/10^6</f>
        <v>8.7529999999999997E-2</v>
      </c>
      <c r="V87" s="389">
        <f>+[3]น้ำจำหน่าย!AE49/10^6</f>
        <v>9.2595999999999998E-2</v>
      </c>
      <c r="W87" s="389">
        <f>+[3]น้ำจำหน่าย!AF49/10^6</f>
        <v>8.8378999999999999E-2</v>
      </c>
      <c r="X87" s="389">
        <f>+[3]น้ำจำหน่าย!AG49/10^6</f>
        <v>8.7216000000000002E-2</v>
      </c>
      <c r="Y87" s="389">
        <f>+[3]น้ำจำหน่าย!AH49/10^6</f>
        <v>0.10477400000000001</v>
      </c>
      <c r="Z87" s="389">
        <f>+[3]น้ำจำหน่าย!AI49/10^6</f>
        <v>0.115401</v>
      </c>
      <c r="AA87" s="389">
        <f>+[3]น้ำจำหน่าย!AJ49/10^6</f>
        <v>0.106169</v>
      </c>
      <c r="AB87" s="389">
        <f>+[3]น้ำจำหน่าย!AK49/10^6</f>
        <v>9.9061999999999997E-2</v>
      </c>
      <c r="AC87" s="389">
        <f>+[3]น้ำจำหน่าย!AL49/10^6</f>
        <v>9.1665999999999997E-2</v>
      </c>
      <c r="AD87" s="389">
        <f>+[3]น้ำจำหน่าย!AM49/10^6</f>
        <v>8.8727E-2</v>
      </c>
      <c r="AE87" s="380">
        <f t="shared" si="11"/>
        <v>1.1409189999999998</v>
      </c>
      <c r="AF87" s="390">
        <f>+[3]น้ำจำหน่าย!AO49/10^6</f>
        <v>1.1409199999999999</v>
      </c>
      <c r="AG87" s="242">
        <v>1018</v>
      </c>
      <c r="AH87" s="243" t="s">
        <v>57</v>
      </c>
      <c r="AI87" s="391">
        <f>+[4]ต.ค.58!$U$28/10^6</f>
        <v>8.7046999999999999E-2</v>
      </c>
      <c r="AJ87" s="391">
        <f>+[4]พ.ย.58!$U$28/10^6</f>
        <v>8.9770000000000003E-2</v>
      </c>
      <c r="AK87" s="391">
        <f>+[4]ธ.ค.58!$U$28/10^6</f>
        <v>8.5530999999999996E-2</v>
      </c>
      <c r="AL87" s="391">
        <f>+[4]ม.ค.59!$U$28/10^6</f>
        <v>8.6753999999999998E-2</v>
      </c>
      <c r="AM87" s="391">
        <f>+[4]ก.พ.59!$U$28/10^6</f>
        <v>8.3277000000000004E-2</v>
      </c>
      <c r="AN87" s="391">
        <f>+[4]มี.ค.59!$U$28/10^6</f>
        <v>8.5970000000000005E-2</v>
      </c>
      <c r="AO87" s="391">
        <f>+[4]เม.ย.59!$U$28/10^6</f>
        <v>0.104447</v>
      </c>
      <c r="AP87" s="391">
        <f>+[4]พ.ค.59!$U$28/10^6</f>
        <v>0.114435</v>
      </c>
      <c r="AQ87" s="391">
        <f>+[4]มิ.ย.59!$U$28/10^6</f>
        <v>0.10123799999999999</v>
      </c>
      <c r="AR87" s="391">
        <f>+[4]ก.ค.59!$U$28/10^6</f>
        <v>9.4767000000000004E-2</v>
      </c>
      <c r="AS87" s="391">
        <f>+[4]ส.ค.59!$U$28/10^6</f>
        <v>8.5385000000000003E-2</v>
      </c>
      <c r="AT87" s="391">
        <f>+[4]ก.ย.59!$U$28/10^6</f>
        <v>8.5763000000000006E-2</v>
      </c>
      <c r="AU87" s="382">
        <f t="shared" si="12"/>
        <v>1.104384</v>
      </c>
    </row>
    <row r="88" spans="1:47" s="392" customFormat="1" x14ac:dyDescent="0.2">
      <c r="A88" s="383">
        <v>1019</v>
      </c>
      <c r="B88" s="384" t="s">
        <v>58</v>
      </c>
      <c r="C88" s="385">
        <f>+[2]ต.ค.59!$V$30/10^6</f>
        <v>5.5336999999999997E-2</v>
      </c>
      <c r="D88" s="385">
        <f>+[2]พ.ย.59!$V$30/10^6</f>
        <v>5.6029000000000002E-2</v>
      </c>
      <c r="E88" s="385">
        <f>+[2]ธ.ค.59!$V$30/10^6</f>
        <v>5.6563000000000002E-2</v>
      </c>
      <c r="F88" s="385">
        <f>+[2]ม.ค.60!$V$30/10^6</f>
        <v>5.8418999999999999E-2</v>
      </c>
      <c r="G88" s="385">
        <f>+[2]ก.พ.60!$V$30/10^6</f>
        <v>5.5750000000000001E-2</v>
      </c>
      <c r="H88" s="385">
        <f>+[2]มี.ค.60!$V$30/10^6</f>
        <v>5.6078000000000003E-2</v>
      </c>
      <c r="I88" s="385">
        <f>+[2]เม.ย.60!$V$30/10^6</f>
        <v>6.5298999999999996E-2</v>
      </c>
      <c r="J88" s="385">
        <f>+[2]พ.ค.60!$V$30/10^6</f>
        <v>6.5780000000000005E-2</v>
      </c>
      <c r="K88" s="385">
        <f>+[2]มิ.ย.60!$V$30/10^6</f>
        <v>6.0471999999999998E-2</v>
      </c>
      <c r="L88" s="385">
        <f>+[2]ก.ค.60!$V$30/10^6</f>
        <v>5.7937000000000002E-2</v>
      </c>
      <c r="M88" s="385">
        <f>+[2]ส.ค.60!$V$30/10^6</f>
        <v>5.7443000000000001E-2</v>
      </c>
      <c r="N88" s="385">
        <f>+[2]ก.ย.60!$V$30/10^6</f>
        <v>5.8842999999999999E-2</v>
      </c>
      <c r="O88" s="378">
        <f t="shared" si="10"/>
        <v>0.70395000000000008</v>
      </c>
      <c r="P88" s="386"/>
      <c r="Q88" s="387">
        <v>1019</v>
      </c>
      <c r="R88" s="388" t="s">
        <v>58</v>
      </c>
      <c r="S88" s="389">
        <f>+[3]น้ำจำหน่าย!AB50/10^6</f>
        <v>5.7237999999999997E-2</v>
      </c>
      <c r="T88" s="389">
        <f>+[3]น้ำจำหน่าย!AC50/10^6</f>
        <v>5.6757000000000002E-2</v>
      </c>
      <c r="U88" s="389">
        <f>+[3]น้ำจำหน่าย!AD50/10^6</f>
        <v>5.8178000000000001E-2</v>
      </c>
      <c r="V88" s="389">
        <f>+[3]น้ำจำหน่าย!AE50/10^6</f>
        <v>5.8956000000000001E-2</v>
      </c>
      <c r="W88" s="389">
        <f>+[3]น้ำจำหน่าย!AF50/10^6</f>
        <v>5.2217E-2</v>
      </c>
      <c r="X88" s="389">
        <f>+[3]น้ำจำหน่าย!AG50/10^6</f>
        <v>5.6793000000000003E-2</v>
      </c>
      <c r="Y88" s="389">
        <f>+[3]น้ำจำหน่าย!AH50/10^6</f>
        <v>6.6399E-2</v>
      </c>
      <c r="Z88" s="389">
        <f>+[3]น้ำจำหน่าย!AI50/10^6</f>
        <v>6.9336999999999996E-2</v>
      </c>
      <c r="AA88" s="389">
        <f>+[3]น้ำจำหน่าย!AJ50/10^6</f>
        <v>6.2893000000000004E-2</v>
      </c>
      <c r="AB88" s="389">
        <f>+[3]น้ำจำหน่าย!AK50/10^6</f>
        <v>5.7016999999999998E-2</v>
      </c>
      <c r="AC88" s="389">
        <f>+[3]น้ำจำหน่าย!AL50/10^6</f>
        <v>5.5386999999999999E-2</v>
      </c>
      <c r="AD88" s="389">
        <f>+[3]น้ำจำหน่าย!AM50/10^6</f>
        <v>6.1108000000000003E-2</v>
      </c>
      <c r="AE88" s="380">
        <f t="shared" si="11"/>
        <v>0.71227999999999991</v>
      </c>
      <c r="AF88" s="390">
        <f>+[3]น้ำจำหน่าย!AO50/10^6</f>
        <v>0.71228000000000002</v>
      </c>
      <c r="AG88" s="242">
        <v>1019</v>
      </c>
      <c r="AH88" s="243" t="s">
        <v>58</v>
      </c>
      <c r="AI88" s="391">
        <f>+[4]ต.ค.58!$V$28/10^6</f>
        <v>5.4497999999999998E-2</v>
      </c>
      <c r="AJ88" s="391">
        <f>+[4]พ.ย.58!$V$28/10^6</f>
        <v>5.4977999999999999E-2</v>
      </c>
      <c r="AK88" s="391">
        <f>+[4]ธ.ค.58!$V$28/10^6</f>
        <v>5.8288E-2</v>
      </c>
      <c r="AL88" s="391">
        <f>+[4]ม.ค.59!$V$28/10^6</f>
        <v>5.3741999999999998E-2</v>
      </c>
      <c r="AM88" s="391">
        <f>+[4]ก.พ.59!$V$28/10^6</f>
        <v>5.3290999999999998E-2</v>
      </c>
      <c r="AN88" s="391">
        <f>+[4]มี.ค.59!$V$28/10^6</f>
        <v>5.6047E-2</v>
      </c>
      <c r="AO88" s="391">
        <f>+[4]เม.ย.59!$V$28/10^6</f>
        <v>6.5326999999999996E-2</v>
      </c>
      <c r="AP88" s="391">
        <f>+[4]พ.ค.59!$V$28/10^6</f>
        <v>7.7482999999999996E-2</v>
      </c>
      <c r="AQ88" s="391">
        <f>+[4]มิ.ย.59!$V$28/10^6</f>
        <v>6.1814000000000001E-2</v>
      </c>
      <c r="AR88" s="391">
        <f>+[4]ก.ค.59!$V$28/10^6</f>
        <v>5.7622E-2</v>
      </c>
      <c r="AS88" s="391">
        <f>+[4]ส.ค.59!$V$28/10^6</f>
        <v>4.9442E-2</v>
      </c>
      <c r="AT88" s="391">
        <f>+[4]ก.ย.59!$V$28/10^6</f>
        <v>5.8529999999999999E-2</v>
      </c>
      <c r="AU88" s="382">
        <f t="shared" si="12"/>
        <v>0.70106199999999985</v>
      </c>
    </row>
    <row r="89" spans="1:47" s="392" customFormat="1" x14ac:dyDescent="0.2">
      <c r="A89" s="383">
        <v>1020</v>
      </c>
      <c r="B89" s="384" t="s">
        <v>59</v>
      </c>
      <c r="C89" s="385">
        <f>+[2]ต.ค.59!$W$30/10^6</f>
        <v>0.27932499999999999</v>
      </c>
      <c r="D89" s="385">
        <f>+[2]พ.ย.59!$W$30/10^6</f>
        <v>0.277258</v>
      </c>
      <c r="E89" s="385">
        <f>+[2]ธ.ค.59!$W$30/10^6</f>
        <v>0.28963699999999998</v>
      </c>
      <c r="F89" s="385">
        <f>+[2]ม.ค.60!$W$30/10^6</f>
        <v>0.30420700000000001</v>
      </c>
      <c r="G89" s="385">
        <f>+[2]ก.พ.60!$W$30/10^6</f>
        <v>0.28287299999999999</v>
      </c>
      <c r="H89" s="385">
        <f>+[2]มี.ค.60!$W$30/10^6</f>
        <v>0.280918</v>
      </c>
      <c r="I89" s="385">
        <f>+[2]เม.ย.60!$W$30/10^6</f>
        <v>0.32759899999999997</v>
      </c>
      <c r="J89" s="385">
        <f>+[2]พ.ค.60!$W$30/10^6</f>
        <v>0.29940499999999998</v>
      </c>
      <c r="K89" s="385">
        <f>+[2]มิ.ย.60!$W$30/10^6</f>
        <v>0.30396299999999998</v>
      </c>
      <c r="L89" s="385">
        <f>+[2]ก.ค.60!$W$30/10^6</f>
        <v>0.30037900000000001</v>
      </c>
      <c r="M89" s="385">
        <f>+[2]ส.ค.60!$W$30/10^6</f>
        <v>0.29159499999999999</v>
      </c>
      <c r="N89" s="385">
        <f>+[2]ก.ย.60!$W$30/10^6</f>
        <v>0.2913</v>
      </c>
      <c r="O89" s="378">
        <f t="shared" si="10"/>
        <v>3.5284590000000002</v>
      </c>
      <c r="P89" s="386"/>
      <c r="Q89" s="387">
        <v>1020</v>
      </c>
      <c r="R89" s="388" t="s">
        <v>59</v>
      </c>
      <c r="S89" s="389">
        <f>+[3]น้ำจำหน่าย!AB51/10^6</f>
        <v>0.27886899999999998</v>
      </c>
      <c r="T89" s="389">
        <f>+[3]น้ำจำหน่าย!AC51/10^6</f>
        <v>0.29661500000000002</v>
      </c>
      <c r="U89" s="389">
        <f>+[3]น้ำจำหน่าย!AD51/10^6</f>
        <v>0.29128300000000001</v>
      </c>
      <c r="V89" s="389">
        <f>+[3]น้ำจำหน่าย!AE51/10^6</f>
        <v>0.31084899999999999</v>
      </c>
      <c r="W89" s="389">
        <f>+[3]น้ำจำหน่าย!AF51/10^6</f>
        <v>0.27248600000000001</v>
      </c>
      <c r="X89" s="389">
        <f>+[3]น้ำจำหน่าย!AG51/10^6</f>
        <v>0.27903699999999998</v>
      </c>
      <c r="Y89" s="389">
        <f>+[3]น้ำจำหน่าย!AH51/10^6</f>
        <v>0.31644600000000001</v>
      </c>
      <c r="Z89" s="389">
        <f>+[3]น้ำจำหน่าย!AI51/10^6</f>
        <v>0.31923000000000001</v>
      </c>
      <c r="AA89" s="389">
        <f>+[3]น้ำจำหน่าย!AJ51/10^6</f>
        <v>0.31953999999999999</v>
      </c>
      <c r="AB89" s="389">
        <f>+[3]น้ำจำหน่าย!AK51/10^6</f>
        <v>0.30927100000000002</v>
      </c>
      <c r="AC89" s="389">
        <f>+[3]น้ำจำหน่าย!AL51/10^6</f>
        <v>0.29198800000000003</v>
      </c>
      <c r="AD89" s="389">
        <f>+[3]น้ำจำหน่าย!AM51/10^6</f>
        <v>0.30202600000000002</v>
      </c>
      <c r="AE89" s="380">
        <f t="shared" si="11"/>
        <v>3.5876399999999999</v>
      </c>
      <c r="AF89" s="390">
        <f>+[3]น้ำจำหน่าย!AO51/10^6</f>
        <v>3.5876399999999999</v>
      </c>
      <c r="AG89" s="242">
        <v>1020</v>
      </c>
      <c r="AH89" s="243" t="s">
        <v>59</v>
      </c>
      <c r="AI89" s="391">
        <f>+[4]ต.ค.58!$W$28/10^6</f>
        <v>0.264405</v>
      </c>
      <c r="AJ89" s="391">
        <f>+[4]พ.ย.58!$W$28/10^6</f>
        <v>0.29849100000000001</v>
      </c>
      <c r="AK89" s="391">
        <f>+[4]ธ.ค.58!$W$28/10^6</f>
        <v>0.28104299999999999</v>
      </c>
      <c r="AL89" s="391">
        <f>+[4]ม.ค.59!$W$28/10^6</f>
        <v>0.28664499999999998</v>
      </c>
      <c r="AM89" s="391">
        <f>+[4]ก.พ.59!$W$28/10^6</f>
        <v>0.27131</v>
      </c>
      <c r="AN89" s="391">
        <f>+[4]มี.ค.59!$W$28/10^6</f>
        <v>0.26740599999999998</v>
      </c>
      <c r="AO89" s="391">
        <f>+[4]เม.ย.59!$W$28/10^6</f>
        <v>0.30878499999999998</v>
      </c>
      <c r="AP89" s="391">
        <f>+[4]พ.ค.59!$W$28/10^6</f>
        <v>0.314253</v>
      </c>
      <c r="AQ89" s="391">
        <f>+[4]มิ.ย.59!$W$28/10^6</f>
        <v>0.30951200000000001</v>
      </c>
      <c r="AR89" s="391">
        <f>+[4]ก.ค.59!$W$28/10^6</f>
        <v>0.29839500000000002</v>
      </c>
      <c r="AS89" s="391">
        <f>+[4]ส.ค.59!$W$28/10^6</f>
        <v>0.26188400000000001</v>
      </c>
      <c r="AT89" s="391">
        <f>+[4]ก.ย.59!$W$28/10^6</f>
        <v>0.29569299999999998</v>
      </c>
      <c r="AU89" s="382">
        <f t="shared" si="12"/>
        <v>3.4578220000000002</v>
      </c>
    </row>
    <row r="90" spans="1:47" s="392" customFormat="1" x14ac:dyDescent="0.2">
      <c r="A90" s="383">
        <v>1021</v>
      </c>
      <c r="B90" s="384" t="s">
        <v>60</v>
      </c>
      <c r="C90" s="385">
        <f>+[2]ต.ค.59!$X$30/10^6</f>
        <v>7.5199000000000002E-2</v>
      </c>
      <c r="D90" s="385">
        <f>+[2]พ.ย.59!$X$30/10^6</f>
        <v>7.5902999999999998E-2</v>
      </c>
      <c r="E90" s="385">
        <f>+[2]ธ.ค.59!$X$30/10^6</f>
        <v>7.4317999999999995E-2</v>
      </c>
      <c r="F90" s="385">
        <f>+[2]ม.ค.60!$X$30/10^6</f>
        <v>8.6447999999999997E-2</v>
      </c>
      <c r="G90" s="385">
        <f>+[2]ก.พ.60!$X$30/10^6</f>
        <v>7.0379999999999998E-2</v>
      </c>
      <c r="H90" s="385">
        <f>+[2]มี.ค.60!$X$30/10^6</f>
        <v>7.4039999999999995E-2</v>
      </c>
      <c r="I90" s="385">
        <f>+[2]เม.ย.60!$X$30/10^6</f>
        <v>8.4048999999999999E-2</v>
      </c>
      <c r="J90" s="385">
        <f>+[2]พ.ค.60!$X$30/10^6</f>
        <v>8.2111000000000003E-2</v>
      </c>
      <c r="K90" s="385">
        <f>+[2]มิ.ย.60!$X$30/10^6</f>
        <v>8.4583000000000005E-2</v>
      </c>
      <c r="L90" s="385">
        <f>+[2]ก.ค.60!$X$30/10^6</f>
        <v>7.9880999999999994E-2</v>
      </c>
      <c r="M90" s="385">
        <f>+[2]ส.ค.60!$X$30/10^6</f>
        <v>7.6355999999999993E-2</v>
      </c>
      <c r="N90" s="385">
        <f>+[2]ก.ย.60!$X$30/10^6</f>
        <v>7.7639E-2</v>
      </c>
      <c r="O90" s="378">
        <f t="shared" si="10"/>
        <v>0.94090700000000005</v>
      </c>
      <c r="P90" s="386"/>
      <c r="Q90" s="387">
        <v>1021</v>
      </c>
      <c r="R90" s="388" t="s">
        <v>60</v>
      </c>
      <c r="S90" s="389">
        <f>+[3]น้ำจำหน่าย!AB52/10^6</f>
        <v>7.4012999999999995E-2</v>
      </c>
      <c r="T90" s="389">
        <f>+[3]น้ำจำหน่าย!AC52/10^6</f>
        <v>7.6523999999999995E-2</v>
      </c>
      <c r="U90" s="389">
        <f>+[3]น้ำจำหน่าย!AD52/10^6</f>
        <v>7.4476000000000001E-2</v>
      </c>
      <c r="V90" s="389">
        <f>+[3]น้ำจำหน่าย!AE52/10^6</f>
        <v>8.4203E-2</v>
      </c>
      <c r="W90" s="389">
        <f>+[3]น้ำจำหน่าย!AF52/10^6</f>
        <v>7.1516999999999997E-2</v>
      </c>
      <c r="X90" s="389">
        <f>+[3]น้ำจำหน่าย!AG52/10^6</f>
        <v>7.2711999999999999E-2</v>
      </c>
      <c r="Y90" s="389">
        <f>+[3]น้ำจำหน่าย!AH52/10^6</f>
        <v>8.3489999999999995E-2</v>
      </c>
      <c r="Z90" s="389">
        <f>+[3]น้ำจำหน่าย!AI52/10^6</f>
        <v>8.3946000000000007E-2</v>
      </c>
      <c r="AA90" s="389">
        <f>+[3]น้ำจำหน่าย!AJ52/10^6</f>
        <v>8.3570000000000005E-2</v>
      </c>
      <c r="AB90" s="389">
        <f>+[3]น้ำจำหน่าย!AK52/10^6</f>
        <v>8.2869999999999999E-2</v>
      </c>
      <c r="AC90" s="389">
        <f>+[3]น้ำจำหน่าย!AL52/10^6</f>
        <v>7.6053999999999997E-2</v>
      </c>
      <c r="AD90" s="389">
        <f>+[3]น้ำจำหน่าย!AM52/10^6</f>
        <v>7.9055E-2</v>
      </c>
      <c r="AE90" s="380">
        <f t="shared" si="11"/>
        <v>0.94242999999999988</v>
      </c>
      <c r="AF90" s="390">
        <f>+[3]น้ำจำหน่าย!AO52/10^6</f>
        <v>0.94242999999999999</v>
      </c>
      <c r="AG90" s="242">
        <v>1021</v>
      </c>
      <c r="AH90" s="243" t="s">
        <v>60</v>
      </c>
      <c r="AI90" s="391">
        <f>+[4]ต.ค.58!$X$28/10^6</f>
        <v>7.1025000000000005E-2</v>
      </c>
      <c r="AJ90" s="391">
        <f>+[4]พ.ย.58!$X$28/10^6</f>
        <v>7.5434000000000001E-2</v>
      </c>
      <c r="AK90" s="391">
        <f>+[4]ธ.ค.58!$X$28/10^6</f>
        <v>7.1959999999999996E-2</v>
      </c>
      <c r="AL90" s="391">
        <f>+[4]ม.ค.59!$X$28/10^6</f>
        <v>7.6971999999999999E-2</v>
      </c>
      <c r="AM90" s="391">
        <f>+[4]ก.พ.59!$X$28/10^6</f>
        <v>7.1333999999999995E-2</v>
      </c>
      <c r="AN90" s="391">
        <f>+[4]มี.ค.59!$X$28/10^6</f>
        <v>7.4371999999999994E-2</v>
      </c>
      <c r="AO90" s="391">
        <f>+[4]เม.ย.59!$X$28/10^6</f>
        <v>8.3623000000000003E-2</v>
      </c>
      <c r="AP90" s="391">
        <f>+[4]พ.ค.59!$X$28/10^6</f>
        <v>8.4905999999999995E-2</v>
      </c>
      <c r="AQ90" s="391">
        <f>+[4]มิ.ย.59!$X$28/10^6</f>
        <v>8.2952999999999999E-2</v>
      </c>
      <c r="AR90" s="391">
        <f>+[4]ก.ค.59!$X$28/10^6</f>
        <v>8.6804000000000006E-2</v>
      </c>
      <c r="AS90" s="391">
        <f>+[4]ส.ค.59!$X$28/10^6</f>
        <v>6.7835999999999994E-2</v>
      </c>
      <c r="AT90" s="391">
        <f>+[4]ก.ย.59!$X$28/10^6</f>
        <v>7.9519999999999993E-2</v>
      </c>
      <c r="AU90" s="382">
        <f t="shared" si="12"/>
        <v>0.92673900000000009</v>
      </c>
    </row>
    <row r="91" spans="1:47" s="392" customFormat="1" x14ac:dyDescent="0.2">
      <c r="A91" s="383">
        <v>1022</v>
      </c>
      <c r="B91" s="384" t="s">
        <v>61</v>
      </c>
      <c r="C91" s="385">
        <f>+[2]ต.ค.59!$Y$30/10^6</f>
        <v>0.37310100000000002</v>
      </c>
      <c r="D91" s="385">
        <f>+[2]พ.ย.59!$Y$30/10^6</f>
        <v>0.37618200000000002</v>
      </c>
      <c r="E91" s="385">
        <f>+[2]ธ.ค.59!$Y$30/10^6</f>
        <v>0.36683100000000002</v>
      </c>
      <c r="F91" s="385">
        <f>+[2]ม.ค.60!$Y$30/10^6</f>
        <v>0.37280799999999997</v>
      </c>
      <c r="G91" s="385">
        <f>+[2]ก.พ.60!$Y$30/10^6</f>
        <v>0.36417699999999997</v>
      </c>
      <c r="H91" s="385">
        <f>+[2]มี.ค.60!$Y$30/10^6</f>
        <v>0.36271500000000001</v>
      </c>
      <c r="I91" s="385">
        <f>+[2]เม.ย.60!$Y$30/10^6</f>
        <v>0.442637</v>
      </c>
      <c r="J91" s="385">
        <f>+[2]พ.ค.60!$Y$30/10^6</f>
        <v>0.41869099999999998</v>
      </c>
      <c r="K91" s="385">
        <f>+[2]มิ.ย.60!$Y$30/10^6</f>
        <v>0.41687400000000002</v>
      </c>
      <c r="L91" s="385">
        <f>+[2]ก.ค.60!$Y$30/10^6</f>
        <v>0.39508900000000002</v>
      </c>
      <c r="M91" s="385">
        <f>+[2]ส.ค.60!$Y$30/10^6</f>
        <v>0.40223500000000001</v>
      </c>
      <c r="N91" s="385">
        <f>+[2]ก.ย.60!$Y$30/10^6</f>
        <v>0.40167999999999998</v>
      </c>
      <c r="O91" s="378">
        <f t="shared" si="10"/>
        <v>4.6930199999999997</v>
      </c>
      <c r="P91" s="386"/>
      <c r="Q91" s="387">
        <v>1022</v>
      </c>
      <c r="R91" s="388" t="s">
        <v>61</v>
      </c>
      <c r="S91" s="389">
        <f>+[3]น้ำจำหน่าย!AB53/10^6</f>
        <v>0.36637199999999998</v>
      </c>
      <c r="T91" s="389">
        <f>+[3]น้ำจำหน่าย!AC53/10^6</f>
        <v>0.37842900000000002</v>
      </c>
      <c r="U91" s="389">
        <f>+[3]น้ำจำหน่าย!AD53/10^6</f>
        <v>0.367732</v>
      </c>
      <c r="V91" s="389">
        <f>+[3]น้ำจำหน่าย!AE53/10^6</f>
        <v>0.38961600000000002</v>
      </c>
      <c r="W91" s="389">
        <f>+[3]น้ำจำหน่าย!AF53/10^6</f>
        <v>0.366537</v>
      </c>
      <c r="X91" s="389">
        <f>+[3]น้ำจำหน่าย!AG53/10^6</f>
        <v>0.36166199999999998</v>
      </c>
      <c r="Y91" s="389">
        <f>+[3]น้ำจำหน่าย!AH53/10^6</f>
        <v>0.43435499999999999</v>
      </c>
      <c r="Z91" s="389">
        <f>+[3]น้ำจำหน่าย!AI53/10^6</f>
        <v>0.43180099999999999</v>
      </c>
      <c r="AA91" s="389">
        <f>+[3]น้ำจำหน่าย!AJ53/10^6</f>
        <v>0.426205</v>
      </c>
      <c r="AB91" s="389">
        <f>+[3]น้ำจำหน่าย!AK53/10^6</f>
        <v>0.41583399999999998</v>
      </c>
      <c r="AC91" s="389">
        <f>+[3]น้ำจำหน่าย!AL53/10^6</f>
        <v>0.38861499999999999</v>
      </c>
      <c r="AD91" s="389">
        <f>+[3]น้ำจำหน่าย!AM53/10^6</f>
        <v>0.39866000000000001</v>
      </c>
      <c r="AE91" s="380">
        <f t="shared" si="11"/>
        <v>4.7258180000000003</v>
      </c>
      <c r="AF91" s="390">
        <f>+[3]น้ำจำหน่าย!AO53/10^6</f>
        <v>4.7258199999999997</v>
      </c>
      <c r="AG91" s="242">
        <v>1022</v>
      </c>
      <c r="AH91" s="243" t="s">
        <v>61</v>
      </c>
      <c r="AI91" s="391">
        <f>+[4]ต.ค.58!$Y$28/10^6</f>
        <v>0.36039199999999999</v>
      </c>
      <c r="AJ91" s="391">
        <f>+[4]พ.ย.58!$Y$28/10^6</f>
        <v>0.36973800000000001</v>
      </c>
      <c r="AK91" s="391">
        <f>+[4]ธ.ค.58!$Y$28/10^6</f>
        <v>0.35999199999999998</v>
      </c>
      <c r="AL91" s="391">
        <f>+[4]ม.ค.59!$Y$28/10^6</f>
        <v>0.37143999999999999</v>
      </c>
      <c r="AM91" s="391">
        <f>+[4]ก.พ.59!$Y$28/10^6</f>
        <v>0.36340499999999998</v>
      </c>
      <c r="AN91" s="391">
        <f>+[4]มี.ค.59!$Y$28/10^6</f>
        <v>0.354711</v>
      </c>
      <c r="AO91" s="391">
        <f>+[4]เม.ย.59!$Y$28/10^6</f>
        <v>0.42513299999999998</v>
      </c>
      <c r="AP91" s="391">
        <f>+[4]พ.ค.59!$Y$28/10^6</f>
        <v>0.42613600000000001</v>
      </c>
      <c r="AQ91" s="391">
        <f>+[4]มิ.ย.59!$Y$28/10^6</f>
        <v>0.40430700000000003</v>
      </c>
      <c r="AR91" s="391">
        <f>+[4]ก.ค.59!$Y$28/10^6</f>
        <v>0.406524</v>
      </c>
      <c r="AS91" s="391">
        <f>+[4]ส.ค.59!$Y$28/10^6</f>
        <v>0.34144099999999999</v>
      </c>
      <c r="AT91" s="391">
        <f>+[4]ก.ย.59!$Y$28/10^6</f>
        <v>0.39335599999999998</v>
      </c>
      <c r="AU91" s="382">
        <f t="shared" si="12"/>
        <v>4.5765750000000001</v>
      </c>
    </row>
    <row r="92" spans="1:47" s="392" customFormat="1" x14ac:dyDescent="0.2">
      <c r="A92" s="383">
        <v>1023</v>
      </c>
      <c r="B92" s="384" t="s">
        <v>62</v>
      </c>
      <c r="C92" s="385">
        <f>+[2]ต.ค.59!$Z$30/10^6</f>
        <v>7.5556999999999999E-2</v>
      </c>
      <c r="D92" s="385">
        <f>+[2]พ.ย.59!$Z$30/10^6</f>
        <v>8.6360000000000006E-2</v>
      </c>
      <c r="E92" s="385">
        <f>+[2]ธ.ค.59!$Z$30/10^6</f>
        <v>7.2239999999999999E-2</v>
      </c>
      <c r="F92" s="385">
        <f>+[2]ม.ค.60!$Z$30/10^6</f>
        <v>8.6689000000000002E-2</v>
      </c>
      <c r="G92" s="385">
        <f>+[2]ก.พ.60!$Z$30/10^6</f>
        <v>7.8780000000000003E-2</v>
      </c>
      <c r="H92" s="385">
        <f>+[2]มี.ค.60!$Z$30/10^6</f>
        <v>8.0737000000000003E-2</v>
      </c>
      <c r="I92" s="385">
        <f>+[2]เม.ย.60!$Z$30/10^6</f>
        <v>9.4367999999999994E-2</v>
      </c>
      <c r="J92" s="385">
        <f>+[2]พ.ค.60!$Z$30/10^6</f>
        <v>9.2721999999999999E-2</v>
      </c>
      <c r="K92" s="385">
        <f>+[2]มิ.ย.60!$Z$30/10^6</f>
        <v>9.1513999999999998E-2</v>
      </c>
      <c r="L92" s="385">
        <f>+[2]ก.ค.60!$Z$30/10^6</f>
        <v>8.8034000000000001E-2</v>
      </c>
      <c r="M92" s="385">
        <f>+[2]ส.ค.60!$Z$30/10^6</f>
        <v>8.5697999999999996E-2</v>
      </c>
      <c r="N92" s="385">
        <f>+[2]ก.ย.60!$Z$30/10^6</f>
        <v>8.7016999999999997E-2</v>
      </c>
      <c r="O92" s="378">
        <f t="shared" si="10"/>
        <v>1.0197159999999998</v>
      </c>
      <c r="P92" s="386"/>
      <c r="Q92" s="387">
        <v>1023</v>
      </c>
      <c r="R92" s="388" t="s">
        <v>62</v>
      </c>
      <c r="S92" s="389">
        <f>+[3]น้ำจำหน่าย!AB54/10^6</f>
        <v>8.1989000000000006E-2</v>
      </c>
      <c r="T92" s="389">
        <f>+[3]น้ำจำหน่าย!AC54/10^6</f>
        <v>7.9631999999999994E-2</v>
      </c>
      <c r="U92" s="389">
        <f>+[3]น้ำจำหน่าย!AD54/10^6</f>
        <v>8.1085000000000004E-2</v>
      </c>
      <c r="V92" s="389">
        <f>+[3]น้ำจำหน่าย!AE54/10^6</f>
        <v>9.0792999999999999E-2</v>
      </c>
      <c r="W92" s="389">
        <f>+[3]น้ำจำหน่าย!AF54/10^6</f>
        <v>8.1683000000000006E-2</v>
      </c>
      <c r="X92" s="389">
        <f>+[3]น้ำจำหน่าย!AG54/10^6</f>
        <v>7.8189999999999996E-2</v>
      </c>
      <c r="Y92" s="389">
        <f>+[3]น้ำจำหน่าย!AH54/10^6</f>
        <v>9.3412999999999996E-2</v>
      </c>
      <c r="Z92" s="389">
        <f>+[3]น้ำจำหน่าย!AI54/10^6</f>
        <v>9.2409000000000005E-2</v>
      </c>
      <c r="AA92" s="389">
        <f>+[3]น้ำจำหน่าย!AJ54/10^6</f>
        <v>9.0647000000000005E-2</v>
      </c>
      <c r="AB92" s="389">
        <f>+[3]น้ำจำหน่าย!AK54/10^6</f>
        <v>8.9013999999999996E-2</v>
      </c>
      <c r="AC92" s="389">
        <f>+[3]น้ำจำหน่าย!AL54/10^6</f>
        <v>8.4587999999999997E-2</v>
      </c>
      <c r="AD92" s="389">
        <f>+[3]น้ำจำหน่าย!AM54/10^6</f>
        <v>8.4906999999999996E-2</v>
      </c>
      <c r="AE92" s="380">
        <f t="shared" si="11"/>
        <v>1.0283500000000001</v>
      </c>
      <c r="AF92" s="390">
        <f>+[3]น้ำจำหน่าย!AO54/10^6</f>
        <v>1.0283500000000001</v>
      </c>
      <c r="AG92" s="242">
        <v>1023</v>
      </c>
      <c r="AH92" s="243" t="s">
        <v>62</v>
      </c>
      <c r="AI92" s="391">
        <f>+[4]ต.ค.58!$Z$28/10^6</f>
        <v>7.8954999999999997E-2</v>
      </c>
      <c r="AJ92" s="391">
        <f>+[4]พ.ย.58!$Z$28/10^6</f>
        <v>7.8838000000000005E-2</v>
      </c>
      <c r="AK92" s="391">
        <f>+[4]ธ.ค.58!$Z$28/10^6</f>
        <v>7.7099000000000001E-2</v>
      </c>
      <c r="AL92" s="391">
        <f>+[4]ม.ค.59!$Z$28/10^6</f>
        <v>8.3757999999999999E-2</v>
      </c>
      <c r="AM92" s="391">
        <f>+[4]ก.พ.59!$Z$28/10^6</f>
        <v>7.7681E-2</v>
      </c>
      <c r="AN92" s="391">
        <f>+[4]มี.ค.59!$Z$28/10^6</f>
        <v>7.5364E-2</v>
      </c>
      <c r="AO92" s="391">
        <f>+[4]เม.ย.59!$Z$28/10^6</f>
        <v>9.0875999999999998E-2</v>
      </c>
      <c r="AP92" s="391">
        <f>+[4]พ.ค.59!$Z$28/10^6</f>
        <v>9.6125000000000002E-2</v>
      </c>
      <c r="AQ92" s="391">
        <f>+[4]มิ.ย.59!$Z$28/10^6</f>
        <v>8.9098999999999998E-2</v>
      </c>
      <c r="AR92" s="391">
        <f>+[4]ก.ค.59!$Z$28/10^6</f>
        <v>8.7844000000000005E-2</v>
      </c>
      <c r="AS92" s="391">
        <f>+[4]ส.ค.59!$Z$28/10^6</f>
        <v>7.5278999999999999E-2</v>
      </c>
      <c r="AT92" s="391">
        <f>+[4]ก.ย.59!$Z$28/10^6</f>
        <v>8.0588999999999994E-2</v>
      </c>
      <c r="AU92" s="382">
        <f t="shared" si="12"/>
        <v>0.99150700000000003</v>
      </c>
    </row>
    <row r="93" spans="1:47" s="392" customFormat="1" x14ac:dyDescent="0.2">
      <c r="A93" s="383">
        <v>1024</v>
      </c>
      <c r="B93" s="384" t="s">
        <v>63</v>
      </c>
      <c r="C93" s="385">
        <f>+[2]ต.ค.59!$AA$30/10^6</f>
        <v>0.57592892000000007</v>
      </c>
      <c r="D93" s="385">
        <f>+[2]พ.ย.59!$AA$30/10^6</f>
        <v>0.60161052000000004</v>
      </c>
      <c r="E93" s="385">
        <f>+[2]ธ.ค.59!$AA$30/10^6</f>
        <v>0.61229699999999998</v>
      </c>
      <c r="F93" s="385">
        <f>+[2]ม.ค.60!$AA$30/10^6</f>
        <v>0.62046745999999997</v>
      </c>
      <c r="G93" s="385">
        <f>+[2]ก.พ.60!$AA$30/10^6</f>
        <v>0.61038599999999998</v>
      </c>
      <c r="H93" s="385">
        <f>+[2]มี.ค.60!$AA$30/10^6</f>
        <v>0.58147400000000005</v>
      </c>
      <c r="I93" s="385">
        <f>+[2]เม.ย.60!$AA$30/10^6</f>
        <v>0.66240873</v>
      </c>
      <c r="J93" s="385">
        <f>+[2]พ.ค.60!$AA$30/10^6</f>
        <v>0.62382499999999996</v>
      </c>
      <c r="K93" s="385">
        <f>+[2]มิ.ย.60!$AA$30/10^6</f>
        <v>0.64121499999999998</v>
      </c>
      <c r="L93" s="385">
        <f>+[2]ก.ค.60!$AA$30/10^6</f>
        <v>0.61972300000000002</v>
      </c>
      <c r="M93" s="385">
        <f>+[2]ส.ค.60!$AA$30/10^6</f>
        <v>0.62551235999999999</v>
      </c>
      <c r="N93" s="385">
        <f>+[2]ก.ย.60!$AA$30/10^6</f>
        <v>0.65205199999999996</v>
      </c>
      <c r="O93" s="378">
        <f t="shared" si="10"/>
        <v>7.4268999899999999</v>
      </c>
      <c r="P93" s="386"/>
      <c r="Q93" s="387">
        <v>1024</v>
      </c>
      <c r="R93" s="388" t="s">
        <v>63</v>
      </c>
      <c r="S93" s="389">
        <f>+[3]น้ำจำหน่าย!AB55/10^6</f>
        <v>0.63083299999999998</v>
      </c>
      <c r="T93" s="389">
        <f>+[3]น้ำจำหน่าย!AC55/10^6</f>
        <v>0.63887899999999997</v>
      </c>
      <c r="U93" s="389">
        <f>+[3]น้ำจำหน่าย!AD55/10^6</f>
        <v>0.61749500000000002</v>
      </c>
      <c r="V93" s="389">
        <f>+[3]น้ำจำหน่าย!AE55/10^6</f>
        <v>0.67077399999999998</v>
      </c>
      <c r="W93" s="389">
        <f>+[3]น้ำจำหน่าย!AF55/10^6</f>
        <v>0.63945799999999997</v>
      </c>
      <c r="X93" s="389">
        <f>+[3]น้ำจำหน่าย!AG55/10^6</f>
        <v>0.62146900000000005</v>
      </c>
      <c r="Y93" s="389">
        <f>+[3]น้ำจำหน่าย!AH55/10^6</f>
        <v>0.67228600000000005</v>
      </c>
      <c r="Z93" s="389">
        <f>+[3]น้ำจำหน่าย!AI55/10^6</f>
        <v>0.67591999999999997</v>
      </c>
      <c r="AA93" s="389">
        <f>+[3]น้ำจำหน่าย!AJ55/10^6</f>
        <v>0.68269500000000005</v>
      </c>
      <c r="AB93" s="389">
        <f>+[3]น้ำจำหน่าย!AK55/10^6</f>
        <v>0.68166199999999999</v>
      </c>
      <c r="AC93" s="389">
        <f>+[3]น้ำจำหน่าย!AL55/10^6</f>
        <v>0.64482600000000001</v>
      </c>
      <c r="AD93" s="389">
        <f>+[3]น้ำจำหน่าย!AM55/10^6</f>
        <v>0.676095</v>
      </c>
      <c r="AE93" s="380">
        <f t="shared" si="11"/>
        <v>7.8523919999999992</v>
      </c>
      <c r="AF93" s="390">
        <f>+[3]น้ำจำหน่าย!AO55/10^6</f>
        <v>7.8523899999999998</v>
      </c>
      <c r="AG93" s="242">
        <v>1024</v>
      </c>
      <c r="AH93" s="243" t="s">
        <v>63</v>
      </c>
      <c r="AI93" s="391">
        <f>+[4]ต.ค.58!$AA$28/10^6</f>
        <v>0.55544247000000002</v>
      </c>
      <c r="AJ93" s="391">
        <f>+[4]พ.ย.58!$AA$28/10^6</f>
        <v>0.57830287000000002</v>
      </c>
      <c r="AK93" s="391">
        <f>+[4]ธ.ค.58!$AA$28/10^6</f>
        <v>0.5373513299999999</v>
      </c>
      <c r="AL93" s="391">
        <f>+[4]ม.ค.59!$AA$28/10^6</f>
        <v>0.59205420999999991</v>
      </c>
      <c r="AM93" s="391">
        <f>+[4]ก.พ.59!$AA$28/10^6</f>
        <v>0.57772782</v>
      </c>
      <c r="AN93" s="391">
        <f>+[4]มี.ค.59!$AA$28/10^6</f>
        <v>0.56326947999999999</v>
      </c>
      <c r="AO93" s="391">
        <f>+[4]เม.ย.59!$AA$28/10^6</f>
        <v>0.62150196999999996</v>
      </c>
      <c r="AP93" s="391">
        <f>+[4]พ.ค.59!$AA$28/10^6</f>
        <v>0.62957109999999994</v>
      </c>
      <c r="AQ93" s="391">
        <f>+[4]มิ.ย.59!$AA$28/10^6</f>
        <v>0.61856771999999993</v>
      </c>
      <c r="AR93" s="391">
        <f>+[4]ก.ค.59!$AA$28/10^6</f>
        <v>0.63654200000000005</v>
      </c>
      <c r="AS93" s="391">
        <f>+[4]ส.ค.59!$AA$28/10^6</f>
        <v>0.54636998000000003</v>
      </c>
      <c r="AT93" s="391">
        <f>+[4]ก.ย.59!$AA$28/10^6</f>
        <v>0.61635305000000007</v>
      </c>
      <c r="AU93" s="382">
        <f t="shared" si="12"/>
        <v>7.0730539999999982</v>
      </c>
    </row>
    <row r="94" spans="1:47" s="392" customFormat="1" x14ac:dyDescent="0.2">
      <c r="A94" s="383">
        <v>1025</v>
      </c>
      <c r="B94" s="384" t="s">
        <v>64</v>
      </c>
      <c r="C94" s="385">
        <f>+[2]ต.ค.59!$AB$30/10^6</f>
        <v>9.0923000000000004E-2</v>
      </c>
      <c r="D94" s="385">
        <f>+[2]พ.ย.59!$AB$30/10^6</f>
        <v>9.5256999999999994E-2</v>
      </c>
      <c r="E94" s="385">
        <f>+[2]ธ.ค.59!$AB$30/10^6</f>
        <v>9.2602000000000004E-2</v>
      </c>
      <c r="F94" s="385">
        <f>+[2]ม.ค.60!$AB$30/10^6</f>
        <v>9.6878000000000006E-2</v>
      </c>
      <c r="G94" s="385">
        <f>+[2]ก.พ.60!$AB$30/10^6</f>
        <v>9.7046999999999994E-2</v>
      </c>
      <c r="H94" s="385">
        <f>+[2]มี.ค.60!$AB$30/10^6</f>
        <v>9.6651000000000001E-2</v>
      </c>
      <c r="I94" s="385">
        <f>+[2]เม.ย.60!$AB$30/10^6</f>
        <v>0.106488</v>
      </c>
      <c r="J94" s="385">
        <f>+[2]พ.ค.60!$AB$30/10^6</f>
        <v>0.109316</v>
      </c>
      <c r="K94" s="385">
        <f>+[2]มิ.ย.60!$AB$30/10^6</f>
        <v>0.104301</v>
      </c>
      <c r="L94" s="385">
        <f>+[2]ก.ค.60!$AB$30/10^6</f>
        <v>9.7914000000000001E-2</v>
      </c>
      <c r="M94" s="385">
        <f>+[2]ส.ค.60!$AB$30/10^6</f>
        <v>9.9965999999999999E-2</v>
      </c>
      <c r="N94" s="385">
        <f>+[2]ก.ย.60!$AB$30/10^6</f>
        <v>0.100657</v>
      </c>
      <c r="O94" s="378">
        <f t="shared" si="10"/>
        <v>1.1879999999999999</v>
      </c>
      <c r="P94" s="386"/>
      <c r="Q94" s="387">
        <v>1025</v>
      </c>
      <c r="R94" s="388" t="s">
        <v>64</v>
      </c>
      <c r="S94" s="389">
        <f>+[3]น้ำจำหน่าย!AB56/10^6</f>
        <v>0.10083499999999999</v>
      </c>
      <c r="T94" s="389">
        <f>+[3]น้ำจำหน่าย!AC56/10^6</f>
        <v>0.101149</v>
      </c>
      <c r="U94" s="389">
        <f>+[3]น้ำจำหน่าย!AD56/10^6</f>
        <v>9.6967999999999999E-2</v>
      </c>
      <c r="V94" s="389">
        <f>+[3]น้ำจำหน่าย!AE56/10^6</f>
        <v>0.10699699999999999</v>
      </c>
      <c r="W94" s="389">
        <f>+[3]น้ำจำหน่าย!AF56/10^6</f>
        <v>9.7180000000000002E-2</v>
      </c>
      <c r="X94" s="389">
        <f>+[3]น้ำจำหน่าย!AG56/10^6</f>
        <v>9.6234E-2</v>
      </c>
      <c r="Y94" s="389">
        <f>+[3]น้ำจำหน่าย!AH56/10^6</f>
        <v>0.115202</v>
      </c>
      <c r="Z94" s="389">
        <f>+[3]น้ำจำหน่าย!AI56/10^6</f>
        <v>0.12217600000000001</v>
      </c>
      <c r="AA94" s="389">
        <f>+[3]น้ำจำหน่าย!AJ56/10^6</f>
        <v>0.118102</v>
      </c>
      <c r="AB94" s="389">
        <f>+[3]น้ำจำหน่าย!AK56/10^6</f>
        <v>0.112167</v>
      </c>
      <c r="AC94" s="389">
        <f>+[3]น้ำจำหน่าย!AL56/10^6</f>
        <v>0.10825899999999999</v>
      </c>
      <c r="AD94" s="389">
        <f>+[3]น้ำจำหน่าย!AM56/10^6</f>
        <v>0.10802200000000001</v>
      </c>
      <c r="AE94" s="380">
        <f t="shared" si="11"/>
        <v>1.2832910000000002</v>
      </c>
      <c r="AF94" s="390">
        <f>+[3]น้ำจำหน่าย!AO56/10^6</f>
        <v>1.28329</v>
      </c>
      <c r="AG94" s="242">
        <v>1025</v>
      </c>
      <c r="AH94" s="243" t="s">
        <v>64</v>
      </c>
      <c r="AI94" s="391">
        <f>+[4]ต.ค.58!$AB$28/10^6</f>
        <v>9.3025999999999998E-2</v>
      </c>
      <c r="AJ94" s="391">
        <f>+[4]พ.ย.58!$AB$28/10^6</f>
        <v>9.6432000000000004E-2</v>
      </c>
      <c r="AK94" s="391">
        <f>+[4]ธ.ค.58!$AB$28/10^6</f>
        <v>8.8274000000000005E-2</v>
      </c>
      <c r="AL94" s="391">
        <f>+[4]ม.ค.59!$AB$28/10^6</f>
        <v>9.4953999999999997E-2</v>
      </c>
      <c r="AM94" s="391">
        <f>+[4]ก.พ.59!$AB$28/10^6</f>
        <v>8.5816000000000003E-2</v>
      </c>
      <c r="AN94" s="391">
        <f>+[4]มี.ค.59!$AB$28/10^6</f>
        <v>8.7987999999999997E-2</v>
      </c>
      <c r="AO94" s="391">
        <f>+[4]เม.ย.59!$AB$28/10^6</f>
        <v>0.10863299999999999</v>
      </c>
      <c r="AP94" s="391">
        <f>+[4]พ.ค.59!$AB$28/10^6</f>
        <v>0.114986</v>
      </c>
      <c r="AQ94" s="391">
        <f>+[4]มิ.ย.59!$AB$28/10^6</f>
        <v>0.108</v>
      </c>
      <c r="AR94" s="391">
        <f>+[4]ก.ค.59!$AB$28/10^6</f>
        <v>0.105002</v>
      </c>
      <c r="AS94" s="391">
        <f>+[4]ส.ค.59!$AB$28/10^6</f>
        <v>9.1127E-2</v>
      </c>
      <c r="AT94" s="391">
        <f>+[4]ก.ย.59!$AB$28/10^6</f>
        <v>9.3839000000000006E-2</v>
      </c>
      <c r="AU94" s="382">
        <f t="shared" si="12"/>
        <v>1.168077</v>
      </c>
    </row>
    <row r="95" spans="1:47" s="392" customFormat="1" x14ac:dyDescent="0.2">
      <c r="A95" s="383">
        <v>1026</v>
      </c>
      <c r="B95" s="384" t="s">
        <v>65</v>
      </c>
      <c r="C95" s="385">
        <f>+[2]ต.ค.59!$AC$30/10^6</f>
        <v>3.9317999999999999E-2</v>
      </c>
      <c r="D95" s="385">
        <f>+[2]พ.ย.59!$AC$30/10^6</f>
        <v>4.0953000000000003E-2</v>
      </c>
      <c r="E95" s="385">
        <f>+[2]ธ.ค.59!$AC$30/10^6</f>
        <v>4.1812000000000002E-2</v>
      </c>
      <c r="F95" s="385">
        <f>+[2]ม.ค.60!$AC$30/10^6</f>
        <v>4.1627999999999998E-2</v>
      </c>
      <c r="G95" s="385">
        <f>+[2]ก.พ.60!$AC$30/10^6</f>
        <v>4.0267999999999998E-2</v>
      </c>
      <c r="H95" s="385">
        <f>+[2]มี.ค.60!$AC$30/10^6</f>
        <v>3.9917000000000001E-2</v>
      </c>
      <c r="I95" s="385">
        <f>+[2]เม.ย.60!$AC$30/10^6</f>
        <v>4.5881999999999999E-2</v>
      </c>
      <c r="J95" s="385">
        <f>+[2]พ.ค.60!$AC$30/10^6</f>
        <v>4.4142000000000001E-2</v>
      </c>
      <c r="K95" s="385">
        <f>+[2]มิ.ย.60!$AC$30/10^6</f>
        <v>4.4581000000000003E-2</v>
      </c>
      <c r="L95" s="385">
        <f>+[2]ก.ค.60!$AC$30/10^6</f>
        <v>4.3104000000000003E-2</v>
      </c>
      <c r="M95" s="385">
        <f>+[2]ส.ค.60!$AC$30/10^6</f>
        <v>4.2178E-2</v>
      </c>
      <c r="N95" s="385">
        <f>+[2]ก.ย.60!$AC$30/10^6</f>
        <v>4.4068000000000003E-2</v>
      </c>
      <c r="O95" s="378">
        <f t="shared" si="10"/>
        <v>0.50785100000000005</v>
      </c>
      <c r="P95" s="386"/>
      <c r="Q95" s="387">
        <v>1026</v>
      </c>
      <c r="R95" s="388" t="s">
        <v>65</v>
      </c>
      <c r="S95" s="389">
        <f>+[3]น้ำจำหน่าย!AB57/10^6</f>
        <v>4.1882999999999997E-2</v>
      </c>
      <c r="T95" s="389">
        <f>+[3]น้ำจำหน่าย!AC57/10^6</f>
        <v>4.1324E-2</v>
      </c>
      <c r="U95" s="389">
        <f>+[3]น้ำจำหน่าย!AD57/10^6</f>
        <v>4.2770000000000002E-2</v>
      </c>
      <c r="V95" s="389">
        <f>+[3]น้ำจำหน่าย!AE57/10^6</f>
        <v>4.2803000000000001E-2</v>
      </c>
      <c r="W95" s="389">
        <f>+[3]น้ำจำหน่าย!AF57/10^6</f>
        <v>4.1088E-2</v>
      </c>
      <c r="X95" s="389">
        <f>+[3]น้ำจำหน่าย!AG57/10^6</f>
        <v>3.9405999999999997E-2</v>
      </c>
      <c r="Y95" s="389">
        <f>+[3]น้ำจำหน่าย!AH57/10^6</f>
        <v>4.6315000000000002E-2</v>
      </c>
      <c r="Z95" s="389">
        <f>+[3]น้ำจำหน่าย!AI57/10^6</f>
        <v>4.6248999999999998E-2</v>
      </c>
      <c r="AA95" s="389">
        <f>+[3]น้ำจำหน่าย!AJ57/10^6</f>
        <v>4.5356E-2</v>
      </c>
      <c r="AB95" s="389">
        <f>+[3]น้ำจำหน่าย!AK57/10^6</f>
        <v>4.5817999999999998E-2</v>
      </c>
      <c r="AC95" s="389">
        <f>+[3]น้ำจำหน่าย!AL57/10^6</f>
        <v>4.2617000000000002E-2</v>
      </c>
      <c r="AD95" s="389">
        <f>+[3]น้ำจำหน่าย!AM57/10^6</f>
        <v>4.3671000000000001E-2</v>
      </c>
      <c r="AE95" s="380">
        <f t="shared" si="11"/>
        <v>0.51929999999999998</v>
      </c>
      <c r="AF95" s="390">
        <f>+[3]น้ำจำหน่าย!AO57/10^6</f>
        <v>0.51929999999999998</v>
      </c>
      <c r="AG95" s="242">
        <v>1026</v>
      </c>
      <c r="AH95" s="243" t="s">
        <v>65</v>
      </c>
      <c r="AI95" s="391">
        <f>+[4]ต.ค.58!$AC$28/10^6</f>
        <v>3.9801999999999997E-2</v>
      </c>
      <c r="AJ95" s="391">
        <f>+[4]พ.ย.58!$AC$28/10^6</f>
        <v>3.7627000000000001E-2</v>
      </c>
      <c r="AK95" s="391">
        <f>+[4]ธ.ค.58!$AC$28/10^6</f>
        <v>4.1244999999999997E-2</v>
      </c>
      <c r="AL95" s="391">
        <f>+[4]ม.ค.59!$AC$28/10^6</f>
        <v>3.9914999999999999E-2</v>
      </c>
      <c r="AM95" s="391">
        <f>+[4]ก.พ.59!$AC$28/10^6</f>
        <v>3.8653E-2</v>
      </c>
      <c r="AN95" s="391">
        <f>+[4]มี.ค.59!$AC$28/10^6</f>
        <v>3.5992999999999997E-2</v>
      </c>
      <c r="AO95" s="391">
        <f>+[4]เม.ย.59!$AC$28/10^6</f>
        <v>4.3833110000000002E-2</v>
      </c>
      <c r="AP95" s="391">
        <f>+[4]พ.ค.59!$AC$28/10^6</f>
        <v>4.4984000000000003E-2</v>
      </c>
      <c r="AQ95" s="391">
        <f>+[4]มิ.ย.59!$AC$28/10^6</f>
        <v>4.1010999999999999E-2</v>
      </c>
      <c r="AR95" s="391">
        <f>+[4]ก.ค.59!$AC$28/10^6</f>
        <v>4.2931999999999998E-2</v>
      </c>
      <c r="AS95" s="391">
        <f>+[4]ส.ค.59!$AC$28/10^6</f>
        <v>3.8087000000000003E-2</v>
      </c>
      <c r="AT95" s="391">
        <f>+[4]ก.ย.59!$AC$28/10^6</f>
        <v>4.2757000000000003E-2</v>
      </c>
      <c r="AU95" s="382">
        <f t="shared" si="12"/>
        <v>0.48683910999999996</v>
      </c>
    </row>
    <row r="96" spans="1:47" s="392" customFormat="1" x14ac:dyDescent="0.2">
      <c r="A96" s="383">
        <v>1027</v>
      </c>
      <c r="B96" s="384" t="s">
        <v>66</v>
      </c>
      <c r="C96" s="385">
        <f>+[2]ต.ค.59!$AD$30/10^6</f>
        <v>5.8687999999999997E-2</v>
      </c>
      <c r="D96" s="385">
        <f>+[2]พ.ย.59!$AD$30/10^6</f>
        <v>6.1983999999999997E-2</v>
      </c>
      <c r="E96" s="385">
        <f>+[2]ธ.ค.59!$AD$30/10^6</f>
        <v>6.0965999999999999E-2</v>
      </c>
      <c r="F96" s="385">
        <f>+[2]ม.ค.60!$AD$30/10^6</f>
        <v>6.2170999999999997E-2</v>
      </c>
      <c r="G96" s="385">
        <f>+[2]ก.พ.60!$AD$30/10^6</f>
        <v>6.4051999999999998E-2</v>
      </c>
      <c r="H96" s="385">
        <f>+[2]มี.ค.60!$AD$30/10^6</f>
        <v>5.9735000000000003E-2</v>
      </c>
      <c r="I96" s="385">
        <f>+[2]เม.ย.60!$AD$30/10^6</f>
        <v>6.9110000000000005E-2</v>
      </c>
      <c r="J96" s="385">
        <f>+[2]พ.ค.60!$AD$30/10^6</f>
        <v>6.7773E-2</v>
      </c>
      <c r="K96" s="385">
        <f>+[2]มิ.ย.60!$AD$30/10^6</f>
        <v>6.4508999999999997E-2</v>
      </c>
      <c r="L96" s="385">
        <f>+[2]ก.ค.60!$AD$30/10^6</f>
        <v>6.3156000000000004E-2</v>
      </c>
      <c r="M96" s="385">
        <f>+[2]ส.ค.60!$AD$30/10^6</f>
        <v>6.0547999999999998E-2</v>
      </c>
      <c r="N96" s="385">
        <f>+[2]ก.ย.60!$AD$30/10^6</f>
        <v>6.1127000000000001E-2</v>
      </c>
      <c r="O96" s="378">
        <f t="shared" si="10"/>
        <v>0.75381900000000013</v>
      </c>
      <c r="P96" s="386"/>
      <c r="Q96" s="387">
        <v>1027</v>
      </c>
      <c r="R96" s="388" t="s">
        <v>66</v>
      </c>
      <c r="S96" s="389">
        <f>+[3]น้ำจำหน่าย!AB58/10^6</f>
        <v>6.1445E-2</v>
      </c>
      <c r="T96" s="389">
        <f>+[3]น้ำจำหน่าย!AC58/10^6</f>
        <v>6.4077999999999996E-2</v>
      </c>
      <c r="U96" s="389">
        <f>+[3]น้ำจำหน่าย!AD58/10^6</f>
        <v>5.9367000000000003E-2</v>
      </c>
      <c r="V96" s="389">
        <f>+[3]น้ำจำหน่าย!AE58/10^6</f>
        <v>6.2908000000000006E-2</v>
      </c>
      <c r="W96" s="389">
        <f>+[3]น้ำจำหน่าย!AF58/10^6</f>
        <v>5.7096000000000001E-2</v>
      </c>
      <c r="X96" s="389">
        <f>+[3]น้ำจำหน่าย!AG58/10^6</f>
        <v>6.2042E-2</v>
      </c>
      <c r="Y96" s="389">
        <f>+[3]น้ำจำหน่าย!AH58/10^6</f>
        <v>7.0954000000000003E-2</v>
      </c>
      <c r="Z96" s="389">
        <f>+[3]น้ำจำหน่าย!AI58/10^6</f>
        <v>7.2554999999999994E-2</v>
      </c>
      <c r="AA96" s="389">
        <f>+[3]น้ำจำหน่าย!AJ58/10^6</f>
        <v>6.9575999999999999E-2</v>
      </c>
      <c r="AB96" s="389">
        <f>+[3]น้ำจำหน่าย!AK58/10^6</f>
        <v>6.6452999999999998E-2</v>
      </c>
      <c r="AC96" s="389">
        <f>+[3]น้ำจำหน่าย!AL58/10^6</f>
        <v>6.6341999999999998E-2</v>
      </c>
      <c r="AD96" s="389">
        <f>+[3]น้ำจำหน่าย!AM58/10^6</f>
        <v>6.1286E-2</v>
      </c>
      <c r="AE96" s="380">
        <f t="shared" si="11"/>
        <v>0.77410199999999996</v>
      </c>
      <c r="AF96" s="390">
        <f>+[3]น้ำจำหน่าย!AO58/10^6</f>
        <v>0.77410000000000001</v>
      </c>
      <c r="AG96" s="242">
        <v>1027</v>
      </c>
      <c r="AH96" s="243" t="s">
        <v>66</v>
      </c>
      <c r="AI96" s="391">
        <f>+[4]ต.ค.58!$AD$28/10^6</f>
        <v>5.6460999999999997E-2</v>
      </c>
      <c r="AJ96" s="391">
        <f>+[4]พ.ย.58!$AD$28/10^6</f>
        <v>5.7593999999999999E-2</v>
      </c>
      <c r="AK96" s="391">
        <f>+[4]ธ.ค.58!$AD$28/10^6</f>
        <v>5.1637000000000002E-2</v>
      </c>
      <c r="AL96" s="391">
        <f>+[4]ม.ค.59!$AD$28/10^6</f>
        <v>5.6474000000000003E-2</v>
      </c>
      <c r="AM96" s="391">
        <f>+[4]ก.พ.59!$AD$28/10^6</f>
        <v>5.2615000000000002E-2</v>
      </c>
      <c r="AN96" s="391">
        <f>+[4]มี.ค.59!$AD$28/10^6</f>
        <v>5.7283000000000001E-2</v>
      </c>
      <c r="AO96" s="391">
        <f>+[4]เม.ย.59!$AD$28/10^6</f>
        <v>6.7225999999999994E-2</v>
      </c>
      <c r="AP96" s="391">
        <f>+[4]พ.ค.59!$AD$28/10^6</f>
        <v>7.2709999999999997E-2</v>
      </c>
      <c r="AQ96" s="391">
        <f>+[4]มิ.ย.59!$AD$28/10^6</f>
        <v>6.5141000000000004E-2</v>
      </c>
      <c r="AR96" s="391">
        <f>+[4]ก.ค.59!$AD$28/10^6</f>
        <v>6.3416E-2</v>
      </c>
      <c r="AS96" s="391">
        <f>+[4]ส.ค.59!$AD$28/10^6</f>
        <v>6.1351000000000003E-2</v>
      </c>
      <c r="AT96" s="391">
        <f>+[4]ก.ย.59!$AD$28/10^6</f>
        <v>5.9088000000000002E-2</v>
      </c>
      <c r="AU96" s="382">
        <f t="shared" si="12"/>
        <v>0.72099600000000019</v>
      </c>
    </row>
    <row r="97" spans="1:47" s="392" customFormat="1" x14ac:dyDescent="0.2">
      <c r="A97" s="383">
        <v>1028</v>
      </c>
      <c r="B97" s="384" t="s">
        <v>67</v>
      </c>
      <c r="C97" s="385">
        <f>+[2]ต.ค.59!$AE$30/10^6</f>
        <v>0.311998</v>
      </c>
      <c r="D97" s="385">
        <f>+[2]พ.ย.59!$AE$30/10^6</f>
        <v>0.31854199999999999</v>
      </c>
      <c r="E97" s="385">
        <f>+[2]ธ.ค.59!$AE$30/10^6</f>
        <v>0.308091</v>
      </c>
      <c r="F97" s="385">
        <f>+[2]ม.ค.60!$AE$30/10^6</f>
        <v>0.32377699999999998</v>
      </c>
      <c r="G97" s="385">
        <f>+[2]ก.พ.60!$AE$30/10^6</f>
        <v>0.31976399999999999</v>
      </c>
      <c r="H97" s="385">
        <f>+[2]มี.ค.60!$AE$30/10^6</f>
        <v>0.29870799999999997</v>
      </c>
      <c r="I97" s="385">
        <f>+[2]เม.ย.60!$AE$30/10^6</f>
        <v>0.34553200000000001</v>
      </c>
      <c r="J97" s="385">
        <f>+[2]พ.ค.60!$AE$30/10^6</f>
        <v>0.32813700000000001</v>
      </c>
      <c r="K97" s="385">
        <f>+[2]มิ.ย.60!$AE$30/10^6</f>
        <v>0.34148299999999998</v>
      </c>
      <c r="L97" s="385">
        <f>+[2]ก.ค.60!$AE$30/10^6</f>
        <v>0.322301</v>
      </c>
      <c r="M97" s="385">
        <f>+[2]ส.ค.60!$AE$30/10^6</f>
        <v>0.32835199999999998</v>
      </c>
      <c r="N97" s="385">
        <f>+[2]ก.ย.60!$AE$30/10^6</f>
        <v>0.327907</v>
      </c>
      <c r="O97" s="378">
        <f t="shared" si="10"/>
        <v>3.8745920000000003</v>
      </c>
      <c r="P97" s="386"/>
      <c r="Q97" s="387">
        <v>1028</v>
      </c>
      <c r="R97" s="388" t="s">
        <v>67</v>
      </c>
      <c r="S97" s="389">
        <f>+[3]น้ำจำหน่าย!AB59/10^6</f>
        <v>0.32428200000000001</v>
      </c>
      <c r="T97" s="389">
        <f>+[3]น้ำจำหน่าย!AC59/10^6</f>
        <v>0.331146</v>
      </c>
      <c r="U97" s="389">
        <f>+[3]น้ำจำหน่าย!AD59/10^6</f>
        <v>0.32081999999999999</v>
      </c>
      <c r="V97" s="389">
        <f>+[3]น้ำจำหน่าย!AE59/10^6</f>
        <v>0.33913199999999999</v>
      </c>
      <c r="W97" s="389">
        <f>+[3]น้ำจำหน่าย!AF59/10^6</f>
        <v>0.32975300000000002</v>
      </c>
      <c r="X97" s="389">
        <f>+[3]น้ำจำหน่าย!AG59/10^6</f>
        <v>0.31273000000000001</v>
      </c>
      <c r="Y97" s="389">
        <f>+[3]น้ำจำหน่าย!AH59/10^6</f>
        <v>0.36673800000000001</v>
      </c>
      <c r="Z97" s="389">
        <f>+[3]น้ำจำหน่าย!AI59/10^6</f>
        <v>0.37137999999999999</v>
      </c>
      <c r="AA97" s="389">
        <f>+[3]น้ำจำหน่าย!AJ59/10^6</f>
        <v>0.37360399999999999</v>
      </c>
      <c r="AB97" s="389">
        <f>+[3]น้ำจำหน่าย!AK59/10^6</f>
        <v>0.36243700000000001</v>
      </c>
      <c r="AC97" s="389">
        <f>+[3]น้ำจำหน่าย!AL59/10^6</f>
        <v>0.34177600000000002</v>
      </c>
      <c r="AD97" s="389">
        <f>+[3]น้ำจำหน่าย!AM59/10^6</f>
        <v>0.34379300000000002</v>
      </c>
      <c r="AE97" s="380">
        <f t="shared" si="11"/>
        <v>4.1175909999999991</v>
      </c>
      <c r="AF97" s="390">
        <f>+[3]น้ำจำหน่าย!AO59/10^6</f>
        <v>4.1175899999999999</v>
      </c>
      <c r="AG97" s="242">
        <v>1028</v>
      </c>
      <c r="AH97" s="243" t="s">
        <v>67</v>
      </c>
      <c r="AI97" s="391">
        <f>+[4]ต.ค.58!$AE$28/10^6</f>
        <v>0.292991</v>
      </c>
      <c r="AJ97" s="391">
        <f>+[4]พ.ย.58!$AE$28/10^6</f>
        <v>0.296016</v>
      </c>
      <c r="AK97" s="391">
        <f>+[4]ธ.ค.58!$AE$28/10^6</f>
        <v>0.30110900000000002</v>
      </c>
      <c r="AL97" s="391">
        <f>+[4]ม.ค.59!$AE$28/10^6</f>
        <v>0.31517499999999998</v>
      </c>
      <c r="AM97" s="391">
        <f>+[4]ก.พ.59!$AE$28/10^6</f>
        <v>0.30630600000000002</v>
      </c>
      <c r="AN97" s="391">
        <f>+[4]มี.ค.59!$AE$28/10^6</f>
        <v>0.29549799999999998</v>
      </c>
      <c r="AO97" s="391">
        <f>+[4]เม.ย.59!$AE$28/10^6</f>
        <v>0.34038800000000002</v>
      </c>
      <c r="AP97" s="391">
        <f>+[4]พ.ค.59!$AE$28/10^6</f>
        <v>0.354466</v>
      </c>
      <c r="AQ97" s="391">
        <f>+[4]มิ.ย.59!$AE$28/10^6</f>
        <v>0.33996700000000002</v>
      </c>
      <c r="AR97" s="391">
        <f>+[4]ก.ค.59!$AE$28/10^6</f>
        <v>0.34173700000000001</v>
      </c>
      <c r="AS97" s="391">
        <f>+[4]ส.ค.59!$AE$28/10^6</f>
        <v>0.29355399999999998</v>
      </c>
      <c r="AT97" s="391">
        <f>+[4]ก.ย.59!$AE$28/10^6</f>
        <v>0.32163599999999998</v>
      </c>
      <c r="AU97" s="382">
        <f t="shared" si="12"/>
        <v>3.7988430000000002</v>
      </c>
    </row>
    <row r="98" spans="1:47" s="392" customFormat="1" x14ac:dyDescent="0.2">
      <c r="A98" s="383">
        <v>1029</v>
      </c>
      <c r="B98" s="384" t="s">
        <v>68</v>
      </c>
      <c r="C98" s="385">
        <f>+[2]ต.ค.59!$AF$30/10^6</f>
        <v>4.5470999999999998E-2</v>
      </c>
      <c r="D98" s="385">
        <f>+[2]พ.ย.59!$AF$30/10^6</f>
        <v>4.7188000000000001E-2</v>
      </c>
      <c r="E98" s="385">
        <f>+[2]ธ.ค.59!$AF$30/10^6</f>
        <v>4.6862000000000001E-2</v>
      </c>
      <c r="F98" s="385">
        <f>+[2]ม.ค.60!$AF$30/10^6</f>
        <v>4.9230999999999997E-2</v>
      </c>
      <c r="G98" s="385">
        <f>+[2]ก.พ.60!$AF$30/10^6</f>
        <v>4.6657999999999998E-2</v>
      </c>
      <c r="H98" s="385">
        <f>+[2]มี.ค.60!$AF$30/10^6</f>
        <v>4.9784000000000002E-2</v>
      </c>
      <c r="I98" s="385">
        <f>+[2]เม.ย.60!$AF$30/10^6</f>
        <v>5.6306000000000002E-2</v>
      </c>
      <c r="J98" s="385">
        <f>+[2]พ.ค.60!$AF$30/10^6</f>
        <v>5.3020999999999999E-2</v>
      </c>
      <c r="K98" s="385">
        <f>+[2]มิ.ย.60!$AF$30/10^6</f>
        <v>5.2399000000000001E-2</v>
      </c>
      <c r="L98" s="385">
        <f>+[2]ก.ค.60!$AF$30/10^6</f>
        <v>4.7986000000000001E-2</v>
      </c>
      <c r="M98" s="385">
        <f>+[2]ส.ค.60!$AF$30/10^6</f>
        <v>5.1950999999999997E-2</v>
      </c>
      <c r="N98" s="385">
        <f>+[2]ก.ย.60!$AF$30/10^6</f>
        <v>5.1556999999999999E-2</v>
      </c>
      <c r="O98" s="378">
        <f t="shared" si="10"/>
        <v>0.59841399999999989</v>
      </c>
      <c r="P98" s="386"/>
      <c r="Q98" s="387">
        <v>1029</v>
      </c>
      <c r="R98" s="388" t="s">
        <v>68</v>
      </c>
      <c r="S98" s="389">
        <f>+[3]น้ำจำหน่าย!AB60/10^6</f>
        <v>4.9169999999999998E-2</v>
      </c>
      <c r="T98" s="389">
        <f>+[3]น้ำจำหน่าย!AC60/10^6</f>
        <v>5.1469000000000001E-2</v>
      </c>
      <c r="U98" s="389">
        <f>+[3]น้ำจำหน่าย!AD60/10^6</f>
        <v>4.9856999999999999E-2</v>
      </c>
      <c r="V98" s="389">
        <f>+[3]น้ำจำหน่าย!AE60/10^6</f>
        <v>5.4620000000000002E-2</v>
      </c>
      <c r="W98" s="389">
        <f>+[3]น้ำจำหน่าย!AF60/10^6</f>
        <v>5.1110999999999997E-2</v>
      </c>
      <c r="X98" s="389">
        <f>+[3]น้ำจำหน่าย!AG60/10^6</f>
        <v>5.0879000000000001E-2</v>
      </c>
      <c r="Y98" s="389">
        <f>+[3]น้ำจำหน่าย!AH60/10^6</f>
        <v>5.8418999999999999E-2</v>
      </c>
      <c r="Z98" s="389">
        <f>+[3]น้ำจำหน่าย!AI60/10^6</f>
        <v>6.5276000000000001E-2</v>
      </c>
      <c r="AA98" s="389">
        <f>+[3]น้ำจำหน่าย!AJ60/10^6</f>
        <v>5.8774E-2</v>
      </c>
      <c r="AB98" s="389">
        <f>+[3]น้ำจำหน่าย!AK60/10^6</f>
        <v>5.6791000000000001E-2</v>
      </c>
      <c r="AC98" s="389">
        <f>+[3]น้ำจำหน่าย!AL60/10^6</f>
        <v>5.1658000000000003E-2</v>
      </c>
      <c r="AD98" s="389">
        <f>+[3]น้ำจำหน่าย!AM60/10^6</f>
        <v>5.5455999999999998E-2</v>
      </c>
      <c r="AE98" s="380">
        <f t="shared" si="11"/>
        <v>0.65347999999999995</v>
      </c>
      <c r="AF98" s="390">
        <f>+[3]น้ำจำหน่าย!AO60/10^6</f>
        <v>0.65347999999999995</v>
      </c>
      <c r="AG98" s="242">
        <v>1029</v>
      </c>
      <c r="AH98" s="243" t="s">
        <v>68</v>
      </c>
      <c r="AI98" s="391">
        <f>+[4]ต.ค.58!$AF$28/10^6</f>
        <v>4.3663E-2</v>
      </c>
      <c r="AJ98" s="391">
        <f>+[4]พ.ย.58!$AF$28/10^6</f>
        <v>4.4558E-2</v>
      </c>
      <c r="AK98" s="391">
        <f>+[4]ธ.ค.58!$AF$28/10^6</f>
        <v>4.3368999999999998E-2</v>
      </c>
      <c r="AL98" s="391">
        <f>+[4]ม.ค.59!$AF$28/10^6</f>
        <v>4.7384999999999997E-2</v>
      </c>
      <c r="AM98" s="391">
        <f>+[4]ก.พ.59!$AF$28/10^6</f>
        <v>4.5867999999999999E-2</v>
      </c>
      <c r="AN98" s="391">
        <f>+[4]มี.ค.59!$AF$28/10^6</f>
        <v>4.4437999999999998E-2</v>
      </c>
      <c r="AO98" s="391">
        <f>+[4]เม.ย.59!$AF$28/10^6</f>
        <v>4.9708000000000002E-2</v>
      </c>
      <c r="AP98" s="391">
        <f>+[4]พ.ค.59!$AF$28/10^6</f>
        <v>6.1381999999999999E-2</v>
      </c>
      <c r="AQ98" s="391">
        <f>+[4]มิ.ย.59!$AF$28/10^6</f>
        <v>5.0797000000000002E-2</v>
      </c>
      <c r="AR98" s="391">
        <f>+[4]ก.ค.59!$AF$28/10^6</f>
        <v>4.9389000000000002E-2</v>
      </c>
      <c r="AS98" s="391">
        <f>+[4]ส.ค.59!$AF$28/10^6</f>
        <v>4.0455999999999999E-2</v>
      </c>
      <c r="AT98" s="391">
        <f>+[4]ก.ย.59!$AF$28/10^6</f>
        <v>4.7248999999999999E-2</v>
      </c>
      <c r="AU98" s="382">
        <f t="shared" si="12"/>
        <v>0.56826199999999993</v>
      </c>
    </row>
    <row r="99" spans="1:47" s="392" customFormat="1" ht="15" thickBot="1" x14ac:dyDescent="0.25">
      <c r="A99" s="393">
        <v>1030</v>
      </c>
      <c r="B99" s="394" t="s">
        <v>69</v>
      </c>
      <c r="C99" s="395">
        <f>+[2]ต.ค.59!$AG$30/10^6</f>
        <v>6.4383999999999997E-2</v>
      </c>
      <c r="D99" s="395">
        <f>+[2]พ.ย.59!$AG$30/10^6</f>
        <v>6.7426E-2</v>
      </c>
      <c r="E99" s="395">
        <f>+[2]ธ.ค.59!$AG$30/10^6</f>
        <v>6.7151000000000002E-2</v>
      </c>
      <c r="F99" s="395">
        <f>+[2]ม.ค.60!$AG$30/10^6</f>
        <v>7.0967000000000002E-2</v>
      </c>
      <c r="G99" s="395">
        <f>+[2]ก.พ.60!$AG$30/10^6</f>
        <v>7.1304000000000006E-2</v>
      </c>
      <c r="H99" s="395">
        <f>+[2]มี.ค.60!$AG$30/10^6</f>
        <v>6.9415000000000004E-2</v>
      </c>
      <c r="I99" s="395">
        <f>+[2]เม.ย.60!$AG$30/10^6</f>
        <v>8.0902000000000002E-2</v>
      </c>
      <c r="J99" s="395">
        <f>+[2]พ.ค.60!$AG$30/10^6</f>
        <v>7.4695999999999999E-2</v>
      </c>
      <c r="K99" s="395">
        <f>+[2]มิ.ย.60!$AG$30/10^6</f>
        <v>7.2498000000000007E-2</v>
      </c>
      <c r="L99" s="395">
        <f>+[2]ก.ค.60!$AG$30/10^6</f>
        <v>7.0806999999999995E-2</v>
      </c>
      <c r="M99" s="395">
        <f>+[2]ส.ค.60!$AG$30/10^6</f>
        <v>6.9972000000000006E-2</v>
      </c>
      <c r="N99" s="395">
        <f>+[2]ก.ย.60!$AG$30/10^6</f>
        <v>7.0213999999999999E-2</v>
      </c>
      <c r="O99" s="400">
        <f t="shared" si="10"/>
        <v>0.84973600000000005</v>
      </c>
      <c r="P99" s="386"/>
      <c r="Q99" s="396">
        <v>1030</v>
      </c>
      <c r="R99" s="397" t="s">
        <v>69</v>
      </c>
      <c r="S99" s="398">
        <f>+[3]น้ำจำหน่าย!AB61/10^6</f>
        <v>6.2441000000000003E-2</v>
      </c>
      <c r="T99" s="398">
        <f>+[3]น้ำจำหน่าย!AC61/10^6</f>
        <v>6.3703999999999997E-2</v>
      </c>
      <c r="U99" s="398">
        <f>+[3]น้ำจำหน่าย!AD61/10^6</f>
        <v>6.2151999999999999E-2</v>
      </c>
      <c r="V99" s="398">
        <f>+[3]น้ำจำหน่าย!AE61/10^6</f>
        <v>6.7542000000000005E-2</v>
      </c>
      <c r="W99" s="398">
        <f>+[3]น้ำจำหน่าย!AF61/10^6</f>
        <v>6.2392999999999997E-2</v>
      </c>
      <c r="X99" s="398">
        <f>+[3]น้ำจำหน่าย!AG61/10^6</f>
        <v>6.241E-2</v>
      </c>
      <c r="Y99" s="398">
        <f>+[3]น้ำจำหน่าย!AH61/10^6</f>
        <v>7.5242000000000003E-2</v>
      </c>
      <c r="Z99" s="398">
        <f>+[3]น้ำจำหน่าย!AI61/10^6</f>
        <v>7.6490000000000002E-2</v>
      </c>
      <c r="AA99" s="398">
        <f>+[3]น้ำจำหน่าย!AJ61/10^6</f>
        <v>7.4658000000000002E-2</v>
      </c>
      <c r="AB99" s="398">
        <f>+[3]น้ำจำหน่าย!AK61/10^6</f>
        <v>6.6804000000000002E-2</v>
      </c>
      <c r="AC99" s="398">
        <f>+[3]น้ำจำหน่าย!AL61/10^6</f>
        <v>6.7066000000000001E-2</v>
      </c>
      <c r="AD99" s="398">
        <f>+[3]น้ำจำหน่าย!AM61/10^6</f>
        <v>6.8307000000000007E-2</v>
      </c>
      <c r="AE99" s="401">
        <f t="shared" si="11"/>
        <v>0.80920899999999985</v>
      </c>
      <c r="AF99" s="390">
        <f>+[3]น้ำจำหน่าย!AO61/10^6</f>
        <v>0.80920999999999998</v>
      </c>
      <c r="AG99" s="244">
        <v>1030</v>
      </c>
      <c r="AH99" s="245" t="s">
        <v>69</v>
      </c>
      <c r="AI99" s="399">
        <f>+[4]ต.ค.58!$AG$28/10^6</f>
        <v>6.4283000000000007E-2</v>
      </c>
      <c r="AJ99" s="399">
        <f>+[4]พ.ย.58!$AG$28/10^6</f>
        <v>6.5339999999999995E-2</v>
      </c>
      <c r="AK99" s="399">
        <f>+[4]ธ.ค.58!$AG$28/10^6</f>
        <v>6.4062999999999995E-2</v>
      </c>
      <c r="AL99" s="399">
        <f>+[4]ม.ค.59!$AG$28/10^6</f>
        <v>6.9395999999999999E-2</v>
      </c>
      <c r="AM99" s="399">
        <f>+[4]ก.พ.59!$AG$28/10^6</f>
        <v>6.5980999999999998E-2</v>
      </c>
      <c r="AN99" s="399">
        <f>+[4]มี.ค.59!$AG$28/10^6</f>
        <v>6.4479999999999996E-2</v>
      </c>
      <c r="AO99" s="399">
        <f>+[4]เม.ย.59!$AG$28/10^6</f>
        <v>8.0378000000000005E-2</v>
      </c>
      <c r="AP99" s="399">
        <f>+[4]พ.ค.59!$AG$28/10^6</f>
        <v>8.7321999999999997E-2</v>
      </c>
      <c r="AQ99" s="399">
        <f>+[4]มิ.ย.59!$AG$28/10^6</f>
        <v>7.8157000000000004E-2</v>
      </c>
      <c r="AR99" s="399">
        <f>+[4]ก.ค.59!$AG$28/10^6</f>
        <v>6.5587999999999994E-2</v>
      </c>
      <c r="AS99" s="399">
        <f>+[4]ส.ค.59!$AG$28/10^6</f>
        <v>6.5489000000000006E-2</v>
      </c>
      <c r="AT99" s="399">
        <f>+[4]ก.ย.59!$AG$28/10^6</f>
        <v>6.7281999999999995E-2</v>
      </c>
      <c r="AU99" s="402">
        <f t="shared" si="12"/>
        <v>0.83775899999999992</v>
      </c>
    </row>
    <row r="100" spans="1:47" ht="15" thickBot="1" x14ac:dyDescent="0.25"/>
    <row r="101" spans="1:47" x14ac:dyDescent="0.2">
      <c r="A101" s="205">
        <v>1</v>
      </c>
      <c r="B101" s="206">
        <v>2</v>
      </c>
      <c r="C101" s="206">
        <v>3</v>
      </c>
      <c r="D101" s="206">
        <v>4</v>
      </c>
      <c r="E101" s="206">
        <v>5</v>
      </c>
      <c r="F101" s="206">
        <v>6</v>
      </c>
      <c r="G101" s="206">
        <v>7</v>
      </c>
      <c r="H101" s="206">
        <v>8</v>
      </c>
      <c r="I101" s="206">
        <v>9</v>
      </c>
      <c r="J101" s="206">
        <v>10</v>
      </c>
      <c r="K101" s="206">
        <v>11</v>
      </c>
      <c r="L101" s="206">
        <v>12</v>
      </c>
      <c r="M101" s="206">
        <v>13</v>
      </c>
      <c r="N101" s="206">
        <v>14</v>
      </c>
      <c r="O101" s="207">
        <v>15</v>
      </c>
      <c r="P101" s="209">
        <v>16</v>
      </c>
      <c r="Q101" s="220">
        <v>17</v>
      </c>
      <c r="R101" s="221">
        <v>18</v>
      </c>
      <c r="S101" s="221">
        <v>19</v>
      </c>
      <c r="T101" s="221">
        <v>20</v>
      </c>
      <c r="U101" s="221">
        <v>21</v>
      </c>
      <c r="V101" s="221">
        <v>22</v>
      </c>
      <c r="W101" s="221">
        <v>23</v>
      </c>
      <c r="X101" s="221">
        <v>24</v>
      </c>
      <c r="Y101" s="221">
        <v>25</v>
      </c>
      <c r="Z101" s="221">
        <v>26</v>
      </c>
      <c r="AA101" s="221">
        <v>27</v>
      </c>
      <c r="AB101" s="221">
        <v>28</v>
      </c>
      <c r="AC101" s="221">
        <v>29</v>
      </c>
      <c r="AD101" s="221">
        <v>30</v>
      </c>
      <c r="AE101" s="222">
        <v>31</v>
      </c>
      <c r="AF101" s="219">
        <v>32</v>
      </c>
      <c r="AG101" s="233">
        <v>33</v>
      </c>
      <c r="AH101" s="234">
        <v>34</v>
      </c>
      <c r="AI101" s="234">
        <v>35</v>
      </c>
      <c r="AJ101" s="234">
        <v>36</v>
      </c>
      <c r="AK101" s="234">
        <v>37</v>
      </c>
      <c r="AL101" s="234">
        <v>38</v>
      </c>
      <c r="AM101" s="234">
        <v>39</v>
      </c>
      <c r="AN101" s="234">
        <v>40</v>
      </c>
      <c r="AO101" s="234">
        <v>41</v>
      </c>
      <c r="AP101" s="234">
        <v>42</v>
      </c>
      <c r="AQ101" s="234">
        <v>43</v>
      </c>
      <c r="AR101" s="234">
        <v>44</v>
      </c>
      <c r="AS101" s="234">
        <v>45</v>
      </c>
      <c r="AT101" s="234">
        <v>46</v>
      </c>
      <c r="AU101" s="235">
        <v>47</v>
      </c>
    </row>
    <row r="102" spans="1:47" s="196" customFormat="1" x14ac:dyDescent="0.2">
      <c r="A102" s="214" t="s">
        <v>111</v>
      </c>
      <c r="B102" s="208"/>
      <c r="C102" s="209"/>
      <c r="D102" s="209"/>
      <c r="E102" s="209"/>
      <c r="F102" s="209"/>
      <c r="G102" s="209"/>
      <c r="H102" s="209"/>
      <c r="I102" s="209"/>
      <c r="J102" s="209"/>
      <c r="K102" s="209"/>
      <c r="L102" s="209"/>
      <c r="M102" s="209"/>
      <c r="N102" s="209"/>
      <c r="O102" s="210"/>
      <c r="P102" s="209"/>
      <c r="Q102" s="223" t="s">
        <v>88</v>
      </c>
      <c r="R102" s="224"/>
      <c r="S102" s="225"/>
      <c r="T102" s="225"/>
      <c r="U102" s="225"/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6"/>
      <c r="AG102" s="236" t="s">
        <v>113</v>
      </c>
      <c r="AH102" s="237"/>
      <c r="AI102" s="238"/>
      <c r="AJ102" s="238"/>
      <c r="AK102" s="238"/>
      <c r="AL102" s="238"/>
      <c r="AM102" s="238"/>
      <c r="AN102" s="238"/>
      <c r="AO102" s="238"/>
      <c r="AP102" s="238"/>
      <c r="AQ102" s="238"/>
      <c r="AR102" s="238"/>
      <c r="AS102" s="238"/>
      <c r="AT102" s="238"/>
      <c r="AU102" s="239"/>
    </row>
    <row r="103" spans="1:47" s="258" customFormat="1" x14ac:dyDescent="0.2">
      <c r="A103" s="249" t="s">
        <v>40</v>
      </c>
      <c r="B103" s="250" t="s">
        <v>41</v>
      </c>
      <c r="C103" s="251" t="s">
        <v>74</v>
      </c>
      <c r="D103" s="251" t="s">
        <v>75</v>
      </c>
      <c r="E103" s="251" t="s">
        <v>76</v>
      </c>
      <c r="F103" s="251" t="s">
        <v>77</v>
      </c>
      <c r="G103" s="251" t="s">
        <v>78</v>
      </c>
      <c r="H103" s="251" t="s">
        <v>79</v>
      </c>
      <c r="I103" s="251" t="s">
        <v>80</v>
      </c>
      <c r="J103" s="251" t="s">
        <v>81</v>
      </c>
      <c r="K103" s="251" t="s">
        <v>82</v>
      </c>
      <c r="L103" s="251" t="s">
        <v>83</v>
      </c>
      <c r="M103" s="251" t="s">
        <v>84</v>
      </c>
      <c r="N103" s="251" t="s">
        <v>85</v>
      </c>
      <c r="O103" s="252" t="s">
        <v>21</v>
      </c>
      <c r="P103" s="253"/>
      <c r="Q103" s="254" t="s">
        <v>40</v>
      </c>
      <c r="R103" s="255" t="s">
        <v>41</v>
      </c>
      <c r="S103" s="256" t="s">
        <v>74</v>
      </c>
      <c r="T103" s="256" t="s">
        <v>75</v>
      </c>
      <c r="U103" s="256" t="s">
        <v>76</v>
      </c>
      <c r="V103" s="256" t="s">
        <v>77</v>
      </c>
      <c r="W103" s="256" t="s">
        <v>78</v>
      </c>
      <c r="X103" s="256" t="s">
        <v>79</v>
      </c>
      <c r="Y103" s="256" t="s">
        <v>80</v>
      </c>
      <c r="Z103" s="256" t="s">
        <v>81</v>
      </c>
      <c r="AA103" s="256" t="s">
        <v>82</v>
      </c>
      <c r="AB103" s="256" t="s">
        <v>83</v>
      </c>
      <c r="AC103" s="256" t="s">
        <v>84</v>
      </c>
      <c r="AD103" s="256" t="s">
        <v>85</v>
      </c>
      <c r="AE103" s="257" t="s">
        <v>21</v>
      </c>
      <c r="AG103" s="259" t="s">
        <v>40</v>
      </c>
      <c r="AH103" s="260" t="s">
        <v>41</v>
      </c>
      <c r="AI103" s="261" t="s">
        <v>74</v>
      </c>
      <c r="AJ103" s="261" t="s">
        <v>75</v>
      </c>
      <c r="AK103" s="261" t="s">
        <v>76</v>
      </c>
      <c r="AL103" s="261" t="s">
        <v>77</v>
      </c>
      <c r="AM103" s="261" t="s">
        <v>78</v>
      </c>
      <c r="AN103" s="261" t="s">
        <v>79</v>
      </c>
      <c r="AO103" s="261" t="s">
        <v>80</v>
      </c>
      <c r="AP103" s="261" t="s">
        <v>81</v>
      </c>
      <c r="AQ103" s="261" t="s">
        <v>82</v>
      </c>
      <c r="AR103" s="261" t="s">
        <v>83</v>
      </c>
      <c r="AS103" s="261" t="s">
        <v>84</v>
      </c>
      <c r="AT103" s="261" t="s">
        <v>85</v>
      </c>
      <c r="AU103" s="262" t="s">
        <v>21</v>
      </c>
    </row>
    <row r="104" spans="1:47" s="266" customFormat="1" x14ac:dyDescent="0.2">
      <c r="A104" s="215">
        <v>1003</v>
      </c>
      <c r="B104" s="216" t="s">
        <v>42</v>
      </c>
      <c r="C104" s="282">
        <f>SUM(C105:C131)</f>
        <v>2.9626893300000003</v>
      </c>
      <c r="D104" s="282">
        <f t="shared" ref="D104:N104" si="13">SUM(D105:D131)</f>
        <v>2.7333662299999988</v>
      </c>
      <c r="E104" s="282">
        <f t="shared" si="13"/>
        <v>2.921050290000001</v>
      </c>
      <c r="F104" s="282">
        <f t="shared" si="13"/>
        <v>2.7150285199999988</v>
      </c>
      <c r="G104" s="282">
        <f t="shared" si="13"/>
        <v>2.3706107299999992</v>
      </c>
      <c r="H104" s="282">
        <f t="shared" si="13"/>
        <v>3.4793998099999999</v>
      </c>
      <c r="I104" s="282">
        <f t="shared" si="13"/>
        <v>2.1944513800000007</v>
      </c>
      <c r="J104" s="282">
        <f t="shared" si="13"/>
        <v>2.6315442900000003</v>
      </c>
      <c r="K104" s="282">
        <f t="shared" si="13"/>
        <v>2.5356069099999998</v>
      </c>
      <c r="L104" s="282">
        <f t="shared" si="13"/>
        <v>2.953277410000001</v>
      </c>
      <c r="M104" s="282">
        <f t="shared" si="13"/>
        <v>2.5242125500000001</v>
      </c>
      <c r="N104" s="282">
        <f t="shared" si="13"/>
        <v>2.1706548699999999</v>
      </c>
      <c r="O104" s="283">
        <f>SUM(C104:N104)</f>
        <v>32.191892320000001</v>
      </c>
      <c r="P104" s="263"/>
      <c r="Q104" s="264">
        <v>1003</v>
      </c>
      <c r="R104" s="265" t="s">
        <v>42</v>
      </c>
      <c r="S104" s="287">
        <f>SUM(S105:S131)</f>
        <v>2.9085429999999999</v>
      </c>
      <c r="T104" s="287">
        <f t="shared" ref="T104:AD104" si="14">SUM(T105:T131)</f>
        <v>2.7817490000000005</v>
      </c>
      <c r="U104" s="287">
        <f t="shared" si="14"/>
        <v>2.9731150000000004</v>
      </c>
      <c r="V104" s="287">
        <f t="shared" si="14"/>
        <v>2.6604210000000004</v>
      </c>
      <c r="W104" s="287">
        <f t="shared" si="14"/>
        <v>2.50393</v>
      </c>
      <c r="X104" s="287">
        <f t="shared" si="14"/>
        <v>3.259592</v>
      </c>
      <c r="Y104" s="287">
        <f t="shared" si="14"/>
        <v>2.4915959999999995</v>
      </c>
      <c r="Z104" s="287">
        <f t="shared" si="14"/>
        <v>2.4706530000000004</v>
      </c>
      <c r="AA104" s="287">
        <f t="shared" si="14"/>
        <v>2.1621509999999997</v>
      </c>
      <c r="AB104" s="287">
        <f t="shared" si="14"/>
        <v>2.5641410000000002</v>
      </c>
      <c r="AC104" s="287">
        <f t="shared" si="14"/>
        <v>2.8568630000000006</v>
      </c>
      <c r="AD104" s="287">
        <f t="shared" si="14"/>
        <v>2.4611509999999996</v>
      </c>
      <c r="AE104" s="288">
        <f>SUM(S104:AD104)</f>
        <v>32.093904999999999</v>
      </c>
      <c r="AG104" s="267">
        <v>1003</v>
      </c>
      <c r="AH104" s="268" t="s">
        <v>42</v>
      </c>
      <c r="AI104" s="293">
        <f>SUM(AI105:AI131)</f>
        <v>2.5384900300000002</v>
      </c>
      <c r="AJ104" s="293">
        <f t="shared" ref="AJ104:AT104" si="15">SUM(AJ105:AJ131)</f>
        <v>2.6864176400000002</v>
      </c>
      <c r="AK104" s="293">
        <f t="shared" si="15"/>
        <v>3.1146800100000003</v>
      </c>
      <c r="AL104" s="293">
        <f t="shared" si="15"/>
        <v>2.8815286500000004</v>
      </c>
      <c r="AM104" s="293">
        <f t="shared" si="15"/>
        <v>2.7582014000000004</v>
      </c>
      <c r="AN104" s="293">
        <f t="shared" si="15"/>
        <v>3.3347606899999995</v>
      </c>
      <c r="AO104" s="293">
        <f t="shared" si="15"/>
        <v>2.35960284</v>
      </c>
      <c r="AP104" s="293">
        <f t="shared" si="15"/>
        <v>2.2448120099999995</v>
      </c>
      <c r="AQ104" s="293">
        <f t="shared" si="15"/>
        <v>1.8430651400000007</v>
      </c>
      <c r="AR104" s="293">
        <f t="shared" si="15"/>
        <v>2.4753562299999987</v>
      </c>
      <c r="AS104" s="293">
        <f t="shared" si="15"/>
        <v>3.1764354199999998</v>
      </c>
      <c r="AT104" s="293">
        <f t="shared" si="15"/>
        <v>2.38212907</v>
      </c>
      <c r="AU104" s="294">
        <f>SUM(AI104:AT104)</f>
        <v>31.795479130000004</v>
      </c>
    </row>
    <row r="105" spans="1:47" s="273" customFormat="1" x14ac:dyDescent="0.2">
      <c r="A105" s="269">
        <v>1004</v>
      </c>
      <c r="B105" s="203" t="s">
        <v>43</v>
      </c>
      <c r="C105" s="284">
        <f>+[2]ต.ค.59!$G$37/10^6</f>
        <v>1.24031906</v>
      </c>
      <c r="D105" s="284">
        <f>+[2]พ.ย.59!$G$37/10^6</f>
        <v>0.99043201999999997</v>
      </c>
      <c r="E105" s="284">
        <f>+[2]ธ.ค.59!$G$37/10^6</f>
        <v>1.0016266899999999</v>
      </c>
      <c r="F105" s="284">
        <f>+[2]ม.ค.60!$G$37/10^6</f>
        <v>1.0543877400000001</v>
      </c>
      <c r="G105" s="284">
        <f>+[2]ก.พ.60!$G$37/10^6</f>
        <v>0.88537352999999974</v>
      </c>
      <c r="H105" s="284">
        <f>+[2]มี.ค.60!$G$37/10^6</f>
        <v>1.5293853600000002</v>
      </c>
      <c r="I105" s="284">
        <f>+[2]เม.ย.60!$G$37/10^6</f>
        <v>0.80220866000000013</v>
      </c>
      <c r="J105" s="284">
        <f>+[2]พ.ค.60!$G$37/10^6</f>
        <v>1.15368881</v>
      </c>
      <c r="K105" s="284">
        <f>+[2]มิ.ย.60!$G$37/10^6</f>
        <v>1.1159009600000001</v>
      </c>
      <c r="L105" s="284">
        <f>+[2]ก.ค.60!$G$37/10^6</f>
        <v>1.3185024100000002</v>
      </c>
      <c r="M105" s="284">
        <f>+[2]ส.ค.60!$G$37/10^6</f>
        <v>0.92312116999999994</v>
      </c>
      <c r="N105" s="284">
        <f>+[2]ก.ย.60!$G$37/10^6</f>
        <v>0.69956370999999995</v>
      </c>
      <c r="O105" s="283">
        <f t="shared" ref="O105:O131" si="16">SUM(C105:N105)</f>
        <v>12.71451012</v>
      </c>
      <c r="P105" s="270"/>
      <c r="Q105" s="271">
        <v>1004</v>
      </c>
      <c r="R105" s="272" t="s">
        <v>43</v>
      </c>
      <c r="S105" s="289">
        <f>+[3]ปริมาณน้ำสูญเสีย!B68/10^6</f>
        <v>1.21696</v>
      </c>
      <c r="T105" s="289">
        <f>+[3]ปริมาณน้ำสูญเสีย!C68/10^6</f>
        <v>1.262173</v>
      </c>
      <c r="U105" s="289">
        <f>+[3]ปริมาณน้ำสูญเสีย!D68/10^6</f>
        <v>1.2982830000000001</v>
      </c>
      <c r="V105" s="289">
        <f>+[3]ปริมาณน้ำสูญเสีย!E68/10^6</f>
        <v>1.0290550000000001</v>
      </c>
      <c r="W105" s="289">
        <f>+[3]ปริมาณน้ำสูญเสีย!F68/10^6</f>
        <v>1.0371300000000001</v>
      </c>
      <c r="X105" s="289">
        <f>+[3]ปริมาณน้ำสูญเสีย!G68/10^6</f>
        <v>1.401513</v>
      </c>
      <c r="Y105" s="289">
        <f>+[3]ปริมาณน้ำสูญเสีย!H68/10^6</f>
        <v>0.931029</v>
      </c>
      <c r="Z105" s="289">
        <f>+[3]ปริมาณน้ำสูญเสีย!I68/10^6</f>
        <v>1.026937</v>
      </c>
      <c r="AA105" s="289">
        <f>+[3]ปริมาณน้ำสูญเสีย!J68/10^6</f>
        <v>0.839615</v>
      </c>
      <c r="AB105" s="289">
        <f>+[3]ปริมาณน้ำสูญเสีย!K68/10^6</f>
        <v>1.1022799999999999</v>
      </c>
      <c r="AC105" s="289">
        <f>+[3]ปริมาณน้ำสูญเสีย!L68/10^6</f>
        <v>1.1775850000000001</v>
      </c>
      <c r="AD105" s="289">
        <f>+[3]ปริมาณน้ำสูญเสีย!M68/10^6</f>
        <v>0.92903199999999997</v>
      </c>
      <c r="AE105" s="288">
        <f t="shared" ref="AE105:AE131" si="17">SUM(S105:AD105)</f>
        <v>13.251592000000002</v>
      </c>
      <c r="AF105" s="290">
        <f>+[3]ปริมาณน้ำสูญเสีย!O68/10^6</f>
        <v>13.251592</v>
      </c>
      <c r="AG105" s="274">
        <v>1004</v>
      </c>
      <c r="AH105" s="275" t="s">
        <v>43</v>
      </c>
      <c r="AI105" s="295">
        <f>+[4]ต.ค.58!$G$35/10^6</f>
        <v>0.97171176999999997</v>
      </c>
      <c r="AJ105" s="295">
        <f>+[4]พ.ย.58!$G$35/10^6</f>
        <v>1.2492966600000002</v>
      </c>
      <c r="AK105" s="295">
        <f>+[4]ธ.ค.58!$G$35/10^6</f>
        <v>1.44824931</v>
      </c>
      <c r="AL105" s="295">
        <f>+[4]ม.ค.59!$G$35/10^6</f>
        <v>1.1147174100000001</v>
      </c>
      <c r="AM105" s="295">
        <f>+[4]ก.พ.59!$G$35/10^6</f>
        <v>1.156685</v>
      </c>
      <c r="AN105" s="295">
        <f>+[4]มี.ค.59!$G$35/10^6</f>
        <v>1.4744012500000001</v>
      </c>
      <c r="AO105" s="295">
        <f>+[4]เม.ย.59!$G$35/10^6</f>
        <v>0.7711430600000001</v>
      </c>
      <c r="AP105" s="295">
        <f>+[4]พ.ค.59!$G$35/10^6</f>
        <v>0.95097429999999983</v>
      </c>
      <c r="AQ105" s="295">
        <f>+[4]มิ.ย.59!$G$35/10^6</f>
        <v>0.66129466000000015</v>
      </c>
      <c r="AR105" s="295">
        <f>+[4]ก.ค.59!$G$35/10^6</f>
        <v>1.0657272799999997</v>
      </c>
      <c r="AS105" s="295">
        <f>+[4]ส.ค.59!$G$35/10^6</f>
        <v>1.3645725699999998</v>
      </c>
      <c r="AT105" s="295">
        <f>+[4]ก.ย.59!$G$35/10^6</f>
        <v>0.87953395000000023</v>
      </c>
      <c r="AU105" s="294">
        <f t="shared" ref="AU105:AU131" si="18">SUM(AI105:AT105)</f>
        <v>13.10830722</v>
      </c>
    </row>
    <row r="106" spans="1:47" s="273" customFormat="1" x14ac:dyDescent="0.2">
      <c r="A106" s="269">
        <v>1005</v>
      </c>
      <c r="B106" s="203" t="s">
        <v>44</v>
      </c>
      <c r="C106" s="284">
        <f>+[2]ต.ค.59!$H$37/10^6</f>
        <v>7.7038600000000007E-3</v>
      </c>
      <c r="D106" s="284">
        <f>+[2]พ.ย.59!$H$37/10^6</f>
        <v>6.9360899999999963E-3</v>
      </c>
      <c r="E106" s="284">
        <f>+[2]ธ.ค.59!$H$37/10^6</f>
        <v>7.5262399999999983E-3</v>
      </c>
      <c r="F106" s="284">
        <f>+[2]ม.ค.60!$H$37/10^6</f>
        <v>8.3718000000000022E-3</v>
      </c>
      <c r="G106" s="284">
        <f>+[2]ก.พ.60!$H$37/10^6</f>
        <v>6.4688399999999965E-3</v>
      </c>
      <c r="H106" s="284">
        <f>+[2]มี.ค.60!$H$37/10^6</f>
        <v>8.2585299999999983E-3</v>
      </c>
      <c r="I106" s="284">
        <f>+[2]เม.ย.60!$H$37/10^6</f>
        <v>8.9964600000000065E-3</v>
      </c>
      <c r="J106" s="284">
        <f>+[2]พ.ค.60!$H$37/10^6</f>
        <v>7.8767900000000016E-3</v>
      </c>
      <c r="K106" s="284">
        <f>+[2]มิ.ย.60!$H$37/10^6</f>
        <v>8.5549899999999984E-3</v>
      </c>
      <c r="L106" s="284">
        <f>+[2]ก.ค.60!$H$37/10^6</f>
        <v>8.6927699999999972E-3</v>
      </c>
      <c r="M106" s="284">
        <f>+[2]ส.ค.60!$H$37/10^6</f>
        <v>8.8574000000000014E-3</v>
      </c>
      <c r="N106" s="284">
        <f>+[2]ก.ย.60!$H$37/10^6</f>
        <v>8.4897799999999989E-3</v>
      </c>
      <c r="O106" s="283">
        <f t="shared" si="16"/>
        <v>9.6733550000000001E-2</v>
      </c>
      <c r="P106" s="270"/>
      <c r="Q106" s="271">
        <v>1005</v>
      </c>
      <c r="R106" s="272" t="s">
        <v>44</v>
      </c>
      <c r="S106" s="289">
        <f>+[3]ปริมาณน้ำสูญเสีย!B69/10^6</f>
        <v>9.2079999999999992E-3</v>
      </c>
      <c r="T106" s="289">
        <f>+[3]ปริมาณน้ำสูญเสีย!C69/10^6</f>
        <v>9.2860000000000009E-3</v>
      </c>
      <c r="U106" s="289">
        <f>+[3]ปริมาณน้ำสูญเสีย!D69/10^6</f>
        <v>1.0097999999999999E-2</v>
      </c>
      <c r="V106" s="289">
        <f>+[3]ปริมาณน้ำสูญเสีย!E69/10^6</f>
        <v>8.8970000000000004E-3</v>
      </c>
      <c r="W106" s="289">
        <f>+[3]ปริมาณน้ำสูญเสีย!F69/10^6</f>
        <v>6.8230000000000001E-3</v>
      </c>
      <c r="X106" s="289">
        <f>+[3]ปริมาณน้ำสูญเสีย!G69/10^6</f>
        <v>9.5569999999999995E-3</v>
      </c>
      <c r="Y106" s="289">
        <f>+[3]ปริมาณน้ำสูญเสีย!H69/10^6</f>
        <v>1.001E-2</v>
      </c>
      <c r="Z106" s="289">
        <f>+[3]ปริมาณน้ำสูญเสีย!I69/10^6</f>
        <v>1.0272E-2</v>
      </c>
      <c r="AA106" s="289">
        <f>+[3]ปริมาณน้ำสูญเสีย!J69/10^6</f>
        <v>7.9930000000000001E-3</v>
      </c>
      <c r="AB106" s="289">
        <f>+[3]ปริมาณน้ำสูญเสีย!K69/10^6</f>
        <v>7.6610000000000003E-3</v>
      </c>
      <c r="AC106" s="289">
        <f>+[3]ปริมาณน้ำสูญเสีย!L69/10^6</f>
        <v>7.6519999999999999E-3</v>
      </c>
      <c r="AD106" s="289">
        <f>+[3]ปริมาณน้ำสูญเสีย!M69/10^6</f>
        <v>6.7710000000000001E-3</v>
      </c>
      <c r="AE106" s="288">
        <f t="shared" si="17"/>
        <v>0.10422800000000002</v>
      </c>
      <c r="AF106" s="290">
        <f>+[3]ปริมาณน้ำสูญเสีย!O69/10^6</f>
        <v>0.104228</v>
      </c>
      <c r="AG106" s="274">
        <v>1005</v>
      </c>
      <c r="AH106" s="275" t="s">
        <v>44</v>
      </c>
      <c r="AI106" s="295">
        <f>+[4]ต.ค.58!$H$35/10^6</f>
        <v>8.7325100000000024E-3</v>
      </c>
      <c r="AJ106" s="295">
        <f>+[4]พ.ย.58!$H$35/10^6</f>
        <v>9.4959499999999978E-3</v>
      </c>
      <c r="AK106" s="295">
        <f>+[4]ธ.ค.58!$H$35/10^6</f>
        <v>1.0260010000000002E-2</v>
      </c>
      <c r="AL106" s="295">
        <f>+[4]ม.ค.59!$H$35/10^6</f>
        <v>8.0536699999999989E-3</v>
      </c>
      <c r="AM106" s="295">
        <f>+[4]ก.พ.59!$H$35/10^6</f>
        <v>6.7806999999999971E-3</v>
      </c>
      <c r="AN106" s="295">
        <f>+[4]มี.ค.59!$H$35/10^6</f>
        <v>7.4080700000000001E-3</v>
      </c>
      <c r="AO106" s="295">
        <f>+[4]เม.ย.59!$H$35/10^6</f>
        <v>9.6133500000000066E-3</v>
      </c>
      <c r="AP106" s="295">
        <f>+[4]พ.ค.59!$H$35/10^6</f>
        <v>1.2612070000000006E-2</v>
      </c>
      <c r="AQ106" s="295">
        <f>+[4]มิ.ย.59!$H$35/10^6</f>
        <v>8.9833999999999938E-3</v>
      </c>
      <c r="AR106" s="295">
        <f>+[4]ก.ค.59!$H$35/10^6</f>
        <v>8.1843000000000037E-3</v>
      </c>
      <c r="AS106" s="295">
        <f>+[4]ส.ค.59!$H$35/10^6</f>
        <v>8.1746999999999966E-3</v>
      </c>
      <c r="AT106" s="295">
        <f>+[4]ก.ย.59!$H$35/10^6</f>
        <v>6.3871200000000022E-3</v>
      </c>
      <c r="AU106" s="294">
        <f t="shared" si="18"/>
        <v>0.10468585</v>
      </c>
    </row>
    <row r="107" spans="1:47" s="273" customFormat="1" x14ac:dyDescent="0.2">
      <c r="A107" s="269">
        <v>1006</v>
      </c>
      <c r="B107" s="203" t="s">
        <v>45</v>
      </c>
      <c r="C107" s="284">
        <f>+[2]ต.ค.59!$I$37/10^6</f>
        <v>8.6669899999999966E-2</v>
      </c>
      <c r="D107" s="284">
        <f>+[2]พ.ย.59!$I$37/10^6</f>
        <v>0.12076978999999997</v>
      </c>
      <c r="E107" s="284">
        <f>+[2]ธ.ค.59!$I$37/10^6</f>
        <v>0.11669660000000001</v>
      </c>
      <c r="F107" s="284">
        <f>+[2]ม.ค.60!$I$37/10^6</f>
        <v>0.11564342000000001</v>
      </c>
      <c r="G107" s="284">
        <f>+[2]ก.พ.60!$I$37/10^6</f>
        <v>0.13117054</v>
      </c>
      <c r="H107" s="284">
        <f>+[2]มี.ค.60!$I$37/10^6</f>
        <v>9.6366179999999996E-2</v>
      </c>
      <c r="I107" s="284">
        <f>+[2]เม.ย.60!$I$37/10^6</f>
        <v>0.11763402000000002</v>
      </c>
      <c r="J107" s="284">
        <f>+[2]พ.ค.60!$I$37/10^6</f>
        <v>9.987778999999998E-2</v>
      </c>
      <c r="K107" s="284">
        <f>+[2]มิ.ย.60!$I$37/10^6</f>
        <v>0.11090639999999999</v>
      </c>
      <c r="L107" s="284">
        <f>+[2]ก.ค.60!$I$37/10^6</f>
        <v>0.11573430000000001</v>
      </c>
      <c r="M107" s="284">
        <f>+[2]ส.ค.60!$I$37/10^6</f>
        <v>0.10878703999999997</v>
      </c>
      <c r="N107" s="284">
        <f>+[2]ก.ย.60!$I$37/10^6</f>
        <v>0.10877548000000001</v>
      </c>
      <c r="O107" s="283">
        <f t="shared" si="16"/>
        <v>1.3290314599999999</v>
      </c>
      <c r="P107" s="270"/>
      <c r="Q107" s="271">
        <v>1006</v>
      </c>
      <c r="R107" s="272" t="s">
        <v>45</v>
      </c>
      <c r="S107" s="289">
        <f>+[3]ปริมาณน้ำสูญเสีย!B70/10^6</f>
        <v>0.120876</v>
      </c>
      <c r="T107" s="289">
        <f>+[3]ปริมาณน้ำสูญเสีย!C70/10^6</f>
        <v>0.10990800000000001</v>
      </c>
      <c r="U107" s="289">
        <f>+[3]ปริมาณน้ำสูญเสีย!D70/10^6</f>
        <v>9.5840999999999996E-2</v>
      </c>
      <c r="V107" s="289">
        <f>+[3]ปริมาณน้ำสูญเสีย!E70/10^6</f>
        <v>9.4670000000000004E-2</v>
      </c>
      <c r="W107" s="289">
        <f>+[3]ปริมาณน้ำสูญเสีย!F70/10^6</f>
        <v>8.8513999999999995E-2</v>
      </c>
      <c r="X107" s="289">
        <f>+[3]ปริมาณน้ำสูญเสีย!G70/10^6</f>
        <v>0.105129</v>
      </c>
      <c r="Y107" s="289">
        <f>+[3]ปริมาณน้ำสูญเสีย!H70/10^6</f>
        <v>0.10389</v>
      </c>
      <c r="Z107" s="289">
        <f>+[3]ปริมาณน้ำสูญเสีย!I70/10^6</f>
        <v>9.3613000000000002E-2</v>
      </c>
      <c r="AA107" s="289">
        <f>+[3]ปริมาณน้ำสูญเสีย!J70/10^6</f>
        <v>8.5453000000000001E-2</v>
      </c>
      <c r="AB107" s="289">
        <f>+[3]ปริมาณน้ำสูญเสีย!K70/10^6</f>
        <v>8.1591999999999998E-2</v>
      </c>
      <c r="AC107" s="289">
        <f>+[3]ปริมาณน้ำสูญเสีย!L70/10^6</f>
        <v>0.10473499999999999</v>
      </c>
      <c r="AD107" s="289">
        <f>+[3]ปริมาณน้ำสูญเสีย!M70/10^6</f>
        <v>0.109241</v>
      </c>
      <c r="AE107" s="288">
        <f t="shared" si="17"/>
        <v>1.1934619999999998</v>
      </c>
      <c r="AF107" s="290">
        <f>+[3]ปริมาณน้ำสูญเสีย!O70/10^6</f>
        <v>1.193462</v>
      </c>
      <c r="AG107" s="274">
        <v>1006</v>
      </c>
      <c r="AH107" s="275" t="s">
        <v>45</v>
      </c>
      <c r="AI107" s="295">
        <f>+[4]ต.ค.58!$I$35/10^6</f>
        <v>0.13049384999999997</v>
      </c>
      <c r="AJ107" s="295">
        <f>+[4]พ.ย.58!$I$35/10^6</f>
        <v>0.10973203000000002</v>
      </c>
      <c r="AK107" s="295">
        <f>+[4]ธ.ค.58!$I$35/10^6</f>
        <v>0.11154774999999997</v>
      </c>
      <c r="AL107" s="295">
        <f>+[4]ม.ค.59!$I$35/10^6</f>
        <v>0.11042032999999998</v>
      </c>
      <c r="AM107" s="295">
        <f>+[4]ก.พ.59!$I$35/10^6</f>
        <v>0.11323890000000002</v>
      </c>
      <c r="AN107" s="295">
        <f>+[4]มี.ค.59!$I$35/10^6</f>
        <v>0.1000389</v>
      </c>
      <c r="AO107" s="295">
        <f>+[4]เม.ย.59!$I$35/10^6</f>
        <v>9.9496889999999991E-2</v>
      </c>
      <c r="AP107" s="295">
        <f>+[4]พ.ค.59!$I$35/10^6</f>
        <v>7.6688969999999967E-2</v>
      </c>
      <c r="AQ107" s="295">
        <f>+[4]มิ.ย.59!$I$35/10^6</f>
        <v>7.7783720000000001E-2</v>
      </c>
      <c r="AR107" s="295">
        <f>+[4]ก.ค.59!$I$35/10^6</f>
        <v>8.0432989999999996E-2</v>
      </c>
      <c r="AS107" s="295">
        <f>+[4]ส.ค.59!$I$35/10^6</f>
        <v>8.8086729999999988E-2</v>
      </c>
      <c r="AT107" s="295">
        <f>+[4]ก.ย.59!$I$35/10^6</f>
        <v>7.2310109999999983E-2</v>
      </c>
      <c r="AU107" s="294">
        <f t="shared" si="18"/>
        <v>1.1702711699999999</v>
      </c>
    </row>
    <row r="108" spans="1:47" s="273" customFormat="1" x14ac:dyDescent="0.2">
      <c r="A108" s="269">
        <v>1007</v>
      </c>
      <c r="B108" s="203" t="s">
        <v>46</v>
      </c>
      <c r="C108" s="284">
        <f>+[2]ต.ค.59!$J$37/10^6</f>
        <v>0.15474299999999999</v>
      </c>
      <c r="D108" s="284">
        <f>+[2]พ.ย.59!$J$37/10^6</f>
        <v>0.145035</v>
      </c>
      <c r="E108" s="284">
        <f>+[2]ธ.ค.59!$J$37/10^6</f>
        <v>0.14882999999999999</v>
      </c>
      <c r="F108" s="284">
        <f>+[2]ม.ค.60!$J$37/10^6</f>
        <v>0.132296</v>
      </c>
      <c r="G108" s="284">
        <f>+[2]ก.พ.60!$J$37/10^6</f>
        <v>0.11222699999999999</v>
      </c>
      <c r="H108" s="284">
        <f>+[2]มี.ค.60!$J$37/10^6</f>
        <v>0.16031300000000001</v>
      </c>
      <c r="I108" s="284">
        <f>+[2]เม.ย.60!$J$37/10^6</f>
        <v>0.125718</v>
      </c>
      <c r="J108" s="284">
        <f>+[2]พ.ค.60!$J$37/10^6</f>
        <v>0.110085</v>
      </c>
      <c r="K108" s="284">
        <f>+[2]มิ.ย.60!$J$37/10^6</f>
        <v>0.16154199999999999</v>
      </c>
      <c r="L108" s="284">
        <f>+[2]ก.ค.60!$J$37/10^6</f>
        <v>0.181503</v>
      </c>
      <c r="M108" s="284">
        <f>+[2]ส.ค.60!$J$37/10^6</f>
        <v>0.160694</v>
      </c>
      <c r="N108" s="284">
        <f>+[2]ก.ย.60!$J$37/10^6</f>
        <v>0.122505</v>
      </c>
      <c r="O108" s="283">
        <f t="shared" si="16"/>
        <v>1.7154910000000003</v>
      </c>
      <c r="P108" s="270"/>
      <c r="Q108" s="271">
        <v>1007</v>
      </c>
      <c r="R108" s="272" t="s">
        <v>46</v>
      </c>
      <c r="S108" s="289">
        <f>+[3]ปริมาณน้ำสูญเสีย!B71/10^6</f>
        <v>0.14910000000000001</v>
      </c>
      <c r="T108" s="289">
        <f>+[3]ปริมาณน้ำสูญเสีย!C71/10^6</f>
        <v>0.14675199999999999</v>
      </c>
      <c r="U108" s="289">
        <f>+[3]ปริมาณน้ำสูญเสีย!D71/10^6</f>
        <v>0.13867499999999999</v>
      </c>
      <c r="V108" s="289">
        <f>+[3]ปริมาณน้ำสูญเสีย!E71/10^6</f>
        <v>0.179845</v>
      </c>
      <c r="W108" s="289">
        <f>+[3]ปริมาณน้ำสูญเสีย!F71/10^6</f>
        <v>0.166384</v>
      </c>
      <c r="X108" s="289">
        <f>+[3]ปริมาณน้ำสูญเสีย!G71/10^6</f>
        <v>0.15819800000000001</v>
      </c>
      <c r="Y108" s="289">
        <f>+[3]ปริมาณน้ำสูญเสีย!H71/10^6</f>
        <v>0.13650399999999999</v>
      </c>
      <c r="Z108" s="289">
        <f>+[3]ปริมาณน้ำสูญเสีย!I71/10^6</f>
        <v>0.13964199999999999</v>
      </c>
      <c r="AA108" s="289">
        <f>+[3]ปริมาณน้ำสูญเสีย!J71/10^6</f>
        <v>0.133073</v>
      </c>
      <c r="AB108" s="289">
        <f>+[3]ปริมาณน้ำสูญเสีย!K71/10^6</f>
        <v>0.129413</v>
      </c>
      <c r="AC108" s="289">
        <f>+[3]ปริมาณน้ำสูญเสีย!L71/10^6</f>
        <v>0.15951399999999999</v>
      </c>
      <c r="AD108" s="289">
        <f>+[3]ปริมาณน้ำสูญเสีย!M71/10^6</f>
        <v>0.16900000000000001</v>
      </c>
      <c r="AE108" s="288">
        <f t="shared" si="17"/>
        <v>1.8061</v>
      </c>
      <c r="AF108" s="290">
        <f>+[3]ปริมาณน้ำสูญเสีย!O71/10^6</f>
        <v>1.8061</v>
      </c>
      <c r="AG108" s="274">
        <v>1007</v>
      </c>
      <c r="AH108" s="275" t="s">
        <v>46</v>
      </c>
      <c r="AI108" s="295">
        <f>+[4]ต.ค.58!$J$35/10^6</f>
        <v>0.143097</v>
      </c>
      <c r="AJ108" s="295">
        <f>+[4]พ.ย.58!$J$35/10^6</f>
        <v>0.154581</v>
      </c>
      <c r="AK108" s="295">
        <f>+[4]ธ.ค.58!$J$35/10^6</f>
        <v>0.16043399999999999</v>
      </c>
      <c r="AL108" s="295">
        <f>+[4]ม.ค.59!$J$35/10^6</f>
        <v>0.26965099999999997</v>
      </c>
      <c r="AM108" s="295">
        <f>+[4]ก.พ.59!$J$35/10^6</f>
        <v>0.25317699999999999</v>
      </c>
      <c r="AN108" s="295">
        <f>+[4]มี.ค.59!$J$35/10^6</f>
        <v>0.18129799999999999</v>
      </c>
      <c r="AO108" s="295">
        <f>+[4]เม.ย.59!$J$35/10^6</f>
        <v>0.152943</v>
      </c>
      <c r="AP108" s="295">
        <f>+[4]พ.ค.59!$J$35/10^6</f>
        <v>0.143204</v>
      </c>
      <c r="AQ108" s="295">
        <f>+[4]มิ.ย.59!$J$35/10^6</f>
        <v>0.13439699999999999</v>
      </c>
      <c r="AR108" s="295">
        <f>+[4]ก.ค.59!$J$35/10^6</f>
        <v>0.13882</v>
      </c>
      <c r="AS108" s="295">
        <f>+[4]ส.ค.59!$J$35/10^6</f>
        <v>0.21374899999999999</v>
      </c>
      <c r="AT108" s="295">
        <f>+[4]ก.ย.59!$J$35/10^6</f>
        <v>0.192136</v>
      </c>
      <c r="AU108" s="294">
        <f t="shared" si="18"/>
        <v>2.1374869999999997</v>
      </c>
    </row>
    <row r="109" spans="1:47" s="273" customFormat="1" x14ac:dyDescent="0.2">
      <c r="A109" s="269">
        <v>1008</v>
      </c>
      <c r="B109" s="203" t="s">
        <v>47</v>
      </c>
      <c r="C109" s="284">
        <f>+[2]ต.ค.59!$K$37/10^6</f>
        <v>3.4156390000000016E-2</v>
      </c>
      <c r="D109" s="284">
        <f>+[2]พ.ย.59!$K$37/10^6</f>
        <v>3.2348369999999994E-2</v>
      </c>
      <c r="E109" s="284">
        <f>+[2]ธ.ค.59!$K$37/10^6</f>
        <v>3.9565260000000012E-2</v>
      </c>
      <c r="F109" s="284">
        <f>+[2]ม.ค.60!$K$37/10^6</f>
        <v>3.2374270000000017E-2</v>
      </c>
      <c r="G109" s="284">
        <f>+[2]ก.พ.60!$K$37/10^6</f>
        <v>2.1154789999999979E-2</v>
      </c>
      <c r="H109" s="284">
        <f>+[2]มี.ค.60!$K$37/10^6</f>
        <v>4.1296950000000013E-2</v>
      </c>
      <c r="I109" s="284">
        <f>+[2]เม.ย.60!$K$37/10^6</f>
        <v>1.6971229999999983E-2</v>
      </c>
      <c r="J109" s="284">
        <f>+[2]พ.ค.60!$K$37/10^6</f>
        <v>1.6019739999999991E-2</v>
      </c>
      <c r="K109" s="284">
        <f>+[2]มิ.ย.60!$K$37/10^6</f>
        <v>1.3233729999999982E-2</v>
      </c>
      <c r="L109" s="284">
        <f>+[2]ก.ค.60!$K$37/10^6</f>
        <v>3.3857330000000019E-2</v>
      </c>
      <c r="M109" s="284">
        <f>+[2]ส.ค.60!$K$37/10^6</f>
        <v>2.279747E-2</v>
      </c>
      <c r="N109" s="284">
        <f>+[2]ก.ย.60!$K$37/10^6</f>
        <v>2.0585160000000005E-2</v>
      </c>
      <c r="O109" s="283">
        <f t="shared" si="16"/>
        <v>0.3243606899999999</v>
      </c>
      <c r="P109" s="270"/>
      <c r="Q109" s="271">
        <v>1008</v>
      </c>
      <c r="R109" s="272" t="s">
        <v>47</v>
      </c>
      <c r="S109" s="289">
        <f>+[3]ปริมาณน้ำสูญเสีย!B72/10^6</f>
        <v>2.3389E-2</v>
      </c>
      <c r="T109" s="289">
        <f>+[3]ปริมาณน้ำสูญเสีย!C72/10^6</f>
        <v>2.2602000000000001E-2</v>
      </c>
      <c r="U109" s="289">
        <f>+[3]ปริมาณน้ำสูญเสีย!D72/10^6</f>
        <v>3.3465000000000002E-2</v>
      </c>
      <c r="V109" s="289">
        <f>+[3]ปริมาณน้ำสูญเสีย!E72/10^6</f>
        <v>3.1580999999999998E-2</v>
      </c>
      <c r="W109" s="289">
        <f>+[3]ปริมาณน้ำสูญเสีย!F72/10^6</f>
        <v>2.8885999999999998E-2</v>
      </c>
      <c r="X109" s="289">
        <f>+[3]ปริมาณน้ำสูญเสีย!G72/10^6</f>
        <v>3.4687999999999997E-2</v>
      </c>
      <c r="Y109" s="289">
        <f>+[3]ปริมาณน้ำสูญเสีย!H72/10^6</f>
        <v>4.4783999999999997E-2</v>
      </c>
      <c r="Z109" s="289">
        <f>+[3]ปริมาณน้ำสูญเสีย!I72/10^6</f>
        <v>2.6669000000000002E-2</v>
      </c>
      <c r="AA109" s="289">
        <f>+[3]ปริมาณน้ำสูญเสีย!J72/10^6</f>
        <v>2.6713000000000001E-2</v>
      </c>
      <c r="AB109" s="289">
        <f>+[3]ปริมาณน้ำสูญเสีย!K72/10^6</f>
        <v>2.7675000000000002E-2</v>
      </c>
      <c r="AC109" s="289">
        <f>+[3]ปริมาณน้ำสูญเสีย!L72/10^6</f>
        <v>2.5634000000000001E-2</v>
      </c>
      <c r="AD109" s="289">
        <f>+[3]ปริมาณน้ำสูญเสีย!M72/10^6</f>
        <v>2.1555000000000001E-2</v>
      </c>
      <c r="AE109" s="288">
        <f t="shared" si="17"/>
        <v>0.34764099999999998</v>
      </c>
      <c r="AF109" s="290">
        <f>+[3]ปริมาณน้ำสูญเสีย!O72/10^6</f>
        <v>0.34764099999999998</v>
      </c>
      <c r="AG109" s="274">
        <v>1008</v>
      </c>
      <c r="AH109" s="275" t="s">
        <v>47</v>
      </c>
      <c r="AI109" s="295">
        <f>+[4]ต.ค.58!$K$35/10^6</f>
        <v>2.0125000000000001E-2</v>
      </c>
      <c r="AJ109" s="295">
        <f>+[4]พ.ย.58!$K$35/10^6</f>
        <v>2.1582E-2</v>
      </c>
      <c r="AK109" s="295">
        <f>+[4]ธ.ค.58!$K$35/10^6</f>
        <v>4.317979000000001E-2</v>
      </c>
      <c r="AL109" s="295">
        <f>+[4]ม.ค.59!$K$35/10^6</f>
        <v>4.1068679999999996E-2</v>
      </c>
      <c r="AM109" s="295">
        <f>+[4]ก.พ.59!$K$35/10^6</f>
        <v>3.9195970000000004E-2</v>
      </c>
      <c r="AN109" s="295">
        <f>+[4]มี.ค.59!$K$35/10^6</f>
        <v>4.0012690000000004E-2</v>
      </c>
      <c r="AO109" s="295">
        <f>+[4]เม.ย.59!$K$35/10^6</f>
        <v>4.2228500000000002E-2</v>
      </c>
      <c r="AP109" s="295">
        <f>+[4]พ.ค.59!$K$35/10^6</f>
        <v>1.2142919999999984E-2</v>
      </c>
      <c r="AQ109" s="295">
        <f>+[4]มิ.ย.59!$K$35/10^6</f>
        <v>1.6985010000000009E-2</v>
      </c>
      <c r="AR109" s="295">
        <f>+[4]ก.ค.59!$K$35/10^6</f>
        <v>2.175197999999998E-2</v>
      </c>
      <c r="AS109" s="295">
        <f>+[4]ส.ค.59!$K$35/10^6</f>
        <v>2.8518850000000005E-2</v>
      </c>
      <c r="AT109" s="295">
        <f>+[4]ก.ย.59!$K$35/10^6</f>
        <v>1.8581169999999998E-2</v>
      </c>
      <c r="AU109" s="294">
        <f t="shared" si="18"/>
        <v>0.34537256</v>
      </c>
    </row>
    <row r="110" spans="1:47" s="273" customFormat="1" x14ac:dyDescent="0.2">
      <c r="A110" s="269">
        <v>1009</v>
      </c>
      <c r="B110" s="203" t="s">
        <v>48</v>
      </c>
      <c r="C110" s="284">
        <f>+[2]ต.ค.59!$L$37/10^6</f>
        <v>2.9325359999999984E-2</v>
      </c>
      <c r="D110" s="284">
        <f>+[2]พ.ย.59!$L$37/10^6</f>
        <v>3.046975E-2</v>
      </c>
      <c r="E110" s="284">
        <f>+[2]ธ.ค.59!$L$37/10^6</f>
        <v>3.9155840000000011E-2</v>
      </c>
      <c r="F110" s="284">
        <f>+[2]ม.ค.60!$L$37/10^6</f>
        <v>3.5163160000000006E-2</v>
      </c>
      <c r="G110" s="284">
        <f>+[2]ก.พ.60!$L$37/10^6</f>
        <v>2.896075E-2</v>
      </c>
      <c r="H110" s="284">
        <f>+[2]มี.ค.60!$L$37/10^6</f>
        <v>3.2466449999999994E-2</v>
      </c>
      <c r="I110" s="284">
        <f>+[2]เม.ย.60!$L$37/10^6</f>
        <v>3.219898999999999E-2</v>
      </c>
      <c r="J110" s="284">
        <f>+[2]พ.ค.60!$L$37/10^6</f>
        <v>2.6200500000000002E-2</v>
      </c>
      <c r="K110" s="284">
        <f>+[2]มิ.ย.60!$L$37/10^6</f>
        <v>2.1433910000000004E-2</v>
      </c>
      <c r="L110" s="284">
        <f>+[2]ก.ค.60!$L$37/10^6</f>
        <v>2.4455579999999987E-2</v>
      </c>
      <c r="M110" s="284">
        <f>+[2]ส.ค.60!$L$37/10^6</f>
        <v>2.5707090000000012E-2</v>
      </c>
      <c r="N110" s="284">
        <f>+[2]ก.ย.60!$L$37/10^6</f>
        <v>2.7046630000000006E-2</v>
      </c>
      <c r="O110" s="283">
        <f t="shared" si="16"/>
        <v>0.35258401</v>
      </c>
      <c r="P110" s="270"/>
      <c r="Q110" s="271">
        <v>1009</v>
      </c>
      <c r="R110" s="272" t="s">
        <v>48</v>
      </c>
      <c r="S110" s="289">
        <f>+[3]ปริมาณน้ำสูญเสีย!B73/10^6</f>
        <v>3.2837999999999999E-2</v>
      </c>
      <c r="T110" s="289">
        <f>+[3]ปริมาณน้ำสูญเสีย!C73/10^6</f>
        <v>2.8597999999999998E-2</v>
      </c>
      <c r="U110" s="289">
        <f>+[3]ปริมาณน้ำสูญเสีย!D73/10^6</f>
        <v>3.5647999999999999E-2</v>
      </c>
      <c r="V110" s="289">
        <f>+[3]ปริมาณน้ำสูญเสีย!E73/10^6</f>
        <v>3.1151000000000002E-2</v>
      </c>
      <c r="W110" s="289">
        <f>+[3]ปริมาณน้ำสูญเสีย!F73/10^6</f>
        <v>2.7999E-2</v>
      </c>
      <c r="X110" s="289">
        <f>+[3]ปริมาณน้ำสูญเสีย!G73/10^6</f>
        <v>3.3009999999999998E-2</v>
      </c>
      <c r="Y110" s="289">
        <f>+[3]ปริมาณน้ำสูญเสีย!H73/10^6</f>
        <v>3.2350999999999998E-2</v>
      </c>
      <c r="Z110" s="289">
        <f>+[3]ปริมาณน้ำสูญเสีย!I73/10^6</f>
        <v>2.8794E-2</v>
      </c>
      <c r="AA110" s="289">
        <f>+[3]ปริมาณน้ำสูญเสีย!J73/10^6</f>
        <v>2.8162E-2</v>
      </c>
      <c r="AB110" s="289">
        <f>+[3]ปริมาณน้ำสูญเสีย!K73/10^6</f>
        <v>2.8768999999999999E-2</v>
      </c>
      <c r="AC110" s="289">
        <f>+[3]ปริมาณน้ำสูญเสีย!L73/10^6</f>
        <v>3.2736000000000001E-2</v>
      </c>
      <c r="AD110" s="289">
        <f>+[3]ปริมาณน้ำสูญเสีย!M73/10^6</f>
        <v>2.9124000000000001E-2</v>
      </c>
      <c r="AE110" s="288">
        <f t="shared" si="17"/>
        <v>0.36918000000000001</v>
      </c>
      <c r="AF110" s="290">
        <f>+[3]ปริมาณน้ำสูญเสีย!O73/10^6</f>
        <v>0.36918000000000001</v>
      </c>
      <c r="AG110" s="274">
        <v>1009</v>
      </c>
      <c r="AH110" s="275" t="s">
        <v>48</v>
      </c>
      <c r="AI110" s="295">
        <f>+[4]ต.ค.58!$L$35/10^6</f>
        <v>3.6090880000000006E-2</v>
      </c>
      <c r="AJ110" s="295">
        <f>+[4]พ.ย.58!$L$35/10^6</f>
        <v>3.0017089999999996E-2</v>
      </c>
      <c r="AK110" s="295">
        <f>+[4]ธ.ค.58!$L$35/10^6</f>
        <v>3.603470000000001E-2</v>
      </c>
      <c r="AL110" s="295">
        <f>+[4]ม.ค.59!$L$35/10^6</f>
        <v>3.4616350000000004E-2</v>
      </c>
      <c r="AM110" s="295">
        <f>+[4]ก.พ.59!$L$35/10^6</f>
        <v>3.4864950000000013E-2</v>
      </c>
      <c r="AN110" s="295">
        <f>+[4]มี.ค.59!$L$35/10^6</f>
        <v>2.9971279999999999E-2</v>
      </c>
      <c r="AO110" s="295">
        <f>+[4]เม.ย.59!$L$35/10^6</f>
        <v>3.053875E-2</v>
      </c>
      <c r="AP110" s="295">
        <f>+[4]พ.ค.59!$L$35/10^6</f>
        <v>2.5901139999999986E-2</v>
      </c>
      <c r="AQ110" s="295">
        <f>+[4]มิ.ย.59!$L$35/10^6</f>
        <v>2.8644170000000014E-2</v>
      </c>
      <c r="AR110" s="295">
        <f>+[4]ก.ค.59!$L$35/10^6</f>
        <v>3.2963719999999974E-2</v>
      </c>
      <c r="AS110" s="295">
        <f>+[4]ส.ค.59!$L$35/10^6</f>
        <v>3.2230119999999994E-2</v>
      </c>
      <c r="AT110" s="295">
        <f>+[4]ก.ย.59!$L$35/10^6</f>
        <v>3.4749750000000003E-2</v>
      </c>
      <c r="AU110" s="294">
        <f t="shared" si="18"/>
        <v>0.38662289999999999</v>
      </c>
    </row>
    <row r="111" spans="1:47" s="273" customFormat="1" x14ac:dyDescent="0.2">
      <c r="A111" s="269">
        <v>1010</v>
      </c>
      <c r="B111" s="203" t="s">
        <v>49</v>
      </c>
      <c r="C111" s="284">
        <f>+[2]ต.ค.59!$M$37/10^6</f>
        <v>4.2768160000000006E-2</v>
      </c>
      <c r="D111" s="284">
        <f>+[2]พ.ย.59!$M$37/10^6</f>
        <v>4.7806359999999985E-2</v>
      </c>
      <c r="E111" s="284">
        <f>+[2]ธ.ค.59!$M$37/10^6</f>
        <v>5.1619880000000007E-2</v>
      </c>
      <c r="F111" s="284">
        <f>+[2]ม.ค.60!$M$37/10^6</f>
        <v>6.1678570000000009E-2</v>
      </c>
      <c r="G111" s="284">
        <f>+[2]ก.พ.60!$M$37/10^6</f>
        <v>4.9772420000000012E-2</v>
      </c>
      <c r="H111" s="284">
        <f>+[2]มี.ค.60!$M$37/10^6</f>
        <v>5.3018570000000008E-2</v>
      </c>
      <c r="I111" s="284">
        <f>+[2]เม.ย.60!$M$37/10^6</f>
        <v>5.3125910000000005E-2</v>
      </c>
      <c r="J111" s="284">
        <f>+[2]พ.ค.60!$M$37/10^6</f>
        <v>5.069572E-2</v>
      </c>
      <c r="K111" s="284">
        <f>+[2]มิ.ย.60!$M$37/10^6</f>
        <v>4.0397920000000011E-2</v>
      </c>
      <c r="L111" s="284">
        <f>+[2]ก.ค.60!$M$37/10^6</f>
        <v>4.7239600000000007E-2</v>
      </c>
      <c r="M111" s="284">
        <f>+[2]ส.ค.60!$M$37/10^6</f>
        <v>4.9594130000000007E-2</v>
      </c>
      <c r="N111" s="284">
        <f>+[2]ก.ย.60!$M$37/10^6</f>
        <v>4.4719329999999988E-2</v>
      </c>
      <c r="O111" s="283">
        <f t="shared" si="16"/>
        <v>0.59243656999999994</v>
      </c>
      <c r="P111" s="270"/>
      <c r="Q111" s="271">
        <v>1010</v>
      </c>
      <c r="R111" s="272" t="s">
        <v>49</v>
      </c>
      <c r="S111" s="289">
        <f>+[3]ปริมาณน้ำสูญเสีย!B74/10^6</f>
        <v>5.6201000000000001E-2</v>
      </c>
      <c r="T111" s="289">
        <f>+[3]ปริมาณน้ำสูญเสีย!C74/10^6</f>
        <v>5.815E-2</v>
      </c>
      <c r="U111" s="289">
        <f>+[3]ปริมาณน้ำสูญเสีย!D74/10^6</f>
        <v>5.6008000000000002E-2</v>
      </c>
      <c r="V111" s="289">
        <f>+[3]ปริมาณน้ำสูญเสีย!E74/10^6</f>
        <v>5.7292999999999997E-2</v>
      </c>
      <c r="W111" s="289">
        <f>+[3]ปริมาณน้ำสูญเสีย!F74/10^6</f>
        <v>5.4697000000000003E-2</v>
      </c>
      <c r="X111" s="289">
        <f>+[3]ปริมาณน้ำสูญเสีย!G74/10^6</f>
        <v>5.8030999999999999E-2</v>
      </c>
      <c r="Y111" s="289">
        <f>+[3]ปริมาณน้ำสูญเสีย!H74/10^6</f>
        <v>5.7820999999999997E-2</v>
      </c>
      <c r="Z111" s="289">
        <f>+[3]ปริมาณน้ำสูญเสีย!I74/10^6</f>
        <v>5.6250000000000001E-2</v>
      </c>
      <c r="AA111" s="289">
        <f>+[3]ปริมาณน้ำสูญเสีย!J74/10^6</f>
        <v>4.4655E-2</v>
      </c>
      <c r="AB111" s="289">
        <f>+[3]ปริมาณน้ำสูญเสีย!K74/10^6</f>
        <v>4.8384000000000003E-2</v>
      </c>
      <c r="AC111" s="289">
        <f>+[3]ปริมาณน้ำสูญเสีย!L74/10^6</f>
        <v>4.6167E-2</v>
      </c>
      <c r="AD111" s="289">
        <f>+[3]ปริมาณน้ำสูญเสีย!M74/10^6</f>
        <v>4.7703000000000002E-2</v>
      </c>
      <c r="AE111" s="288">
        <f t="shared" si="17"/>
        <v>0.64136000000000004</v>
      </c>
      <c r="AF111" s="290">
        <f>+[3]ปริมาณน้ำสูญเสีย!O74/10^6</f>
        <v>0.64136000000000004</v>
      </c>
      <c r="AG111" s="274">
        <v>1010</v>
      </c>
      <c r="AH111" s="275" t="s">
        <v>49</v>
      </c>
      <c r="AI111" s="295">
        <f>+[4]ต.ค.58!$M$35/10^6</f>
        <v>5.2833790000000005E-2</v>
      </c>
      <c r="AJ111" s="295">
        <f>+[4]พ.ย.58!$M$35/10^6</f>
        <v>5.2708309999999994E-2</v>
      </c>
      <c r="AK111" s="295">
        <f>+[4]ธ.ค.58!$M$35/10^6</f>
        <v>5.265829000000001E-2</v>
      </c>
      <c r="AL111" s="295">
        <f>+[4]ม.ค.59!$M$35/10^6</f>
        <v>5.8513200000000008E-2</v>
      </c>
      <c r="AM111" s="295">
        <f>+[4]ก.พ.59!$M$35/10^6</f>
        <v>5.6217250000000003E-2</v>
      </c>
      <c r="AN111" s="295">
        <f>+[4]มี.ค.59!$M$35/10^6</f>
        <v>6.7840589999999992E-2</v>
      </c>
      <c r="AO111" s="295">
        <f>+[4]เม.ย.59!$M$35/10^6</f>
        <v>6.2913499999999997E-2</v>
      </c>
      <c r="AP111" s="295">
        <f>+[4]พ.ค.59!$M$35/10^6</f>
        <v>6.8131589999999992E-2</v>
      </c>
      <c r="AQ111" s="295">
        <f>+[4]มิ.ย.59!$M$35/10^6</f>
        <v>5.241554000000001E-2</v>
      </c>
      <c r="AR111" s="295">
        <f>+[4]ก.ค.59!$M$35/10^6</f>
        <v>4.8534140000000017E-2</v>
      </c>
      <c r="AS111" s="295">
        <f>+[4]ส.ค.59!$M$35/10^6</f>
        <v>4.6869070000000006E-2</v>
      </c>
      <c r="AT111" s="295">
        <f>+[4]ก.ย.59!$M$35/10^6</f>
        <v>4.2260089999999993E-2</v>
      </c>
      <c r="AU111" s="294">
        <f t="shared" si="18"/>
        <v>0.66189536000000004</v>
      </c>
    </row>
    <row r="112" spans="1:47" s="273" customFormat="1" x14ac:dyDescent="0.2">
      <c r="A112" s="269">
        <v>1011</v>
      </c>
      <c r="B112" s="203" t="s">
        <v>50</v>
      </c>
      <c r="C112" s="284">
        <f>+[2]ต.ค.59!$N$37/10^6</f>
        <v>1.2192699999999997E-2</v>
      </c>
      <c r="D112" s="284">
        <f>+[2]พ.ย.59!$N$37/10^6</f>
        <v>7.2420000000000002E-3</v>
      </c>
      <c r="E112" s="284">
        <f>+[2]ธ.ค.59!$N$37/10^6</f>
        <v>1.3375119999999996E-2</v>
      </c>
      <c r="F112" s="284">
        <f>+[2]ม.ค.60!$N$37/10^6</f>
        <v>8.5912000000000124E-3</v>
      </c>
      <c r="G112" s="284">
        <f>+[2]ก.พ.60!$N$37/10^6</f>
        <v>4.5219599999999915E-3</v>
      </c>
      <c r="H112" s="284">
        <f>+[2]มี.ค.60!$N$37/10^6</f>
        <v>2.5351569999999993E-2</v>
      </c>
      <c r="I112" s="284">
        <f>+[2]เม.ย.60!$N$37/10^6</f>
        <v>4.1031000000000062E-3</v>
      </c>
      <c r="J112" s="284">
        <f>+[2]พ.ค.60!$N$37/10^6</f>
        <v>2.2358000000000031E-3</v>
      </c>
      <c r="K112" s="284">
        <f>+[2]มิ.ย.60!$N$37/10^6</f>
        <v>1.027199999999997E-3</v>
      </c>
      <c r="L112" s="284">
        <f>+[2]ก.ค.60!$N$37/10^6</f>
        <v>1.8788539999999992E-2</v>
      </c>
      <c r="M112" s="284">
        <f>+[2]ส.ค.60!$N$37/10^6</f>
        <v>1.4986789999999993E-2</v>
      </c>
      <c r="N112" s="284">
        <f>+[2]ก.ย.60!$N$37/10^6</f>
        <v>8.1695599999999976E-3</v>
      </c>
      <c r="O112" s="283">
        <f t="shared" si="16"/>
        <v>0.12058553999999996</v>
      </c>
      <c r="P112" s="270"/>
      <c r="Q112" s="271">
        <v>1011</v>
      </c>
      <c r="R112" s="272" t="s">
        <v>50</v>
      </c>
      <c r="S112" s="289">
        <f>+[3]ปริมาณน้ำสูญเสีย!B75/10^6</f>
        <v>2.0049999999999998E-2</v>
      </c>
      <c r="T112" s="289">
        <f>+[3]ปริมาณน้ำสูญเสีย!C75/10^6</f>
        <v>1.9758999999999999E-2</v>
      </c>
      <c r="U112" s="289">
        <f>+[3]ปริมาณน้ำสูญเสีย!D75/10^6</f>
        <v>1.9266999999999999E-2</v>
      </c>
      <c r="V112" s="289">
        <f>+[3]ปริมาณน้ำสูญเสีย!E75/10^6</f>
        <v>1.1681E-2</v>
      </c>
      <c r="W112" s="289">
        <f>+[3]ปริมาณน้ำสูญเสีย!F75/10^6</f>
        <v>1.0496E-2</v>
      </c>
      <c r="X112" s="289">
        <f>+[3]ปริมาณน้ำสูญเสีย!G75/10^6</f>
        <v>2.5356E-2</v>
      </c>
      <c r="Y112" s="289">
        <f>+[3]ปริมาณน้ำสูญเสีย!H75/10^6</f>
        <v>2.1316000000000002E-2</v>
      </c>
      <c r="Z112" s="289">
        <f>+[3]ปริมาณน้ำสูญเสีย!I75/10^6</f>
        <v>1.4049000000000001E-2</v>
      </c>
      <c r="AA112" s="289">
        <f>+[3]ปริมาณน้ำสูญเสีย!J75/10^6</f>
        <v>9.2169999999999995E-3</v>
      </c>
      <c r="AB112" s="289">
        <f>+[3]ปริมาณน้ำสูญเสีย!K75/10^6</f>
        <v>1.2513E-2</v>
      </c>
      <c r="AC112" s="289">
        <f>+[3]ปริมาณน้ำสูญเสีย!L75/10^6</f>
        <v>1.4591E-2</v>
      </c>
      <c r="AD112" s="289">
        <f>+[3]ปริมาณน้ำสูญเสีย!M75/10^6</f>
        <v>1.4546999999999999E-2</v>
      </c>
      <c r="AE112" s="288">
        <f t="shared" si="17"/>
        <v>0.19284200000000001</v>
      </c>
      <c r="AF112" s="290">
        <f>+[3]ปริมาณน้ำสูญเสีย!O75/10^6</f>
        <v>0.19284200000000001</v>
      </c>
      <c r="AG112" s="274">
        <v>1011</v>
      </c>
      <c r="AH112" s="275" t="s">
        <v>50</v>
      </c>
      <c r="AI112" s="295">
        <f>+[4]ต.ค.58!$N$35/10^6</f>
        <v>1.7931199999999998E-2</v>
      </c>
      <c r="AJ112" s="295">
        <f>+[4]พ.ย.58!$N$35/10^6</f>
        <v>1.5594479999999996E-2</v>
      </c>
      <c r="AK112" s="295">
        <f>+[4]ธ.ค.58!$N$35/10^6</f>
        <v>1.243E-2</v>
      </c>
      <c r="AL112" s="295">
        <f>+[4]ม.ค.59!$N$35/10^6</f>
        <v>3.2176499999999942E-3</v>
      </c>
      <c r="AM112" s="295">
        <f>+[4]ก.พ.59!$N$35/10^6</f>
        <v>8.4543800000000044E-3</v>
      </c>
      <c r="AN112" s="295">
        <f>+[4]มี.ค.59!$N$35/10^6</f>
        <v>2.6433380000000006E-2</v>
      </c>
      <c r="AO112" s="295">
        <f>+[4]เม.ย.59!$N$35/10^6</f>
        <v>2.2697999999999999E-2</v>
      </c>
      <c r="AP112" s="295">
        <f>+[4]พ.ค.59!$N$35/10^6</f>
        <v>4.9291000000000057E-3</v>
      </c>
      <c r="AQ112" s="295">
        <f>+[4]มิ.ย.59!$N$35/10^6</f>
        <v>3.1266000000000059E-3</v>
      </c>
      <c r="AR112" s="295">
        <f>+[4]ก.ค.59!$N$35/10^6</f>
        <v>8.5349600000000064E-3</v>
      </c>
      <c r="AS112" s="295">
        <f>+[4]ส.ค.59!$N$35/10^6</f>
        <v>6.8614600000000067E-3</v>
      </c>
      <c r="AT112" s="295">
        <f>+[4]ก.ย.59!$N$35/10^6</f>
        <v>9.3977400000000051E-3</v>
      </c>
      <c r="AU112" s="294">
        <f t="shared" si="18"/>
        <v>0.13960895000000004</v>
      </c>
    </row>
    <row r="113" spans="1:47" s="273" customFormat="1" x14ac:dyDescent="0.2">
      <c r="A113" s="269">
        <v>1012</v>
      </c>
      <c r="B113" s="203" t="s">
        <v>51</v>
      </c>
      <c r="C113" s="284">
        <f>+[2]ต.ค.59!$O$37/10^6</f>
        <v>9.8520999999999997E-2</v>
      </c>
      <c r="D113" s="284">
        <f>+[2]พ.ย.59!$O$37/10^6</f>
        <v>9.8563999999999999E-2</v>
      </c>
      <c r="E113" s="284">
        <f>+[2]ธ.ค.59!$O$37/10^6</f>
        <v>0.100269</v>
      </c>
      <c r="F113" s="284">
        <f>+[2]ม.ค.60!$O$37/10^6</f>
        <v>9.4239000000000003E-2</v>
      </c>
      <c r="G113" s="284">
        <f>+[2]ก.พ.60!$O$37/10^6</f>
        <v>9.0033000000000002E-2</v>
      </c>
      <c r="H113" s="284">
        <f>+[2]มี.ค.60!$O$37/10^6</f>
        <v>8.4287000000000001E-2</v>
      </c>
      <c r="I113" s="284">
        <f>+[2]เม.ย.60!$O$37/10^6</f>
        <v>9.9019999999999997E-2</v>
      </c>
      <c r="J113" s="284">
        <f>+[2]พ.ค.60!$O$37/10^6</f>
        <v>9.6767000000000006E-2</v>
      </c>
      <c r="K113" s="284">
        <f>+[2]มิ.ย.60!$O$37/10^6</f>
        <v>9.9975999999999995E-2</v>
      </c>
      <c r="L113" s="284">
        <f>+[2]ก.ค.60!$O$37/10^6</f>
        <v>9.0958999999999998E-2</v>
      </c>
      <c r="M113" s="284">
        <f>+[2]ส.ค.60!$O$37/10^6</f>
        <v>9.2517000000000002E-2</v>
      </c>
      <c r="N113" s="284">
        <f>+[2]ก.ย.60!$O$37/10^6</f>
        <v>8.7941000000000005E-2</v>
      </c>
      <c r="O113" s="283">
        <f t="shared" si="16"/>
        <v>1.1330930000000001</v>
      </c>
      <c r="P113" s="270"/>
      <c r="Q113" s="271">
        <v>1012</v>
      </c>
      <c r="R113" s="272" t="s">
        <v>51</v>
      </c>
      <c r="S113" s="289">
        <f>+[3]ปริมาณน้ำสูญเสีย!B76/10^6</f>
        <v>0.10362399999999999</v>
      </c>
      <c r="T113" s="289">
        <f>+[3]ปริมาณน้ำสูญเสีย!C76/10^6</f>
        <v>0.102782</v>
      </c>
      <c r="U113" s="289">
        <f>+[3]ปริมาณน้ำสูญเสีย!D76/10^6</f>
        <v>0.102661</v>
      </c>
      <c r="V113" s="289">
        <f>+[3]ปริมาณน้ำสูญเสีย!E76/10^6</f>
        <v>0.101229</v>
      </c>
      <c r="W113" s="289">
        <f>+[3]ปริมาณน้ำสูญเสีย!F76/10^6</f>
        <v>9.8819000000000004E-2</v>
      </c>
      <c r="X113" s="289">
        <f>+[3]ปริมาณน้ำสูญเสีย!G76/10^6</f>
        <v>9.7366999999999995E-2</v>
      </c>
      <c r="Y113" s="289">
        <f>+[3]ปริมาณน้ำสูญเสีย!H76/10^6</f>
        <v>9.7342999999999999E-2</v>
      </c>
      <c r="Z113" s="289">
        <f>+[3]ปริมาณน้ำสูญเสีย!I76/10^6</f>
        <v>9.2376E-2</v>
      </c>
      <c r="AA113" s="289">
        <f>+[3]ปริมาณน้ำสูญเสีย!J76/10^6</f>
        <v>8.2013000000000003E-2</v>
      </c>
      <c r="AB113" s="289">
        <f>+[3]ปริมาณน้ำสูญเสีย!K76/10^6</f>
        <v>0.103118</v>
      </c>
      <c r="AC113" s="289">
        <f>+[3]ปริมาณน้ำสูญเสีย!L76/10^6</f>
        <v>9.6114000000000005E-2</v>
      </c>
      <c r="AD113" s="289">
        <f>+[3]ปริมาณน้ำสูญเสีย!M76/10^6</f>
        <v>0.107215</v>
      </c>
      <c r="AE113" s="288">
        <f t="shared" si="17"/>
        <v>1.184661</v>
      </c>
      <c r="AF113" s="290">
        <f>+[3]ปริมาณน้ำสูญเสีย!O76/10^6</f>
        <v>1.184661</v>
      </c>
      <c r="AG113" s="274">
        <v>1012</v>
      </c>
      <c r="AH113" s="275" t="s">
        <v>51</v>
      </c>
      <c r="AI113" s="295">
        <f>+[4]ต.ค.58!$O$35/10^6</f>
        <v>9.2989000000000002E-2</v>
      </c>
      <c r="AJ113" s="295">
        <f>+[4]พ.ย.58!$O$35/10^6</f>
        <v>9.5177999999999999E-2</v>
      </c>
      <c r="AK113" s="295">
        <f>+[4]ธ.ค.58!$O$35/10^6</f>
        <v>9.2341999999999994E-2</v>
      </c>
      <c r="AL113" s="295">
        <f>+[4]ม.ค.59!$O$35/10^6</f>
        <v>9.0934000000000001E-2</v>
      </c>
      <c r="AM113" s="295">
        <f>+[4]ก.พ.59!$O$35/10^6</f>
        <v>9.0237999999999999E-2</v>
      </c>
      <c r="AN113" s="295">
        <f>+[4]มี.ค.59!$O$35/10^6</f>
        <v>8.9626999999999998E-2</v>
      </c>
      <c r="AO113" s="295">
        <f>+[4]เม.ย.59!$O$35/10^6</f>
        <v>8.1699999999999995E-2</v>
      </c>
      <c r="AP113" s="295">
        <f>+[4]พ.ค.59!$O$35/10^6</f>
        <v>7.4520000000000003E-2</v>
      </c>
      <c r="AQ113" s="295">
        <f>+[4]มิ.ย.59!$O$35/10^6</f>
        <v>7.0474999999999996E-2</v>
      </c>
      <c r="AR113" s="295">
        <f>+[4]ก.ค.59!$O$35/10^6</f>
        <v>0.113872</v>
      </c>
      <c r="AS113" s="295">
        <f>+[4]ส.ค.59!$O$35/10^6</f>
        <v>9.0914999999999996E-2</v>
      </c>
      <c r="AT113" s="295">
        <f>+[4]ก.ย.59!$O$35/10^6</f>
        <v>0.12895699999999999</v>
      </c>
      <c r="AU113" s="294">
        <f t="shared" si="18"/>
        <v>1.1117469999999998</v>
      </c>
    </row>
    <row r="114" spans="1:47" s="273" customFormat="1" x14ac:dyDescent="0.2">
      <c r="A114" s="269">
        <v>1013</v>
      </c>
      <c r="B114" s="203" t="s">
        <v>52</v>
      </c>
      <c r="C114" s="284">
        <f>+[2]ต.ค.59!$P$37/10^6</f>
        <v>4.4060000000000002E-3</v>
      </c>
      <c r="D114" s="284">
        <f>+[2]พ.ย.59!$P$37/10^6</f>
        <v>4.4250000000000001E-3</v>
      </c>
      <c r="E114" s="284">
        <f>+[2]ธ.ค.59!$P$37/10^6</f>
        <v>4.346E-3</v>
      </c>
      <c r="F114" s="284">
        <f>+[2]ม.ค.60!$P$37/10^6</f>
        <v>4.6299999999999996E-3</v>
      </c>
      <c r="G114" s="284">
        <f>+[2]ก.พ.60!$P$37/10^6</f>
        <v>4.5050000000000003E-3</v>
      </c>
      <c r="H114" s="284">
        <f>+[2]มี.ค.60!$P$37/10^6</f>
        <v>4.8890000000000001E-3</v>
      </c>
      <c r="I114" s="284">
        <f>+[2]เม.ย.60!$P$37/10^6</f>
        <v>7.4110000000000001E-3</v>
      </c>
      <c r="J114" s="284">
        <f>+[2]พ.ค.60!$P$37/10^6</f>
        <v>6.6280000000000002E-3</v>
      </c>
      <c r="K114" s="284">
        <f>+[2]มิ.ย.60!$P$37/10^6</f>
        <v>5.855E-3</v>
      </c>
      <c r="L114" s="284">
        <f>+[2]ก.ค.60!$P$37/10^6</f>
        <v>5.6670000000000002E-3</v>
      </c>
      <c r="M114" s="284">
        <f>+[2]ส.ค.60!$P$37/10^6</f>
        <v>5.2519999999999997E-3</v>
      </c>
      <c r="N114" s="284">
        <f>+[2]ก.ย.60!$P$37/10^6</f>
        <v>5.3610000000000003E-3</v>
      </c>
      <c r="O114" s="283">
        <f t="shared" si="16"/>
        <v>6.3375000000000001E-2</v>
      </c>
      <c r="P114" s="270"/>
      <c r="Q114" s="271">
        <v>1013</v>
      </c>
      <c r="R114" s="272" t="s">
        <v>52</v>
      </c>
      <c r="S114" s="289">
        <f>+[3]ปริมาณน้ำสูญเสีย!B77/10^6</f>
        <v>4.3940000000000003E-3</v>
      </c>
      <c r="T114" s="289">
        <f>+[3]ปริมาณน้ำสูญเสีย!C77/10^6</f>
        <v>4.862E-3</v>
      </c>
      <c r="U114" s="289">
        <f>+[3]ปริมาณน้ำสูญเสีย!D77/10^6</f>
        <v>4.627E-3</v>
      </c>
      <c r="V114" s="289">
        <f>+[3]ปริมาณน้ำสูญเสีย!E77/10^6</f>
        <v>4.8719999999999996E-3</v>
      </c>
      <c r="W114" s="289">
        <f>+[3]ปริมาณน้ำสูญเสีย!F77/10^6</f>
        <v>4.6210000000000001E-3</v>
      </c>
      <c r="X114" s="289">
        <f>+[3]ปริมาณน้ำสูญเสีย!G77/10^6</f>
        <v>4.8180000000000002E-3</v>
      </c>
      <c r="Y114" s="289">
        <f>+[3]ปริมาณน้ำสูญเสีย!H77/10^6</f>
        <v>5.9820000000000003E-3</v>
      </c>
      <c r="Z114" s="289">
        <f>+[3]ปริมาณน้ำสูญเสีย!I77/10^6</f>
        <v>5.6270000000000001E-3</v>
      </c>
      <c r="AA114" s="289">
        <f>+[3]ปริมาณน้ำสูญเสีย!J77/10^6</f>
        <v>5.4980000000000003E-3</v>
      </c>
      <c r="AB114" s="289">
        <f>+[3]ปริมาณน้ำสูญเสีย!K77/10^6</f>
        <v>4.9870000000000001E-3</v>
      </c>
      <c r="AC114" s="289">
        <f>+[3]ปริมาณน้ำสูญเสีย!L77/10^6</f>
        <v>4.6430000000000004E-3</v>
      </c>
      <c r="AD114" s="289">
        <f>+[3]ปริมาณน้ำสูญเสีย!M77/10^6</f>
        <v>4.6389999999999999E-3</v>
      </c>
      <c r="AE114" s="288">
        <f t="shared" si="17"/>
        <v>5.9569999999999998E-2</v>
      </c>
      <c r="AF114" s="290">
        <f>+[3]ปริมาณน้ำสูญเสีย!O77/10^6</f>
        <v>5.9569999999999998E-2</v>
      </c>
      <c r="AG114" s="274">
        <v>1013</v>
      </c>
      <c r="AH114" s="275" t="s">
        <v>52</v>
      </c>
      <c r="AI114" s="295">
        <f>+[4]ต.ค.58!$P$35/10^6</f>
        <v>4.3899999999999998E-3</v>
      </c>
      <c r="AJ114" s="295">
        <f>+[4]พ.ย.58!$P$35/10^6</f>
        <v>4.5250000000000004E-3</v>
      </c>
      <c r="AK114" s="295">
        <f>+[4]ธ.ค.58!$P$35/10^6</f>
        <v>4.8260000000000004E-3</v>
      </c>
      <c r="AL114" s="295">
        <f>+[4]ม.ค.59!$P$35/10^6</f>
        <v>4.7159999999999997E-3</v>
      </c>
      <c r="AM114" s="295">
        <f>+[4]ก.พ.59!$P$35/10^6</f>
        <v>4.5799999999999999E-3</v>
      </c>
      <c r="AN114" s="295">
        <f>+[4]มี.ค.59!$P$35/10^6</f>
        <v>4.8840000000000003E-3</v>
      </c>
      <c r="AO114" s="295">
        <f>+[4]เม.ย.59!$P$35/10^6</f>
        <v>6.1659999999999996E-3</v>
      </c>
      <c r="AP114" s="295">
        <f>+[4]พ.ค.59!$P$35/10^6</f>
        <v>6.4559999999999999E-3</v>
      </c>
      <c r="AQ114" s="295">
        <f>+[4]มิ.ย.59!$P$35/10^6</f>
        <v>5.9020000000000001E-3</v>
      </c>
      <c r="AR114" s="295">
        <f>+[4]ก.ค.59!$P$35/10^6</f>
        <v>4.1780000000000003E-3</v>
      </c>
      <c r="AS114" s="295">
        <f>+[4]ส.ค.59!$P$35/10^6</f>
        <v>4.1320000000000003E-3</v>
      </c>
      <c r="AT114" s="295">
        <f>+[4]ก.ย.59!$P$35/10^6</f>
        <v>4.4099999999999999E-3</v>
      </c>
      <c r="AU114" s="294">
        <f t="shared" si="18"/>
        <v>5.9164999999999995E-2</v>
      </c>
    </row>
    <row r="115" spans="1:47" s="273" customFormat="1" x14ac:dyDescent="0.2">
      <c r="A115" s="269">
        <v>1014</v>
      </c>
      <c r="B115" s="203" t="s">
        <v>53</v>
      </c>
      <c r="C115" s="284">
        <f>+[2]ต.ค.59!$Q$37/10^6</f>
        <v>0.27472565000000004</v>
      </c>
      <c r="D115" s="284">
        <f>+[2]พ.ย.59!$Q$37/10^6</f>
        <v>0.27599865000000001</v>
      </c>
      <c r="E115" s="284">
        <f>+[2]ธ.ค.59!$Q$37/10^6</f>
        <v>0.31884228000000003</v>
      </c>
      <c r="F115" s="284">
        <f>+[2]ม.ค.60!$Q$37/10^6</f>
        <v>0.20786344999999995</v>
      </c>
      <c r="G115" s="284">
        <f>+[2]ก.พ.60!$Q$37/10^6</f>
        <v>0.21661444000000005</v>
      </c>
      <c r="H115" s="284">
        <f>+[2]มี.ค.60!$Q$37/10^6</f>
        <v>0.36974670999999998</v>
      </c>
      <c r="I115" s="284">
        <f>+[2]เม.ย.60!$Q$37/10^6</f>
        <v>0.22452054000000005</v>
      </c>
      <c r="J115" s="284">
        <f>+[2]พ.ค.60!$Q$37/10^6</f>
        <v>0.24641082999999997</v>
      </c>
      <c r="K115" s="284">
        <f>+[2]มิ.ย.60!$Q$37/10^6</f>
        <v>0.24623592000000005</v>
      </c>
      <c r="L115" s="284">
        <f>+[2]ก.ค.60!$Q$37/10^6</f>
        <v>0.26705472000000008</v>
      </c>
      <c r="M115" s="284">
        <f>+[2]ส.ค.60!$Q$37/10^6</f>
        <v>0.26184677999999989</v>
      </c>
      <c r="N115" s="284">
        <f>+[2]ก.ย.60!$Q$37/10^6</f>
        <v>0.25465578000000005</v>
      </c>
      <c r="O115" s="283">
        <f t="shared" si="16"/>
        <v>3.1645157500000005</v>
      </c>
      <c r="P115" s="270"/>
      <c r="Q115" s="271">
        <v>1014</v>
      </c>
      <c r="R115" s="272" t="s">
        <v>53</v>
      </c>
      <c r="S115" s="289">
        <f>+[3]ปริมาณน้ำสูญเสีย!B78/10^6</f>
        <v>0.21012500000000001</v>
      </c>
      <c r="T115" s="289">
        <f>+[3]ปริมาณน้ำสูญเสีย!C78/10^6</f>
        <v>0.17430999999999999</v>
      </c>
      <c r="U115" s="289">
        <f>+[3]ปริมาณน้ำสูญเสีย!D78/10^6</f>
        <v>0.196934</v>
      </c>
      <c r="V115" s="289">
        <f>+[3]ปริมาณน้ำสูญเสีย!E78/10^6</f>
        <v>0.191327</v>
      </c>
      <c r="W115" s="289">
        <f>+[3]ปริมาณน้ำสูญเสีย!F78/10^6</f>
        <v>0.16331300000000001</v>
      </c>
      <c r="X115" s="289">
        <f>+[3]ปริมาณน้ำสูญเสีย!G78/10^6</f>
        <v>0.289327</v>
      </c>
      <c r="Y115" s="289">
        <f>+[3]ปริมาณน้ำสูญเสีย!H78/10^6</f>
        <v>0.199929</v>
      </c>
      <c r="Z115" s="289">
        <f>+[3]ปริมาณน้ำสูญเสีย!I78/10^6</f>
        <v>0.13164600000000001</v>
      </c>
      <c r="AA115" s="289">
        <f>+[3]ปริมาณน้ำสูญเสีย!J78/10^6</f>
        <v>0.13919200000000001</v>
      </c>
      <c r="AB115" s="289">
        <f>+[3]ปริมาณน้ำสูญเสีย!K78/10^6</f>
        <v>0.193161</v>
      </c>
      <c r="AC115" s="289">
        <f>+[3]ปริมาณน้ำสูญเสีย!L78/10^6</f>
        <v>0.28071699999999999</v>
      </c>
      <c r="AD115" s="289">
        <f>+[3]ปริมาณน้ำสูญเสีย!M78/10^6</f>
        <v>0.18920799999999999</v>
      </c>
      <c r="AE115" s="288">
        <f t="shared" si="17"/>
        <v>2.3591889999999998</v>
      </c>
      <c r="AF115" s="290">
        <f>+[3]ปริมาณน้ำสูญเสีย!O78/10^6</f>
        <v>2.3591890000000002</v>
      </c>
      <c r="AG115" s="274">
        <v>1014</v>
      </c>
      <c r="AH115" s="275" t="s">
        <v>53</v>
      </c>
      <c r="AI115" s="295">
        <f>+[4]ต.ค.58!$Q$35/10^6</f>
        <v>0.20172307000000006</v>
      </c>
      <c r="AJ115" s="295">
        <f>+[4]พ.ย.58!$Q$35/10^6</f>
        <v>0.18532532000000007</v>
      </c>
      <c r="AK115" s="295">
        <f>+[4]ธ.ค.58!$Q$35/10^6</f>
        <v>0.22627912</v>
      </c>
      <c r="AL115" s="295">
        <f>+[4]ม.ค.59!$Q$35/10^6</f>
        <v>0.21342296999999996</v>
      </c>
      <c r="AM115" s="295">
        <f>+[4]ก.พ.59!$Q$35/10^6</f>
        <v>0.17949215000000002</v>
      </c>
      <c r="AN115" s="295">
        <f>+[4]มี.ค.59!$Q$35/10^6</f>
        <v>0.27941367999999994</v>
      </c>
      <c r="AO115" s="295">
        <f>+[4]เม.ย.59!$Q$35/10^6</f>
        <v>0.23614883999999997</v>
      </c>
      <c r="AP115" s="295">
        <f>+[4]พ.ค.59!$Q$35/10^6</f>
        <v>0.11855295999999996</v>
      </c>
      <c r="AQ115" s="295">
        <f>+[4]มิ.ย.59!$Q$35/10^6</f>
        <v>0.11698041000000015</v>
      </c>
      <c r="AR115" s="295">
        <f>+[4]ก.ค.59!$Q$35/10^6</f>
        <v>0.18181983999999984</v>
      </c>
      <c r="AS115" s="295">
        <f>+[4]ส.ค.59!$Q$35/10^6</f>
        <v>0.28285726</v>
      </c>
      <c r="AT115" s="295">
        <f>+[4]ก.ย.59!$Q$35/10^6</f>
        <v>0.18548670000000006</v>
      </c>
      <c r="AU115" s="294">
        <f t="shared" si="18"/>
        <v>2.4075023200000003</v>
      </c>
    </row>
    <row r="116" spans="1:47" s="273" customFormat="1" x14ac:dyDescent="0.2">
      <c r="A116" s="269">
        <v>1015</v>
      </c>
      <c r="B116" s="203" t="s">
        <v>54</v>
      </c>
      <c r="C116" s="284">
        <f>+[2]ต.ค.59!$R$37/10^6</f>
        <v>1.9752169999999999E-2</v>
      </c>
      <c r="D116" s="284">
        <f>+[2]พ.ย.59!$R$37/10^6</f>
        <v>2.0257370000000011E-2</v>
      </c>
      <c r="E116" s="284">
        <f>+[2]ธ.ค.59!$R$37/10^6</f>
        <v>1.1898939999999997E-2</v>
      </c>
      <c r="F116" s="284">
        <f>+[2]ม.ค.60!$R$37/10^6</f>
        <v>1.5832550000000004E-2</v>
      </c>
      <c r="G116" s="284">
        <f>+[2]ก.พ.60!$R$37/10^6</f>
        <v>1.6210499999999999E-2</v>
      </c>
      <c r="H116" s="284">
        <f>+[2]มี.ค.60!$R$37/10^6</f>
        <v>1.8735210000000009E-2</v>
      </c>
      <c r="I116" s="284">
        <f>+[2]เม.ย.60!$R$37/10^6</f>
        <v>1.0106099999999996E-2</v>
      </c>
      <c r="J116" s="284">
        <f>+[2]พ.ค.60!$R$37/10^6</f>
        <v>3.7158399999999993E-3</v>
      </c>
      <c r="K116" s="284">
        <f>+[2]มิ.ย.60!$R$37/10^6</f>
        <v>1.2945910000000012E-2</v>
      </c>
      <c r="L116" s="284">
        <f>+[2]ก.ค.60!$R$37/10^6</f>
        <v>1.0119210000000002E-2</v>
      </c>
      <c r="M116" s="284">
        <f>+[2]ส.ค.60!$R$37/10^6</f>
        <v>1.4834970000000001E-2</v>
      </c>
      <c r="N116" s="284">
        <f>+[2]ก.ย.60!$R$37/10^6</f>
        <v>1.2107200000000002E-2</v>
      </c>
      <c r="O116" s="283">
        <f t="shared" si="16"/>
        <v>0.16651597000000004</v>
      </c>
      <c r="P116" s="270"/>
      <c r="Q116" s="271">
        <v>1015</v>
      </c>
      <c r="R116" s="272" t="s">
        <v>54</v>
      </c>
      <c r="S116" s="289">
        <f>+[3]ปริมาณน้ำสูญเสีย!B79/10^6</f>
        <v>2.6918000000000001E-2</v>
      </c>
      <c r="T116" s="289">
        <f>+[3]ปริมาณน้ำสูญเสีย!C79/10^6</f>
        <v>2.4258999999999999E-2</v>
      </c>
      <c r="U116" s="289">
        <f>+[3]ปริมาณน้ำสูญเสีย!D79/10^6</f>
        <v>1.8516999999999999E-2</v>
      </c>
      <c r="V116" s="289">
        <f>+[3]ปริมาณน้ำสูญเสีย!E79/10^6</f>
        <v>2.0152E-2</v>
      </c>
      <c r="W116" s="289">
        <f>+[3]ปริมาณน้ำสูญเสีย!F79/10^6</f>
        <v>1.7739999999999999E-2</v>
      </c>
      <c r="X116" s="289">
        <f>+[3]ปริมาณน้ำสูญเสีย!G79/10^6</f>
        <v>1.6778000000000001E-2</v>
      </c>
      <c r="Y116" s="289">
        <f>+[3]ปริมาณน้ำสูญเสีย!H79/10^6</f>
        <v>1.7715000000000002E-2</v>
      </c>
      <c r="Z116" s="289">
        <f>+[3]ปริมาณน้ำสูญเสีย!I79/10^6</f>
        <v>1.7294E-2</v>
      </c>
      <c r="AA116" s="289">
        <f>+[3]ปริมาณน้ำสูญเสีย!J79/10^6</f>
        <v>1.4307E-2</v>
      </c>
      <c r="AB116" s="289">
        <f>+[3]ปริมาณน้ำสูญเสีย!K79/10^6</f>
        <v>1.6930000000000001E-2</v>
      </c>
      <c r="AC116" s="289">
        <f>+[3]ปริมาณน้ำสูญเสีย!L79/10^6</f>
        <v>1.6983999999999999E-2</v>
      </c>
      <c r="AD116" s="289">
        <f>+[3]ปริมาณน้ำสูญเสีย!M79/10^6</f>
        <v>2.4716999999999999E-2</v>
      </c>
      <c r="AE116" s="288">
        <f t="shared" si="17"/>
        <v>0.23231099999999999</v>
      </c>
      <c r="AF116" s="290">
        <f>+[3]ปริมาณน้ำสูญเสีย!O79/10^6</f>
        <v>0.23231099999999999</v>
      </c>
      <c r="AG116" s="274">
        <v>1015</v>
      </c>
      <c r="AH116" s="275" t="s">
        <v>54</v>
      </c>
      <c r="AI116" s="295">
        <f>+[4]ต.ค.58!$R$35/10^6</f>
        <v>3.2333899999999992E-2</v>
      </c>
      <c r="AJ116" s="295">
        <f>+[4]พ.ย.58!$R$35/10^6</f>
        <v>2.4905720000000003E-2</v>
      </c>
      <c r="AK116" s="295">
        <f>+[4]ธ.ค.58!$R$35/10^6</f>
        <v>2.3646E-2</v>
      </c>
      <c r="AL116" s="295">
        <f>+[4]ม.ค.59!$R$35/10^6</f>
        <v>1.8621240000000001E-2</v>
      </c>
      <c r="AM116" s="295">
        <f>+[4]ก.พ.59!$R$35/10^6</f>
        <v>1.6089420000000014E-2</v>
      </c>
      <c r="AN116" s="295">
        <f>+[4]มี.ค.59!$R$35/10^6</f>
        <v>1.2994100000000007E-2</v>
      </c>
      <c r="AO116" s="295">
        <f>+[4]เม.ย.59!$R$35/10^6</f>
        <v>1.700666000000001E-2</v>
      </c>
      <c r="AP116" s="295">
        <f>+[4]พ.ค.59!$R$35/10^6</f>
        <v>1.3924499999999999E-2</v>
      </c>
      <c r="AQ116" s="295">
        <f>+[4]มิ.ย.59!$R$35/10^6</f>
        <v>6.1474999999999976E-3</v>
      </c>
      <c r="AR116" s="295">
        <f>+[4]ก.ค.59!$R$35/10^6</f>
        <v>1.4450199999999996E-2</v>
      </c>
      <c r="AS116" s="295">
        <f>+[4]ส.ค.59!$R$35/10^6</f>
        <v>1.477414E-2</v>
      </c>
      <c r="AT116" s="295">
        <f>+[4]ก.ย.59!$R$35/10^6</f>
        <v>1.6833509999999996E-2</v>
      </c>
      <c r="AU116" s="294">
        <f t="shared" si="18"/>
        <v>0.21172689</v>
      </c>
    </row>
    <row r="117" spans="1:47" s="273" customFormat="1" x14ac:dyDescent="0.2">
      <c r="A117" s="269">
        <v>1016</v>
      </c>
      <c r="B117" s="203" t="s">
        <v>55</v>
      </c>
      <c r="C117" s="284">
        <f>+[2]ต.ค.59!$S$37/10^6</f>
        <v>3.6152999999999998E-2</v>
      </c>
      <c r="D117" s="284">
        <f>+[2]พ.ย.59!$S$37/10^6</f>
        <v>4.7309140000000013E-2</v>
      </c>
      <c r="E117" s="284">
        <f>+[2]ธ.ค.59!$S$37/10^6</f>
        <v>6.236941E-2</v>
      </c>
      <c r="F117" s="284">
        <f>+[2]ม.ค.60!$S$37/10^6</f>
        <v>5.2033850000000006E-2</v>
      </c>
      <c r="G117" s="284">
        <f>+[2]ก.พ.60!$S$37/10^6</f>
        <v>5.3620250000000029E-2</v>
      </c>
      <c r="H117" s="284">
        <f>+[2]มี.ค.60!$S$37/10^6</f>
        <v>5.4249130000000007E-2</v>
      </c>
      <c r="I117" s="284">
        <f>+[2]เม.ย.60!$S$37/10^6</f>
        <v>3.2694899999999992E-2</v>
      </c>
      <c r="J117" s="284">
        <f>+[2]พ.ค.60!$S$37/10^6</f>
        <v>1.6515229999999981E-2</v>
      </c>
      <c r="K117" s="284">
        <f>+[2]มิ.ย.60!$S$37/10^6</f>
        <v>3.6723910000000005E-2</v>
      </c>
      <c r="L117" s="284">
        <f>+[2]ก.ค.60!$S$37/10^6</f>
        <v>3.8389920000000015E-2</v>
      </c>
      <c r="M117" s="284">
        <f>+[2]ส.ค.60!$S$37/10^6</f>
        <v>3.73075E-2</v>
      </c>
      <c r="N117" s="284">
        <f>+[2]ก.ย.60!$S$37/10^6</f>
        <v>3.1064199999999997E-2</v>
      </c>
      <c r="O117" s="283">
        <f t="shared" si="16"/>
        <v>0.49843044000000009</v>
      </c>
      <c r="P117" s="270"/>
      <c r="Q117" s="271">
        <v>1016</v>
      </c>
      <c r="R117" s="272" t="s">
        <v>55</v>
      </c>
      <c r="S117" s="289">
        <f>+[3]ปริมาณน้ำสูญเสีย!B80/10^6</f>
        <v>4.2154999999999998E-2</v>
      </c>
      <c r="T117" s="289">
        <f>+[3]ปริมาณน้ำสูญเสีย!C80/10^6</f>
        <v>3.8556E-2</v>
      </c>
      <c r="U117" s="289">
        <f>+[3]ปริมาณน้ำสูญเสีย!D80/10^6</f>
        <v>5.1396999999999998E-2</v>
      </c>
      <c r="V117" s="289">
        <f>+[3]ปริมาณน้ำสูญเสีย!E80/10^6</f>
        <v>5.4039999999999998E-2</v>
      </c>
      <c r="W117" s="289">
        <f>+[3]ปริมาณน้ำสูญเสีย!F80/10^6</f>
        <v>4.5746000000000002E-2</v>
      </c>
      <c r="X117" s="289">
        <f>+[3]ปริมาณน้ำสูญเสีย!G80/10^6</f>
        <v>5.6403000000000002E-2</v>
      </c>
      <c r="Y117" s="289">
        <f>+[3]ปริมาณน้ำสูญเสีย!H80/10^6</f>
        <v>4.3596000000000003E-2</v>
      </c>
      <c r="Z117" s="289">
        <f>+[3]ปริมาณน้ำสูญเสีย!I80/10^6</f>
        <v>2.8569000000000001E-2</v>
      </c>
      <c r="AA117" s="289">
        <f>+[3]ปริมาณน้ำสูญเสีย!J80/10^6</f>
        <v>2.2675000000000001E-2</v>
      </c>
      <c r="AB117" s="289">
        <f>+[3]ปริมาณน้ำสูญเสีย!K80/10^6</f>
        <v>3.3989999999999999E-2</v>
      </c>
      <c r="AC117" s="289">
        <f>+[3]ปริมาณน้ำสูญเสีย!L80/10^6</f>
        <v>4.2428E-2</v>
      </c>
      <c r="AD117" s="289">
        <f>+[3]ปริมาณน้ำสูญเสีย!M80/10^6</f>
        <v>4.3694999999999998E-2</v>
      </c>
      <c r="AE117" s="288">
        <f t="shared" si="17"/>
        <v>0.50325000000000009</v>
      </c>
      <c r="AF117" s="290">
        <f>+[3]ปริมาณน้ำสูญเสีย!O80/10^6</f>
        <v>0.50324999999999998</v>
      </c>
      <c r="AG117" s="274">
        <v>1016</v>
      </c>
      <c r="AH117" s="275" t="s">
        <v>55</v>
      </c>
      <c r="AI117" s="295">
        <f>+[4]ต.ค.58!$S$35/10^6</f>
        <v>3.5547000000000002E-2</v>
      </c>
      <c r="AJ117" s="295">
        <f>+[4]พ.ย.58!$S$35/10^6</f>
        <v>3.1210000000000002E-2</v>
      </c>
      <c r="AK117" s="295">
        <f>+[4]ธ.ค.58!$S$35/10^6</f>
        <v>3.6562999999999998E-2</v>
      </c>
      <c r="AL117" s="295">
        <f>+[4]ม.ค.59!$S$35/10^6</f>
        <v>4.0742559999999997E-2</v>
      </c>
      <c r="AM117" s="295">
        <f>+[4]ก.พ.59!$S$35/10^6</f>
        <v>2.8812360000000002E-2</v>
      </c>
      <c r="AN117" s="295">
        <f>+[4]มี.ค.59!$S$35/10^6</f>
        <v>5.2065300000000002E-2</v>
      </c>
      <c r="AO117" s="295">
        <f>+[4]เม.ย.59!$S$35/10^6</f>
        <v>2.9624899999999996E-2</v>
      </c>
      <c r="AP117" s="295">
        <f>+[4]พ.ค.59!$S$35/10^6</f>
        <v>1.9969100000000007E-2</v>
      </c>
      <c r="AQ117" s="295">
        <f>+[4]มิ.ย.59!$S$35/10^6</f>
        <v>6.770800000000003E-3</v>
      </c>
      <c r="AR117" s="295">
        <f>+[4]ก.ค.59!$S$35/10^6</f>
        <v>2.3885899999999995E-2</v>
      </c>
      <c r="AS117" s="295">
        <f>+[4]ส.ค.59!$S$35/10^6</f>
        <v>4.9914399999999991E-2</v>
      </c>
      <c r="AT117" s="295">
        <f>+[4]ก.ย.59!$S$35/10^6</f>
        <v>4.4002699999999999E-2</v>
      </c>
      <c r="AU117" s="294">
        <f t="shared" si="18"/>
        <v>0.39910802000000006</v>
      </c>
    </row>
    <row r="118" spans="1:47" s="273" customFormat="1" x14ac:dyDescent="0.2">
      <c r="A118" s="269">
        <v>1017</v>
      </c>
      <c r="B118" s="203" t="s">
        <v>56</v>
      </c>
      <c r="C118" s="284">
        <f>+[2]ต.ค.59!$T$37/10^6</f>
        <v>0.15165607</v>
      </c>
      <c r="D118" s="284">
        <f>+[2]พ.ย.59!$T$37/10^6</f>
        <v>0.12774522999999999</v>
      </c>
      <c r="E118" s="284">
        <f>+[2]ธ.ค.59!$T$37/10^6</f>
        <v>0.15073612</v>
      </c>
      <c r="F118" s="284">
        <f>+[2]ม.ค.60!$T$37/10^6</f>
        <v>0.11852802000000001</v>
      </c>
      <c r="G118" s="284">
        <f>+[2]ก.พ.60!$T$37/10^6</f>
        <v>0.10492084000000003</v>
      </c>
      <c r="H118" s="284">
        <f>+[2]มี.ค.60!$T$37/10^6</f>
        <v>0.13999178000000004</v>
      </c>
      <c r="I118" s="284">
        <f>+[2]เม.ย.60!$T$37/10^6</f>
        <v>9.5045479999999988E-2</v>
      </c>
      <c r="J118" s="284">
        <f>+[2]พ.ค.60!$T$37/10^6</f>
        <v>0.10608134999999998</v>
      </c>
      <c r="K118" s="284">
        <f>+[2]มิ.ย.60!$T$37/10^6</f>
        <v>9.7036679999999986E-2</v>
      </c>
      <c r="L118" s="284">
        <f>+[2]ก.ค.60!$T$37/10^6</f>
        <v>0.1120135</v>
      </c>
      <c r="M118" s="284">
        <f>+[2]ส.ค.60!$T$37/10^6</f>
        <v>0.11046809000000002</v>
      </c>
      <c r="N118" s="284">
        <f>+[2]ก.ย.60!$T$37/10^6</f>
        <v>0.11518023999999999</v>
      </c>
      <c r="O118" s="283">
        <f t="shared" si="16"/>
        <v>1.4294034</v>
      </c>
      <c r="P118" s="270"/>
      <c r="Q118" s="271">
        <v>1017</v>
      </c>
      <c r="R118" s="272" t="s">
        <v>56</v>
      </c>
      <c r="S118" s="289">
        <f>+[3]ปริมาณน้ำสูญเสีย!B81/10^6</f>
        <v>9.6697000000000005E-2</v>
      </c>
      <c r="T118" s="289">
        <f>+[3]ปริมาณน้ำสูญเสีย!C81/10^6</f>
        <v>9.6787999999999999E-2</v>
      </c>
      <c r="U118" s="289">
        <f>+[3]ปริมาณน้ำสูญเสีย!D81/10^6</f>
        <v>0.103146</v>
      </c>
      <c r="V118" s="289">
        <f>+[3]ปริมาณน้ำสูญเสีย!E81/10^6</f>
        <v>9.3258999999999995E-2</v>
      </c>
      <c r="W118" s="289">
        <f>+[3]ปริมาณน้ำสูญเสีย!F81/10^6</f>
        <v>7.0319999999999994E-2</v>
      </c>
      <c r="X118" s="289">
        <f>+[3]ปริมาณน้ำสูญเสีย!G81/10^6</f>
        <v>0.111941</v>
      </c>
      <c r="Y118" s="289">
        <f>+[3]ปริมาณน้ำสูญเสีย!H81/10^6</f>
        <v>7.2556999999999996E-2</v>
      </c>
      <c r="Z118" s="289">
        <f>+[3]ปริมาณน้ำสูญเสีย!I81/10^6</f>
        <v>6.5138000000000001E-2</v>
      </c>
      <c r="AA118" s="289">
        <f>+[3]ปริมาณน้ำสูญเสีย!J81/10^6</f>
        <v>7.5488E-2</v>
      </c>
      <c r="AB118" s="289">
        <f>+[3]ปริมาณน้ำสูญเสีย!K81/10^6</f>
        <v>9.1466000000000006E-2</v>
      </c>
      <c r="AC118" s="289">
        <f>+[3]ปริมาณน้ำสูญเสีย!L81/10^6</f>
        <v>0.114694</v>
      </c>
      <c r="AD118" s="289">
        <f>+[3]ปริมาณน้ำสูญเสีย!M81/10^6</f>
        <v>0.10854800000000001</v>
      </c>
      <c r="AE118" s="288">
        <f t="shared" si="17"/>
        <v>1.100042</v>
      </c>
      <c r="AF118" s="290">
        <f>+[3]ปริมาณน้ำสูญเสีย!O81/10^6</f>
        <v>1.100042</v>
      </c>
      <c r="AG118" s="274">
        <v>1017</v>
      </c>
      <c r="AH118" s="275" t="s">
        <v>56</v>
      </c>
      <c r="AI118" s="295">
        <f>+[4]ต.ค.58!$T$35/10^6</f>
        <v>0.10031886999999999</v>
      </c>
      <c r="AJ118" s="295">
        <f>+[4]พ.ย.58!$T$35/10^6</f>
        <v>0.13710590999999997</v>
      </c>
      <c r="AK118" s="295">
        <f>+[4]ธ.ค.58!$T$35/10^6</f>
        <v>0.12603945000000003</v>
      </c>
      <c r="AL118" s="295">
        <f>+[4]ม.ค.59!$T$35/10^6</f>
        <v>0.12484081</v>
      </c>
      <c r="AM118" s="295">
        <f>+[4]ก.พ.59!$T$35/10^6</f>
        <v>0.10090132</v>
      </c>
      <c r="AN118" s="295">
        <f>+[4]มี.ค.59!$T$35/10^6</f>
        <v>0.14418666999999999</v>
      </c>
      <c r="AO118" s="295">
        <f>+[4]เม.ย.59!$T$35/10^6</f>
        <v>0.11870502000000002</v>
      </c>
      <c r="AP118" s="295">
        <f>+[4]พ.ค.59!$T$35/10^6</f>
        <v>9.6843340000000028E-2</v>
      </c>
      <c r="AQ118" s="295">
        <f>+[4]มิ.ย.59!$T$35/10^6</f>
        <v>0.12414446000000003</v>
      </c>
      <c r="AR118" s="295">
        <f>+[4]ก.ค.59!$T$35/10^6</f>
        <v>0.12431984000000003</v>
      </c>
      <c r="AS118" s="295">
        <f>+[4]ส.ค.59!$T$35/10^6</f>
        <v>0.13871292999999998</v>
      </c>
      <c r="AT118" s="295">
        <f>+[4]ก.ย.59!$T$35/10^6</f>
        <v>0.12310904999999998</v>
      </c>
      <c r="AU118" s="294">
        <f t="shared" si="18"/>
        <v>1.4592276700000002</v>
      </c>
    </row>
    <row r="119" spans="1:47" s="273" customFormat="1" x14ac:dyDescent="0.2">
      <c r="A119" s="269">
        <v>1018</v>
      </c>
      <c r="B119" s="203" t="s">
        <v>57</v>
      </c>
      <c r="C119" s="284">
        <f>+[2]ต.ค.59!$U$37/10^6</f>
        <v>2.3102999999999999E-2</v>
      </c>
      <c r="D119" s="284">
        <f>+[2]พ.ย.59!$U$37/10^6</f>
        <v>2.2945E-2</v>
      </c>
      <c r="E119" s="284">
        <f>+[2]ธ.ค.59!$U$37/10^6</f>
        <v>2.5294000000000001E-2</v>
      </c>
      <c r="F119" s="284">
        <f>+[2]ม.ค.60!$U$37/10^6</f>
        <v>2.4093E-2</v>
      </c>
      <c r="G119" s="284">
        <f>+[2]ก.พ.60!$U$37/10^6</f>
        <v>2.2696000000000001E-2</v>
      </c>
      <c r="H119" s="284">
        <f>+[2]มี.ค.60!$U$37/10^6</f>
        <v>2.4229000000000001E-2</v>
      </c>
      <c r="I119" s="284">
        <f>+[2]เม.ย.60!$U$37/10^6</f>
        <v>2.7747999999999998E-2</v>
      </c>
      <c r="J119" s="284">
        <f>+[2]พ.ค.60!$U$37/10^6</f>
        <v>2.7274E-2</v>
      </c>
      <c r="K119" s="284">
        <f>+[2]มิ.ย.60!$U$37/10^6</f>
        <v>2.5062999999999998E-2</v>
      </c>
      <c r="L119" s="284">
        <f>+[2]ก.ค.60!$U$37/10^6</f>
        <v>2.6126E-2</v>
      </c>
      <c r="M119" s="284">
        <f>+[2]ส.ค.60!$U$37/10^6</f>
        <v>2.6381999999999999E-2</v>
      </c>
      <c r="N119" s="284">
        <f>+[2]ก.ย.60!$U$37/10^6</f>
        <v>2.8340000000000001E-2</v>
      </c>
      <c r="O119" s="283">
        <f t="shared" si="16"/>
        <v>0.30329299999999998</v>
      </c>
      <c r="P119" s="270"/>
      <c r="Q119" s="271">
        <v>1018</v>
      </c>
      <c r="R119" s="272" t="s">
        <v>57</v>
      </c>
      <c r="S119" s="289">
        <f>+[3]ปริมาณน้ำสูญเสีย!B82/10^6</f>
        <v>3.0905999999999999E-2</v>
      </c>
      <c r="T119" s="289">
        <f>+[3]ปริมาณน้ำสูญเสีย!C82/10^6</f>
        <v>3.0886E-2</v>
      </c>
      <c r="U119" s="289">
        <f>+[3]ปริมาณน้ำสูญเสีย!D82/10^6</f>
        <v>3.3066999999999999E-2</v>
      </c>
      <c r="V119" s="289">
        <f>+[3]ปริมาณน้ำสูญเสีย!E82/10^6</f>
        <v>3.1233E-2</v>
      </c>
      <c r="W119" s="289">
        <f>+[3]ปริมาณน้ำสูญเสีย!F82/10^6</f>
        <v>2.7341000000000001E-2</v>
      </c>
      <c r="X119" s="289">
        <f>+[3]ปริมาณน้ำสูญเสีย!G82/10^6</f>
        <v>2.8160999999999999E-2</v>
      </c>
      <c r="Y119" s="289">
        <f>+[3]ปริมาณน้ำสูญเสีย!H82/10^6</f>
        <v>3.2006E-2</v>
      </c>
      <c r="Z119" s="289">
        <f>+[3]ปริมาณน้ำสูญเสีย!I82/10^6</f>
        <v>2.7577999999999998E-2</v>
      </c>
      <c r="AA119" s="289">
        <f>+[3]ปริมาณน้ำสูญเสีย!J82/10^6</f>
        <v>2.4687000000000001E-2</v>
      </c>
      <c r="AB119" s="289">
        <f>+[3]ปริมาณน้ำสูญเสีย!K82/10^6</f>
        <v>2.53E-2</v>
      </c>
      <c r="AC119" s="289">
        <f>+[3]ปริมาณน้ำสูญเสีย!L82/10^6</f>
        <v>2.5867999999999999E-2</v>
      </c>
      <c r="AD119" s="289">
        <f>+[3]ปริมาณน้ำสูญเสีย!M82/10^6</f>
        <v>2.3758999999999999E-2</v>
      </c>
      <c r="AE119" s="288">
        <f t="shared" si="17"/>
        <v>0.34079199999999998</v>
      </c>
      <c r="AF119" s="290">
        <f>+[3]ปริมาณน้ำสูญเสีย!O82/10^6</f>
        <v>0.34079199999999998</v>
      </c>
      <c r="AG119" s="274">
        <v>1018</v>
      </c>
      <c r="AH119" s="275" t="s">
        <v>57</v>
      </c>
      <c r="AI119" s="295">
        <f>+[4]ต.ค.58!$U$35/10^6</f>
        <v>2.6520999999999999E-2</v>
      </c>
      <c r="AJ119" s="295">
        <f>+[4]พ.ย.58!$U$35/10^6</f>
        <v>2.2887000000000001E-2</v>
      </c>
      <c r="AK119" s="295">
        <f>+[4]ธ.ค.58!$U$35/10^6</f>
        <v>2.8091999999999999E-2</v>
      </c>
      <c r="AL119" s="295">
        <f>+[4]ม.ค.59!$U$35/10^6</f>
        <v>2.7709999999999999E-2</v>
      </c>
      <c r="AM119" s="295">
        <f>+[4]ก.พ.59!$U$35/10^6</f>
        <v>2.5520999999999999E-2</v>
      </c>
      <c r="AN119" s="295">
        <f>+[4]มี.ค.59!$U$35/10^6</f>
        <v>2.6938E-2</v>
      </c>
      <c r="AO119" s="295">
        <f>+[4]เม.ย.59!$U$35/10^6</f>
        <v>4.2243000000000003E-2</v>
      </c>
      <c r="AP119" s="295">
        <f>+[4]พ.ค.59!$U$35/10^6</f>
        <v>3.2638E-2</v>
      </c>
      <c r="AQ119" s="295">
        <f>+[4]มิ.ย.59!$U$35/10^6</f>
        <v>2.5319000000000001E-2</v>
      </c>
      <c r="AR119" s="295">
        <f>+[4]ก.ค.59!$U$35/10^6</f>
        <v>2.3900999999999999E-2</v>
      </c>
      <c r="AS119" s="295">
        <f>+[4]ส.ค.59!$U$35/10^6</f>
        <v>2.3990000000000001E-2</v>
      </c>
      <c r="AT119" s="295">
        <f>+[4]ก.ย.59!$U$35/10^6</f>
        <v>2.3675000000000002E-2</v>
      </c>
      <c r="AU119" s="294">
        <f t="shared" si="18"/>
        <v>0.32943499999999998</v>
      </c>
    </row>
    <row r="120" spans="1:47" s="273" customFormat="1" x14ac:dyDescent="0.2">
      <c r="A120" s="269">
        <v>1019</v>
      </c>
      <c r="B120" s="203" t="s">
        <v>58</v>
      </c>
      <c r="C120" s="284">
        <f>+[2]ต.ค.59!$V$37/10^6</f>
        <v>1.3301380000000005E-2</v>
      </c>
      <c r="D120" s="284">
        <f>+[2]พ.ย.59!$V$37/10^6</f>
        <v>9.4727799999999984E-3</v>
      </c>
      <c r="E120" s="284">
        <f>+[2]ธ.ค.59!$V$37/10^6</f>
        <v>1.1817709999999992E-2</v>
      </c>
      <c r="F120" s="284">
        <f>+[2]ม.ค.60!$V$37/10^6</f>
        <v>1.2001240000000005E-2</v>
      </c>
      <c r="G120" s="284">
        <f>+[2]ก.พ.60!$V$37/10^6</f>
        <v>1.1642089999999997E-2</v>
      </c>
      <c r="H120" s="284">
        <f>+[2]มี.ค.60!$V$37/10^6</f>
        <v>2.2228000000000001E-2</v>
      </c>
      <c r="I120" s="284">
        <f>+[2]เม.ย.60!$V$37/10^6</f>
        <v>1.4808999999999999E-2</v>
      </c>
      <c r="J120" s="284">
        <f>+[2]พ.ค.60!$V$37/10^6</f>
        <v>1.6775000000000002E-2</v>
      </c>
      <c r="K120" s="284">
        <f>+[2]มิ.ย.60!$V$37/10^6</f>
        <v>1.1346E-2</v>
      </c>
      <c r="L120" s="284">
        <f>+[2]ก.ค.60!$V$37/10^6</f>
        <v>1.6874E-2</v>
      </c>
      <c r="M120" s="284">
        <f>+[2]ส.ค.60!$V$37/10^6</f>
        <v>1.6924999999999999E-2</v>
      </c>
      <c r="N120" s="284">
        <f>+[2]ก.ย.60!$V$37/10^6</f>
        <v>1.7128000000000001E-2</v>
      </c>
      <c r="O120" s="283">
        <f t="shared" si="16"/>
        <v>0.17432019999999998</v>
      </c>
      <c r="P120" s="270"/>
      <c r="Q120" s="271">
        <v>1019</v>
      </c>
      <c r="R120" s="272" t="s">
        <v>58</v>
      </c>
      <c r="S120" s="289">
        <f>+[3]ปริมาณน้ำสูญเสีย!B83/10^6</f>
        <v>1.9133000000000001E-2</v>
      </c>
      <c r="T120" s="289">
        <f>+[3]ปริมาณน้ำสูญเสีย!C83/10^6</f>
        <v>1.9075999999999999E-2</v>
      </c>
      <c r="U120" s="289">
        <f>+[3]ปริมาณน้ำสูญเสีย!D83/10^6</f>
        <v>1.7861999999999999E-2</v>
      </c>
      <c r="V120" s="289">
        <f>+[3]ปริมาณน้ำสูญเสีย!E83/10^6</f>
        <v>1.7167999999999999E-2</v>
      </c>
      <c r="W120" s="289">
        <f>+[3]ปริมาณน้ำสูญเสีย!F83/10^6</f>
        <v>1.6840999999999998E-2</v>
      </c>
      <c r="X120" s="289">
        <f>+[3]ปริมาณน้ำสูญเสีย!G83/10^6</f>
        <v>1.9997000000000001E-2</v>
      </c>
      <c r="Y120" s="289">
        <f>+[3]ปริมาณน้ำสูญเสีย!H83/10^6</f>
        <v>1.6188000000000001E-2</v>
      </c>
      <c r="Z120" s="289">
        <f>+[3]ปริมาณน้ำสูญเสีย!I83/10^6</f>
        <v>1.3721000000000001E-2</v>
      </c>
      <c r="AA120" s="289">
        <f>+[3]ปริมาณน้ำสูญเสีย!J83/10^6</f>
        <v>1.4612999999999999E-2</v>
      </c>
      <c r="AB120" s="289">
        <f>+[3]ปริมาณน้ำสูญเสีย!K83/10^6</f>
        <v>1.6629000000000001E-2</v>
      </c>
      <c r="AC120" s="289">
        <f>+[3]ปริมาณน้ำสูญเสีย!L83/10^6</f>
        <v>1.5629000000000001E-2</v>
      </c>
      <c r="AD120" s="289">
        <f>+[3]ปริมาณน้ำสูญเสีย!M83/10^6</f>
        <v>1.4045999999999999E-2</v>
      </c>
      <c r="AE120" s="288">
        <f t="shared" si="17"/>
        <v>0.200903</v>
      </c>
      <c r="AF120" s="290">
        <f>+[3]ปริมาณน้ำสูญเสีย!O83/10^6</f>
        <v>0.200903</v>
      </c>
      <c r="AG120" s="274">
        <v>1019</v>
      </c>
      <c r="AH120" s="275" t="s">
        <v>58</v>
      </c>
      <c r="AI120" s="295">
        <f>+[4]ต.ค.58!$V$35/10^6</f>
        <v>2.0126000000000002E-2</v>
      </c>
      <c r="AJ120" s="295">
        <f>+[4]พ.ย.58!$V$35/10^6</f>
        <v>2.1226999999999999E-2</v>
      </c>
      <c r="AK120" s="295">
        <f>+[4]ธ.ค.58!$V$35/10^6</f>
        <v>2.0448000000000001E-2</v>
      </c>
      <c r="AL120" s="295">
        <f>+[4]ม.ค.59!$V$35/10^6</f>
        <v>1.6896000000000001E-2</v>
      </c>
      <c r="AM120" s="295">
        <f>+[4]ก.พ.59!$V$35/10^6</f>
        <v>1.6900999999999999E-2</v>
      </c>
      <c r="AN120" s="295">
        <f>+[4]มี.ค.59!$V$35/10^6</f>
        <v>1.8565000000000002E-2</v>
      </c>
      <c r="AO120" s="295">
        <f>+[4]เม.ย.59!$V$35/10^6</f>
        <v>2.2334E-2</v>
      </c>
      <c r="AP120" s="295">
        <f>+[4]พ.ค.59!$V$35/10^6</f>
        <v>1.6147999999999999E-2</v>
      </c>
      <c r="AQ120" s="295">
        <f>+[4]มิ.ย.59!$V$35/10^6</f>
        <v>1.6146000000000001E-2</v>
      </c>
      <c r="AR120" s="295">
        <f>+[4]ก.ค.59!$V$35/10^6</f>
        <v>1.9275E-2</v>
      </c>
      <c r="AS120" s="295">
        <f>+[4]ส.ค.59!$V$35/10^6</f>
        <v>1.7881000000000001E-2</v>
      </c>
      <c r="AT120" s="295">
        <f>+[4]ก.ย.59!$V$35/10^6</f>
        <v>1.6247000000000001E-2</v>
      </c>
      <c r="AU120" s="294">
        <f t="shared" si="18"/>
        <v>0.22219400000000003</v>
      </c>
    </row>
    <row r="121" spans="1:47" s="273" customFormat="1" x14ac:dyDescent="0.2">
      <c r="A121" s="269">
        <v>1020</v>
      </c>
      <c r="B121" s="203" t="s">
        <v>59</v>
      </c>
      <c r="C121" s="284">
        <f>+[2]ต.ค.59!$W$37/10^6</f>
        <v>0.118745</v>
      </c>
      <c r="D121" s="284">
        <f>+[2]พ.ย.59!$W$37/10^6</f>
        <v>0.11953900000000001</v>
      </c>
      <c r="E121" s="284">
        <f>+[2]ธ.ค.59!$W$37/10^6</f>
        <v>0.118895</v>
      </c>
      <c r="F121" s="284">
        <f>+[2]ม.ค.60!$W$37/10^6</f>
        <v>0.122174</v>
      </c>
      <c r="G121" s="284">
        <f>+[2]ก.พ.60!$W$37/10^6</f>
        <v>0.105571</v>
      </c>
      <c r="H121" s="284">
        <f>+[2]มี.ค.60!$W$37/10^6</f>
        <v>0.113478</v>
      </c>
      <c r="I121" s="284">
        <f>+[2]เม.ย.60!$W$37/10^6</f>
        <v>0.11702899999999999</v>
      </c>
      <c r="J121" s="284">
        <f>+[2]พ.ค.60!$W$37/10^6</f>
        <v>0.127079</v>
      </c>
      <c r="K121" s="284">
        <f>+[2]มิ.ย.60!$W$37/10^6</f>
        <v>0.117171</v>
      </c>
      <c r="L121" s="284">
        <f>+[2]ก.ค.60!$W$37/10^6</f>
        <v>0.11740299999999999</v>
      </c>
      <c r="M121" s="284">
        <f>+[2]ส.ค.60!$W$37/10^6</f>
        <v>0.116394</v>
      </c>
      <c r="N121" s="284">
        <f>+[2]ก.ย.60!$W$37/10^6</f>
        <v>0.11550000000000001</v>
      </c>
      <c r="O121" s="283">
        <f t="shared" si="16"/>
        <v>1.4089779999999998</v>
      </c>
      <c r="P121" s="270"/>
      <c r="Q121" s="271">
        <v>1020</v>
      </c>
      <c r="R121" s="272" t="s">
        <v>59</v>
      </c>
      <c r="S121" s="289">
        <f>+[3]ปริมาณน้ำสูญเสีย!B84/10^6</f>
        <v>0.13814799999999999</v>
      </c>
      <c r="T121" s="289">
        <f>+[3]ปริมาณน้ำสูญเสีย!C84/10^6</f>
        <v>0.135237</v>
      </c>
      <c r="U121" s="289">
        <f>+[3]ปริมาณน้ำสูญเสีย!D84/10^6</f>
        <v>0.14594699999999999</v>
      </c>
      <c r="V121" s="289">
        <f>+[3]ปริมาณน้ำสูญเสีย!E84/10^6</f>
        <v>0.125227</v>
      </c>
      <c r="W121" s="289">
        <f>+[3]ปริมาณน้ำสูญเสีย!F84/10^6</f>
        <v>0.113763</v>
      </c>
      <c r="X121" s="289">
        <f>+[3]ปริมาณน้ำสูญเสีย!G84/10^6</f>
        <v>0.12135</v>
      </c>
      <c r="Y121" s="289">
        <f>+[3]ปริมาณน้ำสูญเสีย!H84/10^6</f>
        <v>0.116815</v>
      </c>
      <c r="Z121" s="289">
        <f>+[3]ปริมาณน้ำสูญเสีย!I84/10^6</f>
        <v>0.117995</v>
      </c>
      <c r="AA121" s="289">
        <f>+[3]ปริมาณน้ำสูญเสีย!J84/10^6</f>
        <v>0.10388</v>
      </c>
      <c r="AB121" s="289">
        <f>+[3]ปริมาณน้ำสูญเสีย!K84/10^6</f>
        <v>0.109816</v>
      </c>
      <c r="AC121" s="289">
        <f>+[3]ปริมาณน้ำสูญเสีย!L84/10^6</f>
        <v>0.122541</v>
      </c>
      <c r="AD121" s="289">
        <f>+[3]ปริมาณน้ำสูญเสีย!M84/10^6</f>
        <v>0.114651</v>
      </c>
      <c r="AE121" s="288">
        <f t="shared" si="17"/>
        <v>1.4653700000000001</v>
      </c>
      <c r="AF121" s="290">
        <f>+[3]ปริมาณน้ำสูญเสีย!O84/10^6</f>
        <v>1.4653700000000001</v>
      </c>
      <c r="AG121" s="274">
        <v>1020</v>
      </c>
      <c r="AH121" s="275" t="s">
        <v>59</v>
      </c>
      <c r="AI121" s="295">
        <f>+[4]ต.ค.58!$W$35/10^6</f>
        <v>9.0307999999999999E-2</v>
      </c>
      <c r="AJ121" s="295">
        <f>+[4]พ.ย.58!$W$35/10^6</f>
        <v>0.112399</v>
      </c>
      <c r="AK121" s="295">
        <f>+[4]ธ.ค.58!$W$35/10^6</f>
        <v>0.106876</v>
      </c>
      <c r="AL121" s="295">
        <f>+[4]ม.ค.59!$W$35/10^6</f>
        <v>0.10383299999999999</v>
      </c>
      <c r="AM121" s="295">
        <f>+[4]ก.พ.59!$W$35/10^6</f>
        <v>8.7499999999999994E-2</v>
      </c>
      <c r="AN121" s="295">
        <f>+[4]มี.ค.59!$W$35/10^6</f>
        <v>0.10222299999999999</v>
      </c>
      <c r="AO121" s="295">
        <f>+[4]เม.ย.59!$W$35/10^6</f>
        <v>8.6636000000000005E-2</v>
      </c>
      <c r="AP121" s="295">
        <f>+[4]พ.ค.59!$W$35/10^6</f>
        <v>9.1994999999999993E-2</v>
      </c>
      <c r="AQ121" s="295">
        <f>+[4]มิ.ย.59!$W$35/10^6</f>
        <v>5.8399E-2</v>
      </c>
      <c r="AR121" s="295">
        <f>+[4]ก.ค.59!$W$35/10^6</f>
        <v>9.7920999999999994E-2</v>
      </c>
      <c r="AS121" s="295">
        <f>+[4]ส.ค.59!$W$35/10^6</f>
        <v>0.131163</v>
      </c>
      <c r="AT121" s="295">
        <f>+[4]ก.ย.59!$W$35/10^6</f>
        <v>0.11151800000000001</v>
      </c>
      <c r="AU121" s="294">
        <f t="shared" si="18"/>
        <v>1.180771</v>
      </c>
    </row>
    <row r="122" spans="1:47" s="273" customFormat="1" x14ac:dyDescent="0.2">
      <c r="A122" s="269">
        <v>1021</v>
      </c>
      <c r="B122" s="203" t="s">
        <v>60</v>
      </c>
      <c r="C122" s="284">
        <f>+[2]ต.ค.59!$X$37/10^6</f>
        <v>2.1145000000000001E-2</v>
      </c>
      <c r="D122" s="284">
        <f>+[2]พ.ย.59!$X$37/10^6</f>
        <v>3.6020999999999997E-2</v>
      </c>
      <c r="E122" s="284">
        <f>+[2]ธ.ค.59!$X$37/10^6</f>
        <v>4.8044999999999997E-2</v>
      </c>
      <c r="F122" s="284">
        <f>+[2]ม.ค.60!$X$37/10^6</f>
        <v>2.9021999999999999E-2</v>
      </c>
      <c r="G122" s="284">
        <f>+[2]ก.พ.60!$X$37/10^6</f>
        <v>3.7812809999999995E-2</v>
      </c>
      <c r="H122" s="284">
        <f>+[2]มี.ค.60!$X$37/10^6</f>
        <v>4.5384440000000005E-2</v>
      </c>
      <c r="I122" s="284">
        <f>+[2]เม.ย.60!$X$37/10^6</f>
        <v>3.5748519999999992E-2</v>
      </c>
      <c r="J122" s="284">
        <f>+[2]พ.ค.60!$X$37/10^6</f>
        <v>4.4183460000000008E-2</v>
      </c>
      <c r="K122" s="284">
        <f>+[2]มิ.ย.60!$X$37/10^6</f>
        <v>3.8293150000000012E-2</v>
      </c>
      <c r="L122" s="284">
        <f>+[2]ก.ค.60!$X$37/10^6</f>
        <v>3.7246609999999999E-2</v>
      </c>
      <c r="M122" s="284">
        <f>+[2]ส.ค.60!$X$37/10^6</f>
        <v>3.8094910000000003E-2</v>
      </c>
      <c r="N122" s="284">
        <f>+[2]ก.ย.60!$X$37/10^6</f>
        <v>5.1724290000000006E-2</v>
      </c>
      <c r="O122" s="283">
        <f t="shared" si="16"/>
        <v>0.46272119</v>
      </c>
      <c r="P122" s="270"/>
      <c r="Q122" s="271">
        <v>1021</v>
      </c>
      <c r="R122" s="272" t="s">
        <v>60</v>
      </c>
      <c r="S122" s="289">
        <f>+[3]ปริมาณน้ำสูญเสีย!B85/10^6</f>
        <v>1.15E-2</v>
      </c>
      <c r="T122" s="289">
        <f>+[3]ปริมาณน้ำสูญเสีย!C85/10^6</f>
        <v>1.3162999999999999E-2</v>
      </c>
      <c r="U122" s="289">
        <f>+[3]ปริมาณน้ำสูญเสีย!D85/10^6</f>
        <v>1.3231E-2</v>
      </c>
      <c r="V122" s="289">
        <f>+[3]ปริมาณน้ำสูญเสีย!E85/10^6</f>
        <v>1.5183E-2</v>
      </c>
      <c r="W122" s="289">
        <f>+[3]ปริมาณน้ำสูญเสีย!F85/10^6</f>
        <v>1.3006E-2</v>
      </c>
      <c r="X122" s="289">
        <f>+[3]ปริมาณน้ำสูญเสีย!G85/10^6</f>
        <v>1.3990000000000001E-2</v>
      </c>
      <c r="Y122" s="289">
        <f>+[3]ปริมาณน้ำสูญเสีย!H85/10^6</f>
        <v>1.6240999999999998E-2</v>
      </c>
      <c r="Z122" s="289">
        <f>+[3]ปริมาณน้ำสูญเสีย!I85/10^6</f>
        <v>1.6091000000000001E-2</v>
      </c>
      <c r="AA122" s="289">
        <f>+[3]ปริมาณน้ำสูญเสีย!J85/10^6</f>
        <v>1.5069000000000001E-2</v>
      </c>
      <c r="AB122" s="289">
        <f>+[3]ปริมาณน้ำสูญเสีย!K85/10^6</f>
        <v>1.5025E-2</v>
      </c>
      <c r="AC122" s="289">
        <f>+[3]ปริมาณน้ำสูญเสีย!L85/10^6</f>
        <v>1.3457999999999999E-2</v>
      </c>
      <c r="AD122" s="289">
        <f>+[3]ปริมาณน้ำสูญเสีย!M85/10^6</f>
        <v>1.6913000000000001E-2</v>
      </c>
      <c r="AE122" s="288">
        <f t="shared" si="17"/>
        <v>0.17287000000000002</v>
      </c>
      <c r="AF122" s="290">
        <f>+[3]ปริมาณน้ำสูญเสีย!O85/10^6</f>
        <v>0.17287</v>
      </c>
      <c r="AG122" s="274">
        <v>1021</v>
      </c>
      <c r="AH122" s="275" t="s">
        <v>60</v>
      </c>
      <c r="AI122" s="295">
        <f>+[4]ต.ค.58!$X$35/10^6</f>
        <v>1.3963E-2</v>
      </c>
      <c r="AJ122" s="295">
        <f>+[4]พ.ย.58!$X$35/10^6</f>
        <v>1.8436999999999999E-2</v>
      </c>
      <c r="AK122" s="295">
        <f>+[4]ธ.ค.58!$X$35/10^6</f>
        <v>1.8911000000000001E-2</v>
      </c>
      <c r="AL122" s="295">
        <f>+[4]ม.ค.59!$X$35/10^6</f>
        <v>2.1113E-2</v>
      </c>
      <c r="AM122" s="295">
        <f>+[4]ก.พ.59!$X$35/10^6</f>
        <v>1.9434E-2</v>
      </c>
      <c r="AN122" s="295">
        <f>+[4]มี.ค.59!$X$35/10^6</f>
        <v>2.1600999999999999E-2</v>
      </c>
      <c r="AO122" s="295">
        <f>+[4]เม.ย.59!$X$35/10^6</f>
        <v>2.5075E-2</v>
      </c>
      <c r="AP122" s="295">
        <f>+[4]พ.ค.59!$X$35/10^6</f>
        <v>2.3435999999999998E-2</v>
      </c>
      <c r="AQ122" s="295">
        <f>+[4]มิ.ย.59!$X$35/10^6</f>
        <v>2.2648999999999999E-2</v>
      </c>
      <c r="AR122" s="295">
        <f>+[4]ก.ค.59!$X$35/10^6</f>
        <v>2.2880999999999999E-2</v>
      </c>
      <c r="AS122" s="295">
        <f>+[4]ส.ค.59!$X$35/10^6</f>
        <v>1.8675000000000001E-2</v>
      </c>
      <c r="AT122" s="295">
        <f>+[4]ก.ย.59!$X$35/10^6</f>
        <v>2.9090000000000001E-2</v>
      </c>
      <c r="AU122" s="294">
        <f t="shared" si="18"/>
        <v>0.25526500000000002</v>
      </c>
    </row>
    <row r="123" spans="1:47" s="273" customFormat="1" x14ac:dyDescent="0.2">
      <c r="A123" s="269">
        <v>1022</v>
      </c>
      <c r="B123" s="203" t="s">
        <v>61</v>
      </c>
      <c r="C123" s="284">
        <f>+[2]ต.ค.59!$Y$37/10^6</f>
        <v>0.16103300000000001</v>
      </c>
      <c r="D123" s="284">
        <f>+[2]พ.ย.59!$Y$37/10^6</f>
        <v>0.13220399999999999</v>
      </c>
      <c r="E123" s="284">
        <f>+[2]ธ.ค.59!$Y$37/10^6</f>
        <v>0.16125800000000001</v>
      </c>
      <c r="F123" s="284">
        <f>+[2]ม.ค.60!$Y$37/10^6</f>
        <v>0.15976000000000001</v>
      </c>
      <c r="G123" s="284">
        <f>+[2]ก.พ.60!$Y$37/10^6</f>
        <v>0.14613300000000001</v>
      </c>
      <c r="H123" s="284">
        <f>+[2]มี.ค.60!$Y$37/10^6</f>
        <v>0.19917899999999999</v>
      </c>
      <c r="I123" s="284">
        <f>+[2]เม.ย.60!$Y$37/10^6</f>
        <v>7.1322999999999998E-2</v>
      </c>
      <c r="J123" s="284">
        <f>+[2]พ.ค.60!$Y$37/10^6</f>
        <v>0.114943</v>
      </c>
      <c r="K123" s="284">
        <f>+[2]มิ.ย.60!$Y$37/10^6</f>
        <v>9.7433000000000006E-2</v>
      </c>
      <c r="L123" s="284">
        <f>+[2]ก.ค.60!$Y$37/10^6</f>
        <v>0.12793299999999999</v>
      </c>
      <c r="M123" s="284">
        <f>+[2]ส.ค.60!$Y$37/10^6</f>
        <v>0.12686900000000001</v>
      </c>
      <c r="N123" s="284">
        <f>+[2]ก.ย.60!$Y$37/10^6</f>
        <v>0.119454</v>
      </c>
      <c r="O123" s="283">
        <f t="shared" si="16"/>
        <v>1.6175220000000003</v>
      </c>
      <c r="P123" s="270"/>
      <c r="Q123" s="271">
        <v>1022</v>
      </c>
      <c r="R123" s="272" t="s">
        <v>61</v>
      </c>
      <c r="S123" s="289">
        <f>+[3]ปริมาณน้ำสูญเสีย!B86/10^6</f>
        <v>0.16639599999999999</v>
      </c>
      <c r="T123" s="289">
        <f>+[3]ปริมาณน้ำสูญเสีย!C86/10^6</f>
        <v>9.0282000000000001E-2</v>
      </c>
      <c r="U123" s="289">
        <f>+[3]ปริมาณน้ำสูญเสีย!D86/10^6</f>
        <v>0.138376</v>
      </c>
      <c r="V123" s="289">
        <f>+[3]ปริมาณน้ำสูญเสีย!E86/10^6</f>
        <v>0.128856</v>
      </c>
      <c r="W123" s="289">
        <f>+[3]ปริมาณน้ำสูญเสีย!F86/10^6</f>
        <v>0.13004199999999999</v>
      </c>
      <c r="X123" s="289">
        <f>+[3]ปริมาณน้ำสูญเสีย!G86/10^6</f>
        <v>0.20554600000000001</v>
      </c>
      <c r="Y123" s="289">
        <f>+[3]ปริมาณน้ำสูญเสีย!H86/10^6</f>
        <v>0.13675200000000001</v>
      </c>
      <c r="Z123" s="289">
        <f>+[3]ปริมาณน้ำสูญเสีย!I86/10^6</f>
        <v>0.144931</v>
      </c>
      <c r="AA123" s="289">
        <f>+[3]ปริมาณน้ำสูญเสีย!J86/10^6</f>
        <v>0.11648600000000001</v>
      </c>
      <c r="AB123" s="289">
        <f>+[3]ปริมาณน้ำสูญเสีย!K86/10^6</f>
        <v>0.13033600000000001</v>
      </c>
      <c r="AC123" s="289">
        <f>+[3]ปริมาณน้ำสูญเสีย!L86/10^6</f>
        <v>0.135377</v>
      </c>
      <c r="AD123" s="289">
        <f>+[3]ปริมาณน้ำสูญเสีย!M86/10^6</f>
        <v>0.137042</v>
      </c>
      <c r="AE123" s="288">
        <f t="shared" si="17"/>
        <v>1.6604220000000001</v>
      </c>
      <c r="AF123" s="290">
        <f>+[3]ปริมาณน้ำสูญเสีย!O86/10^6</f>
        <v>1.6604220000000001</v>
      </c>
      <c r="AG123" s="274">
        <v>1022</v>
      </c>
      <c r="AH123" s="275" t="s">
        <v>61</v>
      </c>
      <c r="AI123" s="295">
        <f>+[4]ต.ค.58!$Y$35/10^6</f>
        <v>0.17577799999999999</v>
      </c>
      <c r="AJ123" s="295">
        <f>+[4]พ.ย.58!$Y$35/10^6</f>
        <v>5.7799999999999997E-2</v>
      </c>
      <c r="AK123" s="295">
        <f>+[4]ธ.ค.58!$Y$35/10^6</f>
        <v>0.13831599999999999</v>
      </c>
      <c r="AL123" s="295">
        <f>+[4]ม.ค.59!$Y$35/10^6</f>
        <v>0.16941000000000001</v>
      </c>
      <c r="AM123" s="295">
        <f>+[4]ก.พ.59!$Y$35/10^6</f>
        <v>0.14202500000000001</v>
      </c>
      <c r="AN123" s="295">
        <f>+[4]มี.ค.59!$Y$35/10^6</f>
        <v>0.206149</v>
      </c>
      <c r="AO123" s="295">
        <f>+[4]เม.ย.59!$Y$35/10^6</f>
        <v>0.14405100000000001</v>
      </c>
      <c r="AP123" s="295">
        <f>+[4]พ.ค.59!$Y$35/10^6</f>
        <v>0.118808</v>
      </c>
      <c r="AQ123" s="295">
        <f>+[4]มิ.ย.59!$Y$35/10^6</f>
        <v>9.6652000000000002E-2</v>
      </c>
      <c r="AR123" s="295">
        <f>+[4]ก.ค.59!$Y$35/10^6</f>
        <v>0.104046</v>
      </c>
      <c r="AS123" s="295">
        <f>+[4]ส.ค.59!$Y$35/10^6</f>
        <v>0.15417400000000001</v>
      </c>
      <c r="AT123" s="295">
        <f>+[4]ก.ย.59!$Y$35/10^6</f>
        <v>0.110024</v>
      </c>
      <c r="AU123" s="294">
        <f t="shared" si="18"/>
        <v>1.6172330000000001</v>
      </c>
    </row>
    <row r="124" spans="1:47" s="273" customFormat="1" x14ac:dyDescent="0.2">
      <c r="A124" s="269">
        <v>1023</v>
      </c>
      <c r="B124" s="203" t="s">
        <v>62</v>
      </c>
      <c r="C124" s="284">
        <f>+[2]ต.ค.59!$Z$37/10^6</f>
        <v>3.0594E-2</v>
      </c>
      <c r="D124" s="284">
        <f>+[2]พ.ย.59!$Z$37/10^6</f>
        <v>2.4218E-2</v>
      </c>
      <c r="E124" s="284">
        <f>+[2]ธ.ค.59!$Z$37/10^6</f>
        <v>2.9357999999999999E-2</v>
      </c>
      <c r="F124" s="284">
        <f>+[2]ม.ค.60!$Z$37/10^6</f>
        <v>2.8691999999999999E-2</v>
      </c>
      <c r="G124" s="284">
        <f>+[2]ก.พ.60!$Z$37/10^6</f>
        <v>2.7973000000000001E-2</v>
      </c>
      <c r="H124" s="284">
        <f>+[2]มี.ค.60!$Z$37/10^6</f>
        <v>3.2883000000000003E-2</v>
      </c>
      <c r="I124" s="284">
        <f>+[2]เม.ย.60!$Z$37/10^6</f>
        <v>3.0928000000000001E-2</v>
      </c>
      <c r="J124" s="284">
        <f>+[2]พ.ค.60!$Z$37/10^6</f>
        <v>3.1525999999999998E-2</v>
      </c>
      <c r="K124" s="284">
        <f>+[2]มิ.ย.60!$Z$37/10^6</f>
        <v>2.7980999999999999E-2</v>
      </c>
      <c r="L124" s="284">
        <f>+[2]ก.ค.60!$Z$37/10^6</f>
        <v>2.7400999999999998E-2</v>
      </c>
      <c r="M124" s="284">
        <f>+[2]ส.ค.60!$Z$37/10^6</f>
        <v>2.2932000000000001E-2</v>
      </c>
      <c r="N124" s="284">
        <f>+[2]ก.ย.60!$Z$37/10^6</f>
        <v>2.2638999999999999E-2</v>
      </c>
      <c r="O124" s="283">
        <f t="shared" si="16"/>
        <v>0.33712500000000001</v>
      </c>
      <c r="P124" s="270"/>
      <c r="Q124" s="271">
        <v>1023</v>
      </c>
      <c r="R124" s="272" t="s">
        <v>62</v>
      </c>
      <c r="S124" s="289">
        <f>+[3]ปริมาณน้ำสูญเสีย!B87/10^6</f>
        <v>3.2853E-2</v>
      </c>
      <c r="T124" s="289">
        <f>+[3]ปริมาณน้ำสูญเสีย!C87/10^6</f>
        <v>3.0703000000000001E-2</v>
      </c>
      <c r="U124" s="289">
        <f>+[3]ปริมาณน้ำสูญเสีย!D87/10^6</f>
        <v>3.2753999999999998E-2</v>
      </c>
      <c r="V124" s="289">
        <f>+[3]ปริมาณน้ำสูญเสีย!E87/10^6</f>
        <v>2.7817999999999999E-2</v>
      </c>
      <c r="W124" s="289">
        <f>+[3]ปริมาณน้ำสูญเสีย!F87/10^6</f>
        <v>2.8139000000000001E-2</v>
      </c>
      <c r="X124" s="289">
        <f>+[3]ปริมาณน้ำสูญเสีย!G87/10^6</f>
        <v>3.5463000000000001E-2</v>
      </c>
      <c r="Y124" s="289">
        <f>+[3]ปริมาณน้ำสูญเสีย!H87/10^6</f>
        <v>3.116E-2</v>
      </c>
      <c r="Z124" s="289">
        <f>+[3]ปริมาณน้ำสูญเสีย!I87/10^6</f>
        <v>3.083E-2</v>
      </c>
      <c r="AA124" s="289">
        <f>+[3]ปริมาณน้ำสูญเสีย!J87/10^6</f>
        <v>2.5016E-2</v>
      </c>
      <c r="AB124" s="289">
        <f>+[3]ปริมาณน้ำสูญเสีย!K87/10^6</f>
        <v>1.9494000000000001E-2</v>
      </c>
      <c r="AC124" s="289">
        <f>+[3]ปริมาณน้ำสูญเสีย!L87/10^6</f>
        <v>2.5007999999999999E-2</v>
      </c>
      <c r="AD124" s="289">
        <f>+[3]ปริมาณน้ำสูญเสีย!M87/10^6</f>
        <v>2.3543999999999999E-2</v>
      </c>
      <c r="AE124" s="288">
        <f t="shared" si="17"/>
        <v>0.34278199999999998</v>
      </c>
      <c r="AF124" s="290">
        <f>+[3]ปริมาณน้ำสูญเสีย!O87/10^6</f>
        <v>0.34278199999999998</v>
      </c>
      <c r="AG124" s="274">
        <v>1023</v>
      </c>
      <c r="AH124" s="275" t="s">
        <v>62</v>
      </c>
      <c r="AI124" s="295">
        <f>+[4]ต.ค.58!$Z$35/10^6</f>
        <v>4.1202000000000003E-2</v>
      </c>
      <c r="AJ124" s="295">
        <f>+[4]พ.ย.58!$Z$35/10^6</f>
        <v>3.6824999999999997E-2</v>
      </c>
      <c r="AK124" s="295">
        <f>+[4]ธ.ค.58!$Z$35/10^6</f>
        <v>4.0908E-2</v>
      </c>
      <c r="AL124" s="295">
        <f>+[4]ม.ค.59!$Z$35/10^6</f>
        <v>3.2686E-2</v>
      </c>
      <c r="AM124" s="295">
        <f>+[4]ก.พ.59!$Z$35/10^6</f>
        <v>2.9071E-2</v>
      </c>
      <c r="AN124" s="295">
        <f>+[4]มี.ค.59!$Z$35/10^6</f>
        <v>3.1486E-2</v>
      </c>
      <c r="AO124" s="295">
        <f>+[4]เม.ย.59!$Z$35/10^6</f>
        <v>2.1162E-2</v>
      </c>
      <c r="AP124" s="295">
        <f>+[4]พ.ค.59!$Z$35/10^6</f>
        <v>1.9272999999999998E-2</v>
      </c>
      <c r="AQ124" s="295">
        <f>+[4]มิ.ย.59!$Z$35/10^6</f>
        <v>1.8038999999999999E-2</v>
      </c>
      <c r="AR124" s="295">
        <f>+[4]ก.ค.59!$Z$35/10^6</f>
        <v>1.4881E-2</v>
      </c>
      <c r="AS124" s="295">
        <f>+[4]ส.ค.59!$Z$35/10^6</f>
        <v>2.9801999999999999E-2</v>
      </c>
      <c r="AT124" s="295">
        <f>+[4]ก.ย.59!$Z$35/10^6</f>
        <v>2.3911000000000002E-2</v>
      </c>
      <c r="AU124" s="294">
        <f t="shared" si="18"/>
        <v>0.33924599999999999</v>
      </c>
    </row>
    <row r="125" spans="1:47" s="273" customFormat="1" x14ac:dyDescent="0.2">
      <c r="A125" s="269">
        <v>1024</v>
      </c>
      <c r="B125" s="203" t="s">
        <v>63</v>
      </c>
      <c r="C125" s="284">
        <f>+[2]ต.ค.59!$AA$37/10^6</f>
        <v>0.16618607999999996</v>
      </c>
      <c r="D125" s="284">
        <f>+[2]พ.ย.59!$AA$37/10^6</f>
        <v>0.17986292999999992</v>
      </c>
      <c r="E125" s="284">
        <f>+[2]ธ.ค.59!$AA$37/10^6</f>
        <v>0.193773</v>
      </c>
      <c r="F125" s="284">
        <f>+[2]ม.ค.60!$AA$37/10^6</f>
        <v>0.16486193000000005</v>
      </c>
      <c r="G125" s="284">
        <f>+[2]ก.พ.60!$AA$37/10^6</f>
        <v>0.103204</v>
      </c>
      <c r="H125" s="284">
        <f>+[2]มี.ค.60!$AA$37/10^6</f>
        <v>0.211697</v>
      </c>
      <c r="I125" s="284">
        <f>+[2]เม.ย.60!$AA$37/10^6</f>
        <v>7.2049270000000012E-2</v>
      </c>
      <c r="J125" s="284">
        <f>+[2]พ.ค.60!$AA$37/10^6</f>
        <v>0.13653399999999999</v>
      </c>
      <c r="K125" s="284">
        <f>+[2]มิ.ย.60!$AA$37/10^6</f>
        <v>9.1538999999999995E-2</v>
      </c>
      <c r="L125" s="284">
        <f>+[2]ก.ค.60!$AA$37/10^6</f>
        <v>0.15101500000000001</v>
      </c>
      <c r="M125" s="284">
        <f>+[2]ส.ค.60!$AA$37/10^6</f>
        <v>0.15978764000000001</v>
      </c>
      <c r="N125" s="284">
        <f>+[2]ก.ย.60!$AA$37/10^6</f>
        <v>0.118115</v>
      </c>
      <c r="O125" s="283">
        <f t="shared" si="16"/>
        <v>1.7486248499999999</v>
      </c>
      <c r="P125" s="270"/>
      <c r="Q125" s="271">
        <v>1024</v>
      </c>
      <c r="R125" s="272" t="s">
        <v>63</v>
      </c>
      <c r="S125" s="289">
        <f>+[3]ปริมาณน้ำสูญเสีย!B88/10^6</f>
        <v>0.177263</v>
      </c>
      <c r="T125" s="289">
        <f>+[3]ปริมาณน้ำสูญเสีย!C88/10^6</f>
        <v>0.14932200000000001</v>
      </c>
      <c r="U125" s="289">
        <f>+[3]ปริมาณน้ำสูญเสีย!D88/10^6</f>
        <v>0.20671200000000001</v>
      </c>
      <c r="V125" s="289">
        <f>+[3]ปริมาณน้ำสูญเสีย!E88/10^6</f>
        <v>0.18221499999999999</v>
      </c>
      <c r="W125" s="289">
        <f>+[3]ปริมาณน้ำสูญเสีย!F88/10^6</f>
        <v>0.15271599999999999</v>
      </c>
      <c r="X125" s="289">
        <f>+[3]ปริมาณน้ำสูญเสีย!G88/10^6</f>
        <v>0.20885100000000001</v>
      </c>
      <c r="Y125" s="289">
        <f>+[3]ปริมาณน้ำสูญเสีย!H88/10^6</f>
        <v>0.142926</v>
      </c>
      <c r="Z125" s="289">
        <f>+[3]ปริมาณน้ำสูญเสีย!I88/10^6</f>
        <v>0.16367599999999999</v>
      </c>
      <c r="AA125" s="289">
        <f>+[3]ปริมาณน้ำสูญเสีย!J88/10^6</f>
        <v>0.13645099999999999</v>
      </c>
      <c r="AB125" s="289">
        <f>+[3]ปริมาณน้ำสูญเสีย!K88/10^6</f>
        <v>0.14264199999999999</v>
      </c>
      <c r="AC125" s="289">
        <f>+[3]ปริมาณน้ำสูญเสีย!L88/10^6</f>
        <v>0.172709</v>
      </c>
      <c r="AD125" s="289">
        <f>+[3]ปริมาณน้ำสูญเสีย!M88/10^6</f>
        <v>0.12761500000000001</v>
      </c>
      <c r="AE125" s="288">
        <f t="shared" si="17"/>
        <v>1.9630979999999998</v>
      </c>
      <c r="AF125" s="290">
        <f>+[3]ปริมาณน้ำสูญเสีย!O88/10^6</f>
        <v>1.963098</v>
      </c>
      <c r="AG125" s="274">
        <v>1024</v>
      </c>
      <c r="AH125" s="275" t="s">
        <v>63</v>
      </c>
      <c r="AI125" s="295">
        <f>+[4]ต.ค.58!$AA$35/10^6</f>
        <v>0.13446353000000003</v>
      </c>
      <c r="AJ125" s="295">
        <f>+[4]พ.ย.58!$AA$35/10^6</f>
        <v>0.10672819000000006</v>
      </c>
      <c r="AK125" s="295">
        <f>+[4]ธ.ค.58!$AA$35/10^6</f>
        <v>0.17822288</v>
      </c>
      <c r="AL125" s="295">
        <f>+[4]ม.ค.59!$AA$35/10^6</f>
        <v>0.16611057000000007</v>
      </c>
      <c r="AM125" s="295">
        <f>+[4]ก.พ.59!$AA$35/10^6</f>
        <v>0.15577318000000004</v>
      </c>
      <c r="AN125" s="295">
        <f>+[4]มี.ค.59!$AA$35/10^6</f>
        <v>0.20748252000000003</v>
      </c>
      <c r="AO125" s="295">
        <f>+[4]เม.ย.59!$AA$35/10^6</f>
        <v>0.14156903000000004</v>
      </c>
      <c r="AP125" s="295">
        <f>+[4]พ.ค.59!$AA$35/10^6</f>
        <v>0.12632227000000001</v>
      </c>
      <c r="AQ125" s="295">
        <f>+[4]มิ.ย.59!$AA$35/10^6</f>
        <v>0.10374828000000003</v>
      </c>
      <c r="AR125" s="295">
        <f>+[4]ก.ค.59!$AA$35/10^6</f>
        <v>0.111973</v>
      </c>
      <c r="AS125" s="295">
        <f>+[4]ส.ค.59!$AA$35/10^6</f>
        <v>0.20090902000000002</v>
      </c>
      <c r="AT125" s="295">
        <f>+[4]ก.ย.59!$AA$35/10^6</f>
        <v>0.12828194999999995</v>
      </c>
      <c r="AU125" s="294">
        <f t="shared" si="18"/>
        <v>1.7615844200000004</v>
      </c>
    </row>
    <row r="126" spans="1:47" s="273" customFormat="1" x14ac:dyDescent="0.2">
      <c r="A126" s="269">
        <v>1025</v>
      </c>
      <c r="B126" s="203" t="s">
        <v>64</v>
      </c>
      <c r="C126" s="284">
        <f>+[2]ต.ค.59!$AB$37/10^6</f>
        <v>3.6282509999999997E-2</v>
      </c>
      <c r="D126" s="284">
        <f>+[2]พ.ย.59!$AB$37/10^6</f>
        <v>2.7239199999999998E-2</v>
      </c>
      <c r="E126" s="284">
        <f>+[2]ธ.ค.59!$AB$37/10^6</f>
        <v>2.3699999999999999E-2</v>
      </c>
      <c r="F126" s="284">
        <f>+[2]ม.ค.60!$AB$37/10^6</f>
        <v>2.3973499999999998E-2</v>
      </c>
      <c r="G126" s="284">
        <f>+[2]ก.พ.60!$AB$37/10^6</f>
        <v>2.578575E-2</v>
      </c>
      <c r="H126" s="284">
        <f>+[2]มี.ค.60!$AB$37/10^6</f>
        <v>3.2210000000000003E-2</v>
      </c>
      <c r="I126" s="284">
        <f>+[2]เม.ย.60!$AB$37/10^6</f>
        <v>3.5184E-2</v>
      </c>
      <c r="J126" s="284">
        <f>+[2]พ.ค.60!$AB$37/10^6</f>
        <v>3.3283E-2</v>
      </c>
      <c r="K126" s="284">
        <f>+[2]มิ.ย.60!$AB$37/10^6</f>
        <v>2.9434999999999999E-2</v>
      </c>
      <c r="L126" s="284">
        <f>+[2]ก.ค.60!$AB$37/10^6</f>
        <v>3.0099999999999998E-2</v>
      </c>
      <c r="M126" s="284">
        <f>+[2]ส.ค.60!$AB$37/10^6</f>
        <v>2.8895000000000001E-2</v>
      </c>
      <c r="N126" s="284">
        <f>+[2]ก.ย.60!$AB$37/10^6</f>
        <v>2.9964000000000001E-2</v>
      </c>
      <c r="O126" s="283">
        <f t="shared" si="16"/>
        <v>0.35605196</v>
      </c>
      <c r="P126" s="270"/>
      <c r="Q126" s="271">
        <v>1025</v>
      </c>
      <c r="R126" s="272" t="s">
        <v>64</v>
      </c>
      <c r="S126" s="289">
        <f>+[3]ปริมาณน้ำสูญเสีย!B89/10^6</f>
        <v>4.1055000000000001E-2</v>
      </c>
      <c r="T126" s="289">
        <f>+[3]ปริมาณน้ำสูญเสีย!C89/10^6</f>
        <v>3.2688000000000002E-2</v>
      </c>
      <c r="U126" s="289">
        <f>+[3]ปริมาณน้ำสูญเสีย!D89/10^6</f>
        <v>3.8899999999999997E-2</v>
      </c>
      <c r="V126" s="289">
        <f>+[3]ปริมาณน้ำสูญเสีย!E89/10^6</f>
        <v>3.0873000000000001E-2</v>
      </c>
      <c r="W126" s="289">
        <f>+[3]ปริมาณน้ำสูญเสีย!F89/10^6</f>
        <v>3.0265E-2</v>
      </c>
      <c r="X126" s="289">
        <f>+[3]ปริมาณน้ำสูญเสีย!G89/10^6</f>
        <v>4.0224999999999997E-2</v>
      </c>
      <c r="Y126" s="289">
        <f>+[3]ปริมาณน้ำสูญเสีย!H89/10^6</f>
        <v>2.8701999999999998E-2</v>
      </c>
      <c r="Z126" s="289">
        <f>+[3]ปริมาณน้ำสูญเสีย!I89/10^6</f>
        <v>2.7299E-2</v>
      </c>
      <c r="AA126" s="289">
        <f>+[3]ปริมาณน้ำสูญเสีย!J89/10^6</f>
        <v>2.4598999999999999E-2</v>
      </c>
      <c r="AB126" s="289">
        <f>+[3]ปริมาณน้ำสูญเสีย!K89/10^6</f>
        <v>2.9131000000000001E-2</v>
      </c>
      <c r="AC126" s="289">
        <f>+[3]ปริมาณน้ำสูญเสีย!L89/10^6</f>
        <v>3.1467000000000002E-2</v>
      </c>
      <c r="AD126" s="289">
        <f>+[3]ปริมาณน้ำสูญเสีย!M89/10^6</f>
        <v>2.8115999999999999E-2</v>
      </c>
      <c r="AE126" s="288">
        <f t="shared" si="17"/>
        <v>0.38332000000000005</v>
      </c>
      <c r="AF126" s="290">
        <f>+[3]ปริมาณน้ำสูญเสีย!O89/10^6</f>
        <v>0.38331999999999999</v>
      </c>
      <c r="AG126" s="274">
        <v>1025</v>
      </c>
      <c r="AH126" s="275" t="s">
        <v>64</v>
      </c>
      <c r="AI126" s="295">
        <f>+[4]ต.ค.58!$AB$35/10^6</f>
        <v>2.7059660000000003E-2</v>
      </c>
      <c r="AJ126" s="295">
        <f>+[4]พ.ย.58!$AB$35/10^6</f>
        <v>2.0395869999999997E-2</v>
      </c>
      <c r="AK126" s="295">
        <f>+[4]ธ.ค.58!$AB$35/10^6</f>
        <v>3.0984999999999999E-2</v>
      </c>
      <c r="AL126" s="295">
        <f>+[4]ม.ค.59!$AB$35/10^6</f>
        <v>2.713817E-2</v>
      </c>
      <c r="AM126" s="295">
        <f>+[4]ก.พ.59!$AB$35/10^6</f>
        <v>3.4468039999999991E-2</v>
      </c>
      <c r="AN126" s="295">
        <f>+[4]มี.ค.59!$AB$35/10^6</f>
        <v>3.8566960000000004E-2</v>
      </c>
      <c r="AO126" s="295">
        <f>+[4]เม.ย.59!$AB$35/10^6</f>
        <v>2.5175179999999991E-2</v>
      </c>
      <c r="AP126" s="295">
        <f>+[4]พ.ค.59!$AB$35/10^6</f>
        <v>2.4049279999999999E-2</v>
      </c>
      <c r="AQ126" s="295">
        <f>+[4]มิ.ย.59!$AB$35/10^6</f>
        <v>3.0659020000000019E-2</v>
      </c>
      <c r="AR126" s="295">
        <f>+[4]ก.ค.59!$AB$35/10^6</f>
        <v>3.1638059999999996E-2</v>
      </c>
      <c r="AS126" s="295">
        <f>+[4]ส.ค.59!$AB$35/10^6</f>
        <v>4.6875899999999991E-2</v>
      </c>
      <c r="AT126" s="295">
        <f>+[4]ก.ย.59!$AB$35/10^6</f>
        <v>3.7167049999999986E-2</v>
      </c>
      <c r="AU126" s="294">
        <f t="shared" si="18"/>
        <v>0.37417818999999997</v>
      </c>
    </row>
    <row r="127" spans="1:47" s="273" customFormat="1" x14ac:dyDescent="0.2">
      <c r="A127" s="269">
        <v>1026</v>
      </c>
      <c r="B127" s="203" t="s">
        <v>65</v>
      </c>
      <c r="C127" s="284">
        <f>+[2]ต.ค.59!$AC$37/10^6</f>
        <v>6.6520400000000006E-3</v>
      </c>
      <c r="D127" s="284">
        <f>+[2]พ.ย.59!$AC$37/10^6</f>
        <v>5.0115500000000026E-3</v>
      </c>
      <c r="E127" s="284">
        <f>+[2]ธ.ค.59!$AC$37/10^6</f>
        <v>8.2219000000000007E-3</v>
      </c>
      <c r="F127" s="284">
        <f>+[2]ม.ค.60!$AC$37/10^6</f>
        <v>7.1543899999999992E-3</v>
      </c>
      <c r="G127" s="284">
        <f>+[2]ก.พ.60!$AC$37/10^6</f>
        <v>5.7971799999999999E-3</v>
      </c>
      <c r="H127" s="284">
        <f>+[2]มี.ค.60!$AC$37/10^6</f>
        <v>1.1802580000000002E-2</v>
      </c>
      <c r="I127" s="284">
        <f>+[2]เม.ย.60!$AC$37/10^6</f>
        <v>4.1561100000000002E-3</v>
      </c>
      <c r="J127" s="284">
        <f>+[2]พ.ค.60!$AC$37/10^6</f>
        <v>7.6303700000000026E-3</v>
      </c>
      <c r="K127" s="284">
        <f>+[2]มิ.ย.60!$AC$37/10^6</f>
        <v>6.9272100000000066E-3</v>
      </c>
      <c r="L127" s="284">
        <f>+[2]ก.ค.60!$AC$37/10^6</f>
        <v>8.078550000000002E-3</v>
      </c>
      <c r="M127" s="284">
        <f>+[2]ส.ค.60!$AC$37/10^6</f>
        <v>8.6627500000000003E-3</v>
      </c>
      <c r="N127" s="284">
        <f>+[2]ก.ย.60!$AC$37/10^6</f>
        <v>3.6818600000000008E-3</v>
      </c>
      <c r="O127" s="283">
        <f t="shared" si="16"/>
        <v>8.3776490000000009E-2</v>
      </c>
      <c r="P127" s="270"/>
      <c r="Q127" s="271">
        <v>1026</v>
      </c>
      <c r="R127" s="272" t="s">
        <v>65</v>
      </c>
      <c r="S127" s="289">
        <f>+[3]ปริมาณน้ำสูญเสีย!B90/10^6</f>
        <v>7.1809999999999999E-3</v>
      </c>
      <c r="T127" s="289">
        <f>+[3]ปริมาณน้ำสูญเสีย!C90/10^6</f>
        <v>7.5700000000000003E-3</v>
      </c>
      <c r="U127" s="289">
        <f>+[3]ปริมาณน้ำสูญเสีย!D90/10^6</f>
        <v>7.2709999999999997E-3</v>
      </c>
      <c r="V127" s="289">
        <f>+[3]ปริมาณน้ำสูญเสีย!E90/10^6</f>
        <v>8.09E-3</v>
      </c>
      <c r="W127" s="289">
        <f>+[3]ปริมาณน้ำสูญเสีย!F90/10^6</f>
        <v>4.7580000000000001E-3</v>
      </c>
      <c r="X127" s="289">
        <f>+[3]ปริมาณน้ำสูญเสีย!G90/10^6</f>
        <v>1.3412E-2</v>
      </c>
      <c r="Y127" s="289">
        <f>+[3]ปริมาณน้ำสูญเสีย!H90/10^6</f>
        <v>5.6839999999999998E-3</v>
      </c>
      <c r="Z127" s="289">
        <f>+[3]ปริมาณน้ำสูญเสีย!I90/10^6</f>
        <v>8.0389999999999993E-3</v>
      </c>
      <c r="AA127" s="289">
        <f>+[3]ปริมาณน้ำสูญเสีย!J90/10^6</f>
        <v>8.09E-3</v>
      </c>
      <c r="AB127" s="289">
        <f>+[3]ปริมาณน้ำสูญเสีย!K90/10^6</f>
        <v>6.9769999999999997E-3</v>
      </c>
      <c r="AC127" s="289">
        <f>+[3]ปริมาณน้ำสูญเสีย!L90/10^6</f>
        <v>8.3890000000000006E-3</v>
      </c>
      <c r="AD127" s="289">
        <f>+[3]ปริมาณน้ำสูญเสีย!M90/10^6</f>
        <v>6.1799999999999997E-3</v>
      </c>
      <c r="AE127" s="288">
        <f t="shared" si="17"/>
        <v>9.1640999999999986E-2</v>
      </c>
      <c r="AF127" s="290">
        <f>+[3]ปริมาณน้ำสูญเสีย!O90/10^6</f>
        <v>9.1641E-2</v>
      </c>
      <c r="AG127" s="274">
        <v>1026</v>
      </c>
      <c r="AH127" s="275" t="s">
        <v>65</v>
      </c>
      <c r="AI127" s="295">
        <f>+[4]ต.ค.58!$AC$35/10^6</f>
        <v>7.6010000000000001E-3</v>
      </c>
      <c r="AJ127" s="295">
        <f>+[4]พ.ย.58!$AC$35/10^6</f>
        <v>7.6361100000000006E-3</v>
      </c>
      <c r="AK127" s="295">
        <f>+[4]ธ.ค.58!$AC$35/10^6</f>
        <v>4.638709999999999E-3</v>
      </c>
      <c r="AL127" s="295">
        <f>+[4]ม.ค.59!$AC$35/10^6</f>
        <v>6.8020400000000005E-3</v>
      </c>
      <c r="AM127" s="295">
        <f>+[4]ก.พ.59!$AC$35/10^6</f>
        <v>2.697779999999999E-3</v>
      </c>
      <c r="AN127" s="295">
        <f>+[4]มี.ค.59!$AC$35/10^6</f>
        <v>1.3169300000000004E-2</v>
      </c>
      <c r="AO127" s="295">
        <f>+[4]เม.ย.59!$AC$35/10^6</f>
        <v>4.1021599999999962E-3</v>
      </c>
      <c r="AP127" s="295">
        <f>+[4]พ.ค.59!$AC$35/10^6</f>
        <v>5.0354700000000011E-3</v>
      </c>
      <c r="AQ127" s="295">
        <f>+[4]มิ.ย.59!$AC$35/10^6</f>
        <v>7.4465699999999996E-3</v>
      </c>
      <c r="AR127" s="295">
        <f>+[4]ก.ค.59!$AC$35/10^6</f>
        <v>6.3200199999999965E-3</v>
      </c>
      <c r="AS127" s="295">
        <f>+[4]ส.ค.59!$AC$35/10^6</f>
        <v>8.106270000000004E-3</v>
      </c>
      <c r="AT127" s="295">
        <f>+[4]ก.ย.59!$AC$35/10^6</f>
        <v>2.5021800000000001E-3</v>
      </c>
      <c r="AU127" s="294">
        <f t="shared" si="18"/>
        <v>7.6057610000000012E-2</v>
      </c>
    </row>
    <row r="128" spans="1:47" s="273" customFormat="1" x14ac:dyDescent="0.2">
      <c r="A128" s="269">
        <v>1027</v>
      </c>
      <c r="B128" s="203" t="s">
        <v>66</v>
      </c>
      <c r="C128" s="284">
        <f>+[2]ต.ค.59!$AD$37/10^6</f>
        <v>1.6907999999999999E-2</v>
      </c>
      <c r="D128" s="284">
        <f>+[2]พ.ย.59!$AD$37/10^6</f>
        <v>9.7109999999999991E-3</v>
      </c>
      <c r="E128" s="284">
        <f>+[2]ธ.ค.59!$AD$37/10^6</f>
        <v>1.5429E-2</v>
      </c>
      <c r="F128" s="284">
        <f>+[2]ม.ค.60!$AD$37/10^6</f>
        <v>1.1571E-2</v>
      </c>
      <c r="G128" s="284">
        <f>+[2]ก.พ.60!$AD$37/10^6</f>
        <v>8.286E-3</v>
      </c>
      <c r="H128" s="284">
        <f>+[2]มี.ค.60!$AD$37/10^6</f>
        <v>1.4629E-2</v>
      </c>
      <c r="I128" s="284">
        <f>+[2]เม.ย.60!$AD$37/10^6</f>
        <v>8.6750000000000004E-3</v>
      </c>
      <c r="J128" s="284">
        <f>+[2]พ.ค.60!$AD$37/10^6</f>
        <v>8.0809999999999996E-3</v>
      </c>
      <c r="K128" s="284">
        <f>+[2]มิ.ย.60!$AD$37/10^6</f>
        <v>7.659E-3</v>
      </c>
      <c r="L128" s="284">
        <f>+[2]ก.ค.60!$AD$37/10^6</f>
        <v>9.9179999999999997E-3</v>
      </c>
      <c r="M128" s="284">
        <f>+[2]ส.ค.60!$AD$37/10^6</f>
        <v>1.2991000000000001E-2</v>
      </c>
      <c r="N128" s="284">
        <f>+[2]ก.ย.60!$AD$37/10^6</f>
        <v>1.4399E-2</v>
      </c>
      <c r="O128" s="283">
        <f t="shared" si="16"/>
        <v>0.13825699999999999</v>
      </c>
      <c r="P128" s="270"/>
      <c r="Q128" s="271">
        <v>1027</v>
      </c>
      <c r="R128" s="272" t="s">
        <v>66</v>
      </c>
      <c r="S128" s="289">
        <f>+[3]ปริมาณน้ำสูญเสีย!B91/10^6</f>
        <v>1.5887999999999999E-2</v>
      </c>
      <c r="T128" s="289">
        <f>+[3]ปริมาณน้ำสูญเสีย!C91/10^6</f>
        <v>1.5084E-2</v>
      </c>
      <c r="U128" s="289">
        <f>+[3]ปริมาณน้ำสูญเสีย!D91/10^6</f>
        <v>1.4735E-2</v>
      </c>
      <c r="V128" s="289">
        <f>+[3]ปริมาณน้ำสูญเสีย!E91/10^6</f>
        <v>1.4657E-2</v>
      </c>
      <c r="W128" s="289">
        <f>+[3]ปริมาณน้ำสูญเสีย!F91/10^6</f>
        <v>1.2743000000000001E-2</v>
      </c>
      <c r="X128" s="289">
        <f>+[3]ปริมาณน้ำสูญเสีย!G91/10^6</f>
        <v>1.5036000000000001E-2</v>
      </c>
      <c r="Y128" s="289">
        <f>+[3]ปริมาณน้ำสูญเสีย!H91/10^6</f>
        <v>1.6981E-2</v>
      </c>
      <c r="Z128" s="289">
        <f>+[3]ปริมาณน้ำสูญเสีย!I91/10^6</f>
        <v>1.4008E-2</v>
      </c>
      <c r="AA128" s="289">
        <f>+[3]ปริมาณน้ำสูญเสีย!J91/10^6</f>
        <v>1.3209E-2</v>
      </c>
      <c r="AB128" s="289">
        <f>+[3]ปริมาณน้ำสูญเสีย!K91/10^6</f>
        <v>1.1872000000000001E-2</v>
      </c>
      <c r="AC128" s="289">
        <f>+[3]ปริมาณน้ำสูญเสีย!L91/10^6</f>
        <v>1.2685999999999999E-2</v>
      </c>
      <c r="AD128" s="289">
        <f>+[3]ปริมาณน้ำสูญเสีย!M91/10^6</f>
        <v>1.3018999999999999E-2</v>
      </c>
      <c r="AE128" s="288">
        <f t="shared" si="17"/>
        <v>0.16991799999999999</v>
      </c>
      <c r="AF128" s="290">
        <f>+[3]ปริมาณน้ำสูญเสีย!O91/10^6</f>
        <v>0.16991800000000001</v>
      </c>
      <c r="AG128" s="274">
        <v>1027</v>
      </c>
      <c r="AH128" s="275" t="s">
        <v>66</v>
      </c>
      <c r="AI128" s="295">
        <f>+[4]ต.ค.58!$AD$35/10^6</f>
        <v>1.2447E-2</v>
      </c>
      <c r="AJ128" s="295">
        <f>+[4]พ.ย.58!$AD$35/10^6</f>
        <v>1.0511E-2</v>
      </c>
      <c r="AK128" s="295">
        <f>+[4]ธ.ค.58!$AD$35/10^6</f>
        <v>1.0836E-2</v>
      </c>
      <c r="AL128" s="295">
        <f>+[4]ม.ค.59!$AD$35/10^6</f>
        <v>1.0703000000000001E-2</v>
      </c>
      <c r="AM128" s="295">
        <f>+[4]ก.พ.59!$AD$35/10^6</f>
        <v>1.0808E-2</v>
      </c>
      <c r="AN128" s="295">
        <f>+[4]มี.ค.59!$AD$35/10^6</f>
        <v>1.426E-2</v>
      </c>
      <c r="AO128" s="295">
        <f>+[4]เม.ย.59!$AD$35/10^6</f>
        <v>1.6431000000000001E-2</v>
      </c>
      <c r="AP128" s="295">
        <f>+[4]พ.ค.59!$AD$35/10^6</f>
        <v>9.5149999999999992E-3</v>
      </c>
      <c r="AQ128" s="295">
        <f>+[4]มิ.ย.59!$AD$35/10^6</f>
        <v>7.4679999999999998E-3</v>
      </c>
      <c r="AR128" s="295">
        <f>+[4]ก.ค.59!$AD$35/10^6</f>
        <v>7.2240000000000004E-3</v>
      </c>
      <c r="AS128" s="295">
        <f>+[4]ส.ค.59!$AD$35/10^6</f>
        <v>1.1645000000000001E-2</v>
      </c>
      <c r="AT128" s="295">
        <f>+[4]ก.ย.59!$AD$35/10^6</f>
        <v>1.2272E-2</v>
      </c>
      <c r="AU128" s="294">
        <f t="shared" si="18"/>
        <v>0.13411999999999999</v>
      </c>
    </row>
    <row r="129" spans="1:55" s="273" customFormat="1" x14ac:dyDescent="0.2">
      <c r="A129" s="269">
        <v>1028</v>
      </c>
      <c r="B129" s="203" t="s">
        <v>67</v>
      </c>
      <c r="C129" s="284">
        <f>+[2]ต.ค.59!$AE$37/10^6</f>
        <v>0.14749999999999999</v>
      </c>
      <c r="D129" s="284">
        <f>+[2]พ.ย.59!$AE$37/10^6</f>
        <v>0.18625</v>
      </c>
      <c r="E129" s="284">
        <f>+[2]ธ.ค.59!$AE$37/10^6</f>
        <v>0.18619030000000006</v>
      </c>
      <c r="F129" s="284">
        <f>+[2]ม.ค.60!$AE$37/10^6</f>
        <v>0.16151942999999999</v>
      </c>
      <c r="G129" s="284">
        <f>+[2]ก.พ.60!$AE$37/10^6</f>
        <v>0.12223403999999997</v>
      </c>
      <c r="H129" s="284">
        <f>+[2]มี.ค.60!$AE$37/10^6</f>
        <v>0.12236635000000004</v>
      </c>
      <c r="I129" s="284">
        <f>+[2]เม.ย.60!$AE$37/10^6</f>
        <v>0.12474709000000002</v>
      </c>
      <c r="J129" s="284">
        <f>+[2]พ.ค.60!$AE$37/10^6</f>
        <v>0.12199906000000006</v>
      </c>
      <c r="K129" s="284">
        <f>+[2]มิ.ย.60!$AE$37/10^6</f>
        <v>9.315602000000002E-2</v>
      </c>
      <c r="L129" s="284">
        <f>+[2]ก.ค.60!$AE$37/10^6</f>
        <v>0.10656230999999999</v>
      </c>
      <c r="M129" s="284">
        <f>+[2]ส.ค.60!$AE$37/10^6</f>
        <v>0.10859422999999999</v>
      </c>
      <c r="N129" s="284">
        <f>+[2]ก.ย.60!$AE$37/10^6</f>
        <v>8.6705080000000018E-2</v>
      </c>
      <c r="O129" s="283">
        <f t="shared" si="16"/>
        <v>1.5678239100000002</v>
      </c>
      <c r="P129" s="270"/>
      <c r="Q129" s="271">
        <v>1028</v>
      </c>
      <c r="R129" s="272" t="s">
        <v>67</v>
      </c>
      <c r="S129" s="289">
        <f>+[3]ปริมาณน้ำสูญเสีย!B92/10^6</f>
        <v>0.12756100000000001</v>
      </c>
      <c r="T129" s="289">
        <f>+[3]ปริมาณน้ำสูญเสีย!C92/10^6</f>
        <v>0.130246</v>
      </c>
      <c r="U129" s="289">
        <f>+[3]ปริมาณน้ำสูญเสีย!D92/10^6</f>
        <v>0.13204299999999999</v>
      </c>
      <c r="V129" s="289">
        <f>+[3]ปริมาณน้ำสูญเสีย!E92/10^6</f>
        <v>0.141398</v>
      </c>
      <c r="W129" s="289">
        <f>+[3]ปริมาณน้ำสูญเสีย!F92/10^6</f>
        <v>0.12660199999999999</v>
      </c>
      <c r="X129" s="289">
        <f>+[3]ปริมาณน้ำสูญเสีย!G92/10^6</f>
        <v>0.12907299999999999</v>
      </c>
      <c r="Y129" s="289">
        <f>+[3]ปริมาณน้ำสูญเสีย!H92/10^6</f>
        <v>0.14305699999999999</v>
      </c>
      <c r="Z129" s="289">
        <f>+[3]ปริมาณน้ำสูญเสีย!I92/10^6</f>
        <v>0.13896600000000001</v>
      </c>
      <c r="AA129" s="289">
        <f>+[3]ปริมาณน้ำสูญเสีย!J92/10^6</f>
        <v>0.13906299999999999</v>
      </c>
      <c r="AB129" s="289">
        <f>+[3]ปริมาณน้ำสูญเสีย!K92/10^6</f>
        <v>0.145979</v>
      </c>
      <c r="AC129" s="289">
        <f>+[3]ปริมาณน้ำสูญเสีย!L92/10^6</f>
        <v>0.14203499999999999</v>
      </c>
      <c r="AD129" s="289">
        <f>+[3]ปริมาณน้ำสูญเสีย!M92/10^6</f>
        <v>0.12518599999999999</v>
      </c>
      <c r="AE129" s="288">
        <f t="shared" si="17"/>
        <v>1.6212089999999999</v>
      </c>
      <c r="AF129" s="290">
        <f>+[3]ปริมาณน้ำสูญเสีย!O92/10^6</f>
        <v>1.6212089999999999</v>
      </c>
      <c r="AG129" s="274">
        <v>1028</v>
      </c>
      <c r="AH129" s="275" t="s">
        <v>67</v>
      </c>
      <c r="AI129" s="295">
        <f>+[4]ต.ค.58!$AE$35/10^6</f>
        <v>0.120119</v>
      </c>
      <c r="AJ129" s="295">
        <f>+[4]พ.ย.58!$AE$35/10^6</f>
        <v>0.126915</v>
      </c>
      <c r="AK129" s="295">
        <f>+[4]ธ.ค.58!$AE$35/10^6</f>
        <v>0.12917899999999999</v>
      </c>
      <c r="AL129" s="295">
        <f>+[4]ม.ค.59!$AE$35/10^6</f>
        <v>0.141678</v>
      </c>
      <c r="AM129" s="295">
        <f>+[4]ก.พ.59!$AE$35/10^6</f>
        <v>0.12221700000000001</v>
      </c>
      <c r="AN129" s="295">
        <f>+[4]มี.ค.59!$AE$35/10^6</f>
        <v>0.12281599999999999</v>
      </c>
      <c r="AO129" s="295">
        <f>+[4]เม.ย.59!$AE$35/10^6</f>
        <v>0.12759599999999999</v>
      </c>
      <c r="AP129" s="295">
        <f>+[4]พ.ค.59!$AE$35/10^6</f>
        <v>0.12923799999999999</v>
      </c>
      <c r="AQ129" s="295">
        <f>+[4]มิ.ย.59!$AE$35/10^6</f>
        <v>0.12662699999999999</v>
      </c>
      <c r="AR129" s="295">
        <f>+[4]ก.ค.59!$AE$35/10^6</f>
        <v>0.14557300000000001</v>
      </c>
      <c r="AS129" s="295">
        <f>+[4]ส.ค.59!$AE$35/10^6</f>
        <v>0.137215</v>
      </c>
      <c r="AT129" s="295">
        <f>+[4]ก.ย.59!$AE$35/10^6</f>
        <v>0.10668800000000001</v>
      </c>
      <c r="AU129" s="294">
        <f t="shared" si="18"/>
        <v>1.5358610000000001</v>
      </c>
    </row>
    <row r="130" spans="1:55" s="273" customFormat="1" x14ac:dyDescent="0.2">
      <c r="A130" s="269">
        <v>1029</v>
      </c>
      <c r="B130" s="203" t="s">
        <v>68</v>
      </c>
      <c r="C130" s="284">
        <f>+[2]ต.ค.59!$AF$37/10^6</f>
        <v>1.2525E-2</v>
      </c>
      <c r="D130" s="284">
        <f>+[2]พ.ย.59!$AF$37/10^6</f>
        <v>1.0302E-2</v>
      </c>
      <c r="E130" s="284">
        <f>+[2]ธ.ค.59!$AF$37/10^6</f>
        <v>1.2529999999999999E-2</v>
      </c>
      <c r="F130" s="284">
        <f>+[2]ม.ค.60!$AF$37/10^6</f>
        <v>1.1757999999999999E-2</v>
      </c>
      <c r="G130" s="284">
        <f>+[2]ก.พ.60!$AF$37/10^6</f>
        <v>1.0827E-2</v>
      </c>
      <c r="H130" s="284">
        <f>+[2]มี.ค.60!$AF$37/10^6</f>
        <v>1.2090999999999999E-2</v>
      </c>
      <c r="I130" s="284">
        <f>+[2]เม.ย.60!$AF$37/10^6</f>
        <v>5.3439999999999998E-3</v>
      </c>
      <c r="J130" s="284">
        <f>+[2]พ.ค.60!$AF$37/10^6</f>
        <v>5.7999999999999996E-3</v>
      </c>
      <c r="K130" s="284">
        <f>+[2]มิ.ย.60!$AF$37/10^6</f>
        <v>4.7260000000000002E-3</v>
      </c>
      <c r="L130" s="284">
        <f>+[2]ก.ค.60!$AF$37/10^6</f>
        <v>8.0090599999999984E-3</v>
      </c>
      <c r="M130" s="284">
        <f>+[2]ส.ค.60!$AF$37/10^6</f>
        <v>5.7115899999999964E-3</v>
      </c>
      <c r="N130" s="284">
        <f>+[2]ก.ย.60!$AF$37/10^6</f>
        <v>3.4655699999999998E-3</v>
      </c>
      <c r="O130" s="283">
        <f t="shared" si="16"/>
        <v>0.10308922</v>
      </c>
      <c r="P130" s="270"/>
      <c r="Q130" s="271">
        <v>1029</v>
      </c>
      <c r="R130" s="272" t="s">
        <v>68</v>
      </c>
      <c r="S130" s="289">
        <f>+[3]ปริมาณน้ำสูญเสีย!B93/10^6</f>
        <v>1.0151E-2</v>
      </c>
      <c r="T130" s="289">
        <f>+[3]ปริมาณน้ำสูญเสีย!C93/10^6</f>
        <v>1.0902E-2</v>
      </c>
      <c r="U130" s="289">
        <f>+[3]ปริมาณน้ำสูญเสีย!D93/10^6</f>
        <v>1.0579E-2</v>
      </c>
      <c r="V130" s="289">
        <f>+[3]ปริมาณน้ำสูญเสีย!E93/10^6</f>
        <v>1.1479E-2</v>
      </c>
      <c r="W130" s="289">
        <f>+[3]ปริมาณน้ำสูญเสีย!F93/10^6</f>
        <v>1.0694E-2</v>
      </c>
      <c r="X130" s="289">
        <f>+[3]ปริมาณน้ำสูญเสีย!G93/10^6</f>
        <v>1.0973999999999999E-2</v>
      </c>
      <c r="Y130" s="289">
        <f>+[3]ปริมาณน้ำสูญเสีย!H93/10^6</f>
        <v>1.2123E-2</v>
      </c>
      <c r="Z130" s="289">
        <f>+[3]ปริมาณน้ำสูญเสีย!I93/10^6</f>
        <v>1.3464E-2</v>
      </c>
      <c r="AA130" s="289">
        <f>+[3]ปริมาณน้ำสูญเสีย!J93/10^6</f>
        <v>1.027E-2</v>
      </c>
      <c r="AB130" s="289">
        <f>+[3]ปริมาณน้ำสูญเสีย!K93/10^6</f>
        <v>1.1301E-2</v>
      </c>
      <c r="AC130" s="289">
        <f>+[3]ปริมาณน้ำสูญเสีย!L93/10^6</f>
        <v>1.0931E-2</v>
      </c>
      <c r="AD130" s="289">
        <f>+[3]ปริมาณน้ำสูญเสีย!M93/10^6</f>
        <v>1.0982E-2</v>
      </c>
      <c r="AE130" s="288">
        <f t="shared" si="17"/>
        <v>0.13385</v>
      </c>
      <c r="AF130" s="290">
        <f>+[3]ปริมาณน้ำสูญเสีย!O93/10^6</f>
        <v>0.13385</v>
      </c>
      <c r="AG130" s="274">
        <v>1029</v>
      </c>
      <c r="AH130" s="275" t="s">
        <v>68</v>
      </c>
      <c r="AI130" s="295">
        <f>+[4]ต.ค.58!$AF$35/10^6</f>
        <v>8.1290000000000008E-3</v>
      </c>
      <c r="AJ130" s="295">
        <f>+[4]พ.ย.58!$AF$35/10^6</f>
        <v>9.1240000000000002E-3</v>
      </c>
      <c r="AK130" s="295">
        <f>+[4]ธ.ค.58!$AF$35/10^6</f>
        <v>9.0449999999999992E-3</v>
      </c>
      <c r="AL130" s="295">
        <f>+[4]ม.ค.59!$AF$35/10^6</f>
        <v>9.7800000000000005E-3</v>
      </c>
      <c r="AM130" s="295">
        <f>+[4]ก.พ.59!$AF$35/10^6</f>
        <v>9.469E-3</v>
      </c>
      <c r="AN130" s="295">
        <f>+[4]มี.ค.59!$AF$35/10^6</f>
        <v>9.1940000000000008E-3</v>
      </c>
      <c r="AO130" s="295">
        <f>+[4]เม.ย.59!$AF$35/10^6</f>
        <v>1.0533000000000001E-2</v>
      </c>
      <c r="AP130" s="295">
        <f>+[4]พ.ค.59!$AF$35/10^6</f>
        <v>1.2699E-2</v>
      </c>
      <c r="AQ130" s="295">
        <f>+[4]มิ.ย.59!$AF$35/10^6</f>
        <v>6.1240000000000001E-3</v>
      </c>
      <c r="AR130" s="295">
        <f>+[4]ก.ค.59!$AF$35/10^6</f>
        <v>9.1459999999999996E-3</v>
      </c>
      <c r="AS130" s="295">
        <f>+[4]ส.ค.59!$AF$35/10^6</f>
        <v>9.3279999999999995E-3</v>
      </c>
      <c r="AT130" s="295">
        <f>+[4]ก.ย.59!$AF$35/10^6</f>
        <v>9.3970000000000008E-3</v>
      </c>
      <c r="AU130" s="294">
        <f t="shared" si="18"/>
        <v>0.11196800000000001</v>
      </c>
    </row>
    <row r="131" spans="1:55" s="273" customFormat="1" ht="15" thickBot="1" x14ac:dyDescent="0.25">
      <c r="A131" s="276">
        <v>1030</v>
      </c>
      <c r="B131" s="277" t="s">
        <v>69</v>
      </c>
      <c r="C131" s="285">
        <f>+[2]ต.ค.59!$AG$37/10^6</f>
        <v>1.5622E-2</v>
      </c>
      <c r="D131" s="285">
        <f>+[2]พ.ย.59!$AG$37/10^6</f>
        <v>1.5251000000000001E-2</v>
      </c>
      <c r="E131" s="285">
        <f>+[2]ธ.ค.59!$AG$37/10^6</f>
        <v>1.9681000000000001E-2</v>
      </c>
      <c r="F131" s="285">
        <f>+[2]ม.ค.60!$AG$37/10^6</f>
        <v>1.6815E-2</v>
      </c>
      <c r="G131" s="285">
        <f>+[2]ก.พ.60!$AG$37/10^6</f>
        <v>1.7094999999999999E-2</v>
      </c>
      <c r="H131" s="285">
        <f>+[2]มี.ค.60!$AG$37/10^6</f>
        <v>1.8866999999999998E-2</v>
      </c>
      <c r="I131" s="285">
        <f>+[2]เม.ย.60!$AG$37/10^6</f>
        <v>1.6955999999999999E-2</v>
      </c>
      <c r="J131" s="285">
        <f>+[2]พ.ค.60!$AG$37/10^6</f>
        <v>1.3638000000000001E-2</v>
      </c>
      <c r="K131" s="285">
        <f>+[2]มิ.ย.60!$AG$37/10^6</f>
        <v>1.3107000000000001E-2</v>
      </c>
      <c r="L131" s="285">
        <f>+[2]ก.ค.60!$AG$37/10^6</f>
        <v>1.3634E-2</v>
      </c>
      <c r="M131" s="285">
        <f>+[2]ส.ค.60!$AG$37/10^6</f>
        <v>1.5202E-2</v>
      </c>
      <c r="N131" s="285">
        <f>+[2]ก.ย.60!$AG$37/10^6</f>
        <v>1.3375E-2</v>
      </c>
      <c r="O131" s="286">
        <f t="shared" si="16"/>
        <v>0.18924299999999999</v>
      </c>
      <c r="P131" s="270"/>
      <c r="Q131" s="278">
        <v>1030</v>
      </c>
      <c r="R131" s="279" t="s">
        <v>69</v>
      </c>
      <c r="S131" s="291">
        <f>+[3]ปริมาณน้ำสูญเสีย!B94/10^6</f>
        <v>1.7972999999999999E-2</v>
      </c>
      <c r="T131" s="291">
        <f>+[3]ปริมาณน้ำสูญเสีย!C94/10^6</f>
        <v>1.7805000000000001E-2</v>
      </c>
      <c r="U131" s="291">
        <f>+[3]ปริมาณน้ำสูญเสีย!D94/10^6</f>
        <v>1.7070999999999999E-2</v>
      </c>
      <c r="V131" s="291">
        <f>+[3]ปริมาณน้ำสูญเสีย!E94/10^6</f>
        <v>1.7172E-2</v>
      </c>
      <c r="W131" s="291">
        <f>+[3]ปริมาณน้ำสูญเสีย!F94/10^6</f>
        <v>1.5532000000000001E-2</v>
      </c>
      <c r="X131" s="291">
        <f>+[3]ปริมาณน้ำสูญเสีย!G94/10^6</f>
        <v>1.5398E-2</v>
      </c>
      <c r="Y131" s="291">
        <f>+[3]ปริมาณน้ำสูญเสีย!H94/10^6</f>
        <v>1.8134000000000001E-2</v>
      </c>
      <c r="Z131" s="291">
        <f>+[3]ปริมาณน้ำสูญเสีย!I94/10^6</f>
        <v>1.7179E-2</v>
      </c>
      <c r="AA131" s="291">
        <f>+[3]ปริมาณน้ำสูญเสีย!J94/10^6</f>
        <v>1.6664000000000002E-2</v>
      </c>
      <c r="AB131" s="291">
        <f>+[3]ปริมาณน้ำสูญเสีย!K94/10^6</f>
        <v>1.77E-2</v>
      </c>
      <c r="AC131" s="291">
        <f>+[3]ปริมาณน้ำสูญเสีย!L94/10^6</f>
        <v>1.6570999999999999E-2</v>
      </c>
      <c r="AD131" s="291">
        <f>+[3]ปริมาณน้ำสูญเสีย!M94/10^6</f>
        <v>1.5103E-2</v>
      </c>
      <c r="AE131" s="292">
        <f t="shared" si="17"/>
        <v>0.20230200000000001</v>
      </c>
      <c r="AF131" s="290">
        <f>+[3]ปริมาณน้ำสูญเสีย!O94/10^6</f>
        <v>0.20230200000000001</v>
      </c>
      <c r="AG131" s="280">
        <v>1030</v>
      </c>
      <c r="AH131" s="281" t="s">
        <v>69</v>
      </c>
      <c r="AI131" s="296">
        <f>+[4]ต.ค.58!$AG$35/10^6</f>
        <v>1.2455000000000001E-2</v>
      </c>
      <c r="AJ131" s="296">
        <f>+[4]พ.ย.58!$AG$35/10^6</f>
        <v>1.4274999999999999E-2</v>
      </c>
      <c r="AK131" s="296">
        <f>+[4]ธ.ค.58!$AG$35/10^6</f>
        <v>1.3733E-2</v>
      </c>
      <c r="AL131" s="296">
        <f>+[4]ม.ค.59!$AG$35/10^6</f>
        <v>1.4133E-2</v>
      </c>
      <c r="AM131" s="296">
        <f>+[4]ก.พ.59!$AG$35/10^6</f>
        <v>1.3589E-2</v>
      </c>
      <c r="AN131" s="296">
        <f>+[4]มี.ค.59!$AG$35/10^6</f>
        <v>1.1735000000000001E-2</v>
      </c>
      <c r="AO131" s="296">
        <f>+[4]เม.ย.59!$AG$35/10^6</f>
        <v>1.1769E-2</v>
      </c>
      <c r="AP131" s="296">
        <f>+[4]พ.ค.59!$AG$35/10^6</f>
        <v>1.0805E-2</v>
      </c>
      <c r="AQ131" s="296">
        <f>+[4]มิ.ย.59!$AG$35/10^6</f>
        <v>9.7380000000000001E-3</v>
      </c>
      <c r="AR131" s="296">
        <f>+[4]ก.ค.59!$AG$35/10^6</f>
        <v>1.3102000000000001E-2</v>
      </c>
      <c r="AS131" s="296">
        <f>+[4]ส.ค.59!$AG$35/10^6</f>
        <v>1.6303000000000002E-2</v>
      </c>
      <c r="AT131" s="296">
        <f>+[4]ก.ย.59!$AG$35/10^6</f>
        <v>1.3200999999999999E-2</v>
      </c>
      <c r="AU131" s="297">
        <f t="shared" si="18"/>
        <v>0.15483799999999998</v>
      </c>
    </row>
    <row r="132" spans="1:55" ht="15" thickBot="1" x14ac:dyDescent="0.25"/>
    <row r="133" spans="1:55" x14ac:dyDescent="0.2">
      <c r="A133" s="205">
        <v>1</v>
      </c>
      <c r="B133" s="206">
        <v>2</v>
      </c>
      <c r="C133" s="206">
        <v>3</v>
      </c>
      <c r="D133" s="206">
        <v>4</v>
      </c>
      <c r="E133" s="206">
        <v>5</v>
      </c>
      <c r="F133" s="206">
        <v>6</v>
      </c>
      <c r="G133" s="206">
        <v>7</v>
      </c>
      <c r="H133" s="206">
        <v>8</v>
      </c>
      <c r="I133" s="206">
        <v>9</v>
      </c>
      <c r="J133" s="206">
        <v>10</v>
      </c>
      <c r="K133" s="206">
        <v>11</v>
      </c>
      <c r="L133" s="206">
        <v>12</v>
      </c>
      <c r="M133" s="206">
        <v>13</v>
      </c>
      <c r="N133" s="206">
        <v>14</v>
      </c>
      <c r="O133" s="206">
        <v>15</v>
      </c>
      <c r="P133" s="206">
        <v>16</v>
      </c>
      <c r="Q133" s="439">
        <v>17</v>
      </c>
      <c r="R133" s="441">
        <v>18</v>
      </c>
      <c r="S133" s="449">
        <v>19</v>
      </c>
      <c r="T133" s="220">
        <v>20</v>
      </c>
      <c r="U133" s="221">
        <v>21</v>
      </c>
      <c r="V133" s="221">
        <v>22</v>
      </c>
      <c r="W133" s="222">
        <v>23</v>
      </c>
      <c r="X133" s="440">
        <v>24</v>
      </c>
      <c r="Y133" s="221">
        <v>25</v>
      </c>
      <c r="Z133" s="221">
        <v>26</v>
      </c>
      <c r="AA133" s="221">
        <v>27</v>
      </c>
      <c r="AB133" s="221">
        <v>28</v>
      </c>
      <c r="AC133" s="221">
        <v>29</v>
      </c>
      <c r="AD133" s="221">
        <v>30</v>
      </c>
      <c r="AE133" s="222">
        <v>31</v>
      </c>
      <c r="AF133" s="219">
        <v>32</v>
      </c>
      <c r="AG133" s="233">
        <v>33</v>
      </c>
      <c r="AH133" s="234">
        <v>34</v>
      </c>
      <c r="AI133" s="234">
        <v>35</v>
      </c>
      <c r="AJ133" s="234">
        <v>36</v>
      </c>
      <c r="AK133" s="234">
        <v>37</v>
      </c>
      <c r="AL133" s="234">
        <v>38</v>
      </c>
      <c r="AM133" s="234">
        <v>39</v>
      </c>
      <c r="AN133" s="234">
        <v>40</v>
      </c>
      <c r="AO133" s="234">
        <v>41</v>
      </c>
      <c r="AP133" s="234">
        <v>42</v>
      </c>
      <c r="AQ133" s="234">
        <v>43</v>
      </c>
      <c r="AR133" s="234">
        <v>44</v>
      </c>
      <c r="AS133" s="234">
        <v>45</v>
      </c>
      <c r="AT133" s="234">
        <v>46</v>
      </c>
      <c r="AU133" s="234">
        <v>47</v>
      </c>
      <c r="AV133" s="234">
        <v>48</v>
      </c>
      <c r="AW133" s="234">
        <v>49</v>
      </c>
      <c r="AX133" s="234">
        <v>50</v>
      </c>
      <c r="AY133" s="234">
        <v>51</v>
      </c>
      <c r="AZ133" s="234">
        <v>52</v>
      </c>
      <c r="BA133" s="234">
        <v>53</v>
      </c>
      <c r="BB133" s="234">
        <v>54</v>
      </c>
      <c r="BC133" s="234">
        <v>55</v>
      </c>
    </row>
    <row r="134" spans="1:55" s="196" customFormat="1" x14ac:dyDescent="0.2">
      <c r="A134" s="214" t="s">
        <v>122</v>
      </c>
      <c r="B134" s="208"/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10"/>
      <c r="S134" s="209"/>
      <c r="T134" s="223" t="s">
        <v>88</v>
      </c>
      <c r="U134" s="224"/>
      <c r="V134" s="225"/>
      <c r="W134" s="226"/>
      <c r="X134" s="450" t="s">
        <v>124</v>
      </c>
      <c r="Y134" s="237"/>
      <c r="Z134" s="238"/>
      <c r="AA134" s="238"/>
      <c r="AB134" s="238"/>
      <c r="AC134" s="238"/>
      <c r="AD134" s="238"/>
      <c r="AE134" s="238"/>
      <c r="AF134" s="238"/>
      <c r="AG134" s="238"/>
      <c r="AH134" s="238"/>
      <c r="AI134" s="238"/>
      <c r="AJ134" s="238"/>
      <c r="AK134" s="238"/>
      <c r="AL134" s="239"/>
      <c r="AP134" s="450" t="s">
        <v>124</v>
      </c>
      <c r="AQ134" s="237"/>
      <c r="AR134" s="238"/>
      <c r="AS134" s="238"/>
      <c r="AT134" s="238"/>
      <c r="AU134" s="238"/>
      <c r="AV134" s="238"/>
      <c r="AW134" s="238"/>
      <c r="AX134" s="238"/>
      <c r="AY134" s="238"/>
      <c r="AZ134" s="238"/>
      <c r="BA134" s="239"/>
    </row>
    <row r="135" spans="1:55" s="258" customFormat="1" x14ac:dyDescent="0.2">
      <c r="A135" s="249" t="s">
        <v>40</v>
      </c>
      <c r="B135" s="250" t="s">
        <v>41</v>
      </c>
      <c r="C135" s="251" t="s">
        <v>74</v>
      </c>
      <c r="D135" s="251" t="s">
        <v>75</v>
      </c>
      <c r="E135" s="251" t="s">
        <v>76</v>
      </c>
      <c r="F135" s="251" t="s">
        <v>118</v>
      </c>
      <c r="G135" s="251" t="s">
        <v>77</v>
      </c>
      <c r="H135" s="251" t="s">
        <v>78</v>
      </c>
      <c r="I135" s="251" t="s">
        <v>79</v>
      </c>
      <c r="J135" s="251" t="s">
        <v>119</v>
      </c>
      <c r="K135" s="251" t="s">
        <v>80</v>
      </c>
      <c r="L135" s="251" t="s">
        <v>81</v>
      </c>
      <c r="M135" s="251" t="s">
        <v>82</v>
      </c>
      <c r="N135" s="251" t="s">
        <v>120</v>
      </c>
      <c r="O135" s="251" t="s">
        <v>83</v>
      </c>
      <c r="P135" s="251" t="s">
        <v>84</v>
      </c>
      <c r="Q135" s="251" t="s">
        <v>85</v>
      </c>
      <c r="R135" s="252" t="s">
        <v>121</v>
      </c>
      <c r="S135" s="253"/>
      <c r="T135" s="254" t="s">
        <v>40</v>
      </c>
      <c r="U135" s="255" t="s">
        <v>41</v>
      </c>
      <c r="V135" s="256" t="s">
        <v>123</v>
      </c>
      <c r="W135" s="455"/>
      <c r="X135" s="451" t="s">
        <v>40</v>
      </c>
      <c r="Y135" s="260" t="s">
        <v>41</v>
      </c>
      <c r="Z135" s="261" t="s">
        <v>74</v>
      </c>
      <c r="AA135" s="261" t="s">
        <v>75</v>
      </c>
      <c r="AB135" s="261" t="s">
        <v>76</v>
      </c>
      <c r="AC135" s="261" t="s">
        <v>118</v>
      </c>
      <c r="AD135" s="261" t="s">
        <v>77</v>
      </c>
      <c r="AE135" s="261" t="s">
        <v>78</v>
      </c>
      <c r="AF135" s="261" t="s">
        <v>79</v>
      </c>
      <c r="AG135" s="261" t="s">
        <v>119</v>
      </c>
      <c r="AH135" s="261" t="s">
        <v>80</v>
      </c>
      <c r="AI135" s="261" t="s">
        <v>81</v>
      </c>
      <c r="AJ135" s="261" t="s">
        <v>82</v>
      </c>
      <c r="AK135" s="261" t="s">
        <v>120</v>
      </c>
      <c r="AL135" s="261" t="s">
        <v>83</v>
      </c>
      <c r="AM135" s="261" t="s">
        <v>84</v>
      </c>
      <c r="AN135" s="261" t="s">
        <v>85</v>
      </c>
      <c r="AO135" s="262" t="s">
        <v>121</v>
      </c>
      <c r="AP135" s="451" t="s">
        <v>40</v>
      </c>
      <c r="AQ135" s="260" t="s">
        <v>41</v>
      </c>
      <c r="AR135" s="261" t="s">
        <v>96</v>
      </c>
      <c r="AS135" s="261" t="s">
        <v>97</v>
      </c>
      <c r="AT135" s="261" t="s">
        <v>98</v>
      </c>
      <c r="AU135" s="261" t="s">
        <v>99</v>
      </c>
      <c r="AV135" s="261" t="s">
        <v>100</v>
      </c>
      <c r="AW135" s="261" t="s">
        <v>16</v>
      </c>
      <c r="AX135" s="261" t="s">
        <v>101</v>
      </c>
      <c r="AY135" s="261" t="s">
        <v>102</v>
      </c>
      <c r="AZ135" s="261" t="s">
        <v>103</v>
      </c>
      <c r="BA135" s="261" t="s">
        <v>104</v>
      </c>
      <c r="BB135" s="261" t="s">
        <v>105</v>
      </c>
      <c r="BC135" s="262" t="s">
        <v>106</v>
      </c>
    </row>
    <row r="136" spans="1:55" s="266" customFormat="1" x14ac:dyDescent="0.2">
      <c r="A136" s="215">
        <v>1003</v>
      </c>
      <c r="B136" s="216" t="s">
        <v>42</v>
      </c>
      <c r="C136" s="435">
        <f>+[2]ต.ค.59!$E$39</f>
        <v>29.351898823447168</v>
      </c>
      <c r="D136" s="435">
        <f>+[2]พ.ย.59!$E$39</f>
        <v>27.182677341924759</v>
      </c>
      <c r="E136" s="435">
        <f>+[2]ธ.ค.59!$E$39</f>
        <v>28.37052719714746</v>
      </c>
      <c r="F136" s="435">
        <f>+'[2]3M'!$E$39</f>
        <v>28.303560641546394</v>
      </c>
      <c r="G136" s="435">
        <f>+[2]ม.ค.60!$E$39</f>
        <v>25.948195324887546</v>
      </c>
      <c r="H136" s="435">
        <f>+[2]ก.พ.60!$E$39</f>
        <v>23.910499944222181</v>
      </c>
      <c r="I136" s="435">
        <f>+[2]มี.ค.60!$E$39</f>
        <v>31.893428874320961</v>
      </c>
      <c r="J136" s="435">
        <f>+'[2]6M'!$E$39</f>
        <v>27.833202951595609</v>
      </c>
      <c r="K136" s="435">
        <f>+[2]เม.ย.60!$E$39</f>
        <v>20.226662093861933</v>
      </c>
      <c r="L136" s="435">
        <f>+[2]พ.ค.60!$E$39</f>
        <v>24.090266668117575</v>
      </c>
      <c r="M136" s="435">
        <f>+[2]มิ.ย.60!$E$39</f>
        <v>24.229509016444066</v>
      </c>
      <c r="N136" s="435">
        <f>+'[2]9M'!$E$39</f>
        <v>26.11857106546303</v>
      </c>
      <c r="O136" s="435">
        <f>+[2]ก.ค.60!$E$39</f>
        <v>28.093279327401305</v>
      </c>
      <c r="P136" s="435">
        <f>+[2]ส.ค.60!$E$39</f>
        <v>24.76048817336445</v>
      </c>
      <c r="Q136" s="435">
        <f>+[2]ก.ย.60!$E$39</f>
        <v>21.885952249666925</v>
      </c>
      <c r="R136" s="436">
        <f>+'[2]12M'!$E$39</f>
        <v>25.837137678513482</v>
      </c>
      <c r="S136" s="263"/>
      <c r="T136" s="264">
        <v>1003</v>
      </c>
      <c r="U136" s="265" t="s">
        <v>42</v>
      </c>
      <c r="V136" s="448">
        <v>25.000336906515802</v>
      </c>
      <c r="W136" s="456"/>
      <c r="X136" s="452">
        <v>1003</v>
      </c>
      <c r="Y136" s="268" t="s">
        <v>42</v>
      </c>
      <c r="Z136" s="459">
        <f>+[4]ต.ค.58!$E$37</f>
        <v>26.368307953596155</v>
      </c>
      <c r="AA136" s="459">
        <f>+[4]พ.ย.58!$E$37</f>
        <v>26.721559402513311</v>
      </c>
      <c r="AB136" s="459">
        <f>+[4]ธ.ค.58!$E$37</f>
        <v>30.216211521295278</v>
      </c>
      <c r="AC136" s="459">
        <f>+'[4]3M'!$E$37</f>
        <v>27.809380887327972</v>
      </c>
      <c r="AD136" s="459">
        <f>+[4]ม.ค.59!$E$37</f>
        <v>27.682386307530766</v>
      </c>
      <c r="AE136" s="459">
        <f>+[4]ก.พ.59!$E$37</f>
        <v>27.597419459087881</v>
      </c>
      <c r="AF136" s="459">
        <f>+[4]มี.ค.59!$E$37</f>
        <v>31.912772186209427</v>
      </c>
      <c r="AG136" s="459">
        <f>+'[4]6M'!$E$37</f>
        <v>28.457596021477656</v>
      </c>
      <c r="AH136" s="459">
        <f>+[4]เม.ย.59!$E$37</f>
        <v>22.228984906788007</v>
      </c>
      <c r="AI136" s="459">
        <f>+[4]พ.ค.59!$E$37</f>
        <v>20.684771254325184</v>
      </c>
      <c r="AJ136" s="459">
        <f>+[4]มิ.ย.59!$E$37</f>
        <v>18.561300159848727</v>
      </c>
      <c r="AK136" s="459">
        <f>+'[4]9M'!$E$37</f>
        <v>25.760926407033434</v>
      </c>
      <c r="AL136" s="459">
        <f>+[4]ก.ค.59!$E$37</f>
        <v>24.494315857143985</v>
      </c>
      <c r="AM136" s="459">
        <f>+[4]ส.ค.59!$E$37</f>
        <v>30.990850010636763</v>
      </c>
      <c r="AN136" s="459">
        <f>+[4]ก.ย.59!$E$37</f>
        <v>23.915510325126277</v>
      </c>
      <c r="AO136" s="460">
        <f>+'[4]12M'!$E$37</f>
        <v>25.943889132866381</v>
      </c>
      <c r="AP136" s="452">
        <v>1003</v>
      </c>
      <c r="AQ136" s="268" t="s">
        <v>42</v>
      </c>
      <c r="AR136" s="459">
        <f>+[4]ต.ค.58!$E$37</f>
        <v>26.368307953596155</v>
      </c>
      <c r="AS136" s="459">
        <f>+'[4]2M'!$E$37</f>
        <v>26.548759787957575</v>
      </c>
      <c r="AT136" s="459">
        <f>+'[4]3M'!$E$37</f>
        <v>27.809380887327972</v>
      </c>
      <c r="AU136" s="459">
        <f>+'[4]4M'!$E$37</f>
        <v>27.776658232373435</v>
      </c>
      <c r="AV136" s="459">
        <f>+'[4]5M'!$E$37</f>
        <v>27.741109238831115</v>
      </c>
      <c r="AW136" s="459">
        <f>+'[4]6M'!$E$37</f>
        <v>28.457596021477656</v>
      </c>
      <c r="AX136" s="459">
        <f>+'[4]7M'!$E$37</f>
        <v>27.532327491170992</v>
      </c>
      <c r="AY136" s="459">
        <f>+'[4]8M'!$E$37</f>
        <v>26.629475061012446</v>
      </c>
      <c r="AZ136" s="459">
        <f>+'[4]9M'!$E$37</f>
        <v>25.760926407033434</v>
      </c>
      <c r="BA136" s="459">
        <f>+'[4]10M'!$E$37</f>
        <v>25.635857148516145</v>
      </c>
      <c r="BB136" s="459">
        <f>+'[4]11M'!$E$37</f>
        <v>26.123328912711745</v>
      </c>
      <c r="BC136" s="460">
        <f>+'[4]12M'!$E$37</f>
        <v>25.943889132866381</v>
      </c>
    </row>
    <row r="137" spans="1:55" s="273" customFormat="1" x14ac:dyDescent="0.2">
      <c r="A137" s="269">
        <v>1004</v>
      </c>
      <c r="B137" s="203" t="s">
        <v>43</v>
      </c>
      <c r="C137" s="435">
        <f>+[2]ต.ค.59!$G$39</f>
        <v>32.287034978111087</v>
      </c>
      <c r="D137" s="435">
        <f>+[2]พ.ย.59!$G$39</f>
        <v>27.158934259301663</v>
      </c>
      <c r="E137" s="435">
        <f>+[2]ธ.ค.59!$G$39</f>
        <v>26.94523246851978</v>
      </c>
      <c r="F137" s="435">
        <f>+'[2]3M'!$G$39</f>
        <v>28.846072755230836</v>
      </c>
      <c r="G137" s="435">
        <f>+[2]ม.ค.60!$G$39</f>
        <v>26.765785741039121</v>
      </c>
      <c r="H137" s="435">
        <f>+[2]ก.พ.60!$G$39</f>
        <v>24.050994925335544</v>
      </c>
      <c r="I137" s="435">
        <f>+[2]มี.ค.60!$G$39</f>
        <v>35.478320117057031</v>
      </c>
      <c r="J137" s="435">
        <f>+'[2]6M'!$G$39</f>
        <v>28.964641888462012</v>
      </c>
      <c r="K137" s="435">
        <f>+[2]เม.ย.60!$G$39</f>
        <v>19.823648238116544</v>
      </c>
      <c r="L137" s="435">
        <f>+[2]พ.ค.60!$G$39</f>
        <v>27.595643554505401</v>
      </c>
      <c r="M137" s="435">
        <f>+[2]มิ.ย.60!$G$39</f>
        <v>28.048946518268338</v>
      </c>
      <c r="N137" s="435">
        <f>+'[2]9M'!$G$39</f>
        <v>27.652987374690884</v>
      </c>
      <c r="O137" s="435">
        <f>+[2]ก.ค.60!$G$39</f>
        <v>32.702693122747327</v>
      </c>
      <c r="P137" s="435">
        <f>+[2]ส.ค.60!$G$39</f>
        <v>24.777624577199369</v>
      </c>
      <c r="Q137" s="435">
        <f>+[2]ก.ย.60!$G$39</f>
        <v>19.824499529896094</v>
      </c>
      <c r="R137" s="436">
        <f>+'[2]12M'!$G$39</f>
        <v>27.267427784864047</v>
      </c>
      <c r="S137" s="270"/>
      <c r="T137" s="271">
        <v>1004</v>
      </c>
      <c r="U137" s="272" t="s">
        <v>43</v>
      </c>
      <c r="V137" s="446">
        <v>27.060008621406123</v>
      </c>
      <c r="W137" s="457"/>
      <c r="X137" s="453">
        <v>1004</v>
      </c>
      <c r="Y137" s="275" t="s">
        <v>43</v>
      </c>
      <c r="Z137" s="461">
        <f>+[4]ต.ค.58!$G$37</f>
        <v>27.017662116249962</v>
      </c>
      <c r="AA137" s="461">
        <f>+[4]พ.ย.58!$G$37</f>
        <v>31.349777055136958</v>
      </c>
      <c r="AB137" s="461">
        <f>+[4]ธ.ค.58!$G$37</f>
        <v>35.158890622164961</v>
      </c>
      <c r="AC137" s="461">
        <f>+'[4]3M'!$G$37</f>
        <v>31.35913827770484</v>
      </c>
      <c r="AD137" s="461">
        <f>+[4]ม.ค.59!$G$37</f>
        <v>28.334905760050678</v>
      </c>
      <c r="AE137" s="461">
        <f>+[4]ก.พ.59!$G$37</f>
        <v>30.025813137183949</v>
      </c>
      <c r="AF137" s="461">
        <f>+[4]มี.ค.59!$G$37</f>
        <v>36.057629551579467</v>
      </c>
      <c r="AG137" s="461">
        <f>+'[4]6M'!$G$37</f>
        <v>31.45153053459812</v>
      </c>
      <c r="AH137" s="461">
        <f>+[4]เม.ย.59!$G$37</f>
        <v>20.185046254417696</v>
      </c>
      <c r="AI137" s="461">
        <f>+[4]พ.ค.59!$G$37</f>
        <v>23.963004455349402</v>
      </c>
      <c r="AJ137" s="461">
        <f>+[4]มิ.ย.59!$G$37</f>
        <v>18.379467819142999</v>
      </c>
      <c r="AK137" s="461">
        <f>+'[4]9M'!$G$37</f>
        <v>28.025232652235115</v>
      </c>
      <c r="AL137" s="461">
        <f>+[4]ก.ค.59!$G$37</f>
        <v>28.218334511745862</v>
      </c>
      <c r="AM137" s="461">
        <f>+[4]ส.ค.59!$G$37</f>
        <v>34.37416082040393</v>
      </c>
      <c r="AN137" s="461">
        <f>+[4]ก.ย.59!$G$37</f>
        <v>23.934153874396046</v>
      </c>
      <c r="AO137" s="460">
        <f>+'[4]12M'!$G$37</f>
        <v>28.260206497387401</v>
      </c>
      <c r="AP137" s="453">
        <v>1004</v>
      </c>
      <c r="AQ137" s="275" t="s">
        <v>43</v>
      </c>
      <c r="AR137" s="461">
        <f>+[4]ต.ค.58!$G$37</f>
        <v>27.017662116249962</v>
      </c>
      <c r="AS137" s="461">
        <f>+'[4]2M'!$G$37</f>
        <v>29.294698207474507</v>
      </c>
      <c r="AT137" s="461">
        <f>+'[4]3M'!$G$37</f>
        <v>31.35913827770484</v>
      </c>
      <c r="AU137" s="461">
        <f>+'[4]4M'!$G$37</f>
        <v>30.598173119037174</v>
      </c>
      <c r="AV137" s="461">
        <f>+'[4]5M'!$G$37</f>
        <v>30.485026532483445</v>
      </c>
      <c r="AW137" s="461">
        <f>+'[4]6M'!$G$37</f>
        <v>31.45153053459812</v>
      </c>
      <c r="AX137" s="461">
        <f>+'[4]7M'!$G$37</f>
        <v>29.880450965819399</v>
      </c>
      <c r="AY137" s="461">
        <f>+'[4]8M'!$G$37</f>
        <v>29.131736701556051</v>
      </c>
      <c r="AZ137" s="461">
        <f>+'[4]9M'!$G$37</f>
        <v>28.025232652235115</v>
      </c>
      <c r="BA137" s="461">
        <f>+'[4]10M'!$G$37</f>
        <v>28.044058053359588</v>
      </c>
      <c r="BB137" s="461">
        <f>+'[4]11M'!$G$37</f>
        <v>28.632428133221548</v>
      </c>
      <c r="BC137" s="460">
        <f>+'[4]12M'!$G$37</f>
        <v>28.260206497387401</v>
      </c>
    </row>
    <row r="138" spans="1:55" s="273" customFormat="1" x14ac:dyDescent="0.2">
      <c r="A138" s="269">
        <v>1005</v>
      </c>
      <c r="B138" s="203" t="s">
        <v>44</v>
      </c>
      <c r="C138" s="435">
        <f>+[2]ต.ค.59!$H$39</f>
        <v>14.677133395543359</v>
      </c>
      <c r="D138" s="435">
        <f>+[2]พ.ย.59!$H$39</f>
        <v>12.346171036749846</v>
      </c>
      <c r="E138" s="435">
        <f>+[2]ธ.ค.59!$H$39</f>
        <v>13.697710666110474</v>
      </c>
      <c r="F138" s="435">
        <f>+'[2]3M'!$H$39</f>
        <v>13.547840807695227</v>
      </c>
      <c r="G138" s="435">
        <f>+[2]ม.ค.60!$H$39</f>
        <v>14.06297244451612</v>
      </c>
      <c r="H138" s="435">
        <f>+[2]ก.พ.60!$H$39</f>
        <v>11.451130838203143</v>
      </c>
      <c r="I138" s="435">
        <f>+[2]มี.ค.60!$H$39</f>
        <v>14.39808516710592</v>
      </c>
      <c r="J138" s="435">
        <f>+'[2]6M'!$H$39</f>
        <v>13.432082364820582</v>
      </c>
      <c r="K138" s="435">
        <f>+[2]เม.ย.60!$H$39</f>
        <v>12.867258049706045</v>
      </c>
      <c r="L138" s="435">
        <f>+[2]พ.ค.60!$H$39</f>
        <v>12.233929783726873</v>
      </c>
      <c r="M138" s="435">
        <f>+[2]มิ.ย.60!$H$39</f>
        <v>14.063770189671242</v>
      </c>
      <c r="N138" s="435">
        <f>+'[2]9M'!$H$39</f>
        <v>13.285109220249463</v>
      </c>
      <c r="O138" s="435">
        <f>+[2]ก.ค.60!$H$39</f>
        <v>14.583283353831217</v>
      </c>
      <c r="P138" s="435">
        <f>+[2]ส.ค.60!$H$39</f>
        <v>14.840145161128184</v>
      </c>
      <c r="Q138" s="435">
        <f>+[2]ก.ย.60!$H$39</f>
        <v>14.200095740228857</v>
      </c>
      <c r="R138" s="436">
        <f>+'[2]12M'!$H$39</f>
        <v>13.601330021496574</v>
      </c>
      <c r="S138" s="270"/>
      <c r="T138" s="271">
        <v>1005</v>
      </c>
      <c r="U138" s="272" t="s">
        <v>44</v>
      </c>
      <c r="V138" s="446">
        <v>15.000071957976541</v>
      </c>
      <c r="W138" s="457"/>
      <c r="X138" s="453">
        <v>1005</v>
      </c>
      <c r="Y138" s="275" t="s">
        <v>44</v>
      </c>
      <c r="Z138" s="461">
        <f>+[4]ต.ค.58!$H$37</f>
        <v>15.630748533449946</v>
      </c>
      <c r="AA138" s="461">
        <f>+[4]พ.ย.58!$H$37</f>
        <v>17.251891477473496</v>
      </c>
      <c r="AB138" s="461">
        <f>+[4]ธ.ค.58!$H$37</f>
        <v>18.038940513926455</v>
      </c>
      <c r="AC138" s="461">
        <f>+'[4]3M'!$H$37</f>
        <v>16.978901940651468</v>
      </c>
      <c r="AD138" s="461">
        <f>+[4]ม.ค.59!$H$37</f>
        <v>13.512037094360126</v>
      </c>
      <c r="AE138" s="461">
        <f>+[4]ก.พ.59!$H$37</f>
        <v>12.763742665840933</v>
      </c>
      <c r="AF138" s="461">
        <f>+[4]มี.ค.59!$H$37</f>
        <v>14.305969113071123</v>
      </c>
      <c r="AG138" s="461">
        <f>+'[4]6M'!$H$37</f>
        <v>15.266649535504051</v>
      </c>
      <c r="AH138" s="461">
        <f>+[4]เม.ย.59!$H$37</f>
        <v>13.650217567714366</v>
      </c>
      <c r="AI138" s="461">
        <f>+[4]พ.ค.59!$H$37</f>
        <v>16.387171145849567</v>
      </c>
      <c r="AJ138" s="461">
        <f>+[4]มิ.ย.59!$H$37</f>
        <v>13.341273683679008</v>
      </c>
      <c r="AK138" s="461">
        <f>+'[4]9M'!$H$37</f>
        <v>14.979191122110915</v>
      </c>
      <c r="AL138" s="461">
        <f>+[4]ก.ค.59!$H$37</f>
        <v>14.056743606082106</v>
      </c>
      <c r="AM138" s="461">
        <f>+[4]ส.ค.59!$H$37</f>
        <v>14.285764215949259</v>
      </c>
      <c r="AN138" s="461">
        <f>+[4]ก.ย.59!$H$37</f>
        <v>10.992920740241496</v>
      </c>
      <c r="AO138" s="460">
        <f>+'[4]12M'!$H$37</f>
        <v>14.528162597525837</v>
      </c>
      <c r="AP138" s="453">
        <v>1005</v>
      </c>
      <c r="AQ138" s="275" t="s">
        <v>44</v>
      </c>
      <c r="AR138" s="461">
        <f>+[4]ต.ค.58!$H$37</f>
        <v>15.630748533449946</v>
      </c>
      <c r="AS138" s="461">
        <f>+'[4]2M'!$H$37</f>
        <v>16.435293839733415</v>
      </c>
      <c r="AT138" s="461">
        <f>+'[4]3M'!$H$37</f>
        <v>16.978901940651468</v>
      </c>
      <c r="AU138" s="461">
        <f>+'[4]4M'!$H$37</f>
        <v>16.07016878494035</v>
      </c>
      <c r="AV138" s="461">
        <f>+'[4]5M'!$H$37</f>
        <v>15.443990613863381</v>
      </c>
      <c r="AW138" s="461">
        <f>+'[4]6M'!$H$37</f>
        <v>15.266649535504051</v>
      </c>
      <c r="AX138" s="461">
        <f>+'[4]7M'!$H$37</f>
        <v>14.983976917663425</v>
      </c>
      <c r="AY138" s="461">
        <f>+'[4]8M'!$H$37</f>
        <v>15.209110882476548</v>
      </c>
      <c r="AZ138" s="461">
        <f>+'[4]9M'!$H$37</f>
        <v>14.979191122110915</v>
      </c>
      <c r="BA138" s="461">
        <f>+'[4]10M'!$H$37</f>
        <v>14.890453902764303</v>
      </c>
      <c r="BB138" s="461">
        <f>+'[4]11M'!$H$37</f>
        <v>14.838222117710945</v>
      </c>
      <c r="BC138" s="460">
        <f>+'[4]12M'!$H$37</f>
        <v>14.528162597525837</v>
      </c>
    </row>
    <row r="139" spans="1:55" s="273" customFormat="1" x14ac:dyDescent="0.2">
      <c r="A139" s="269">
        <v>1006</v>
      </c>
      <c r="B139" s="203" t="s">
        <v>45</v>
      </c>
      <c r="C139" s="435">
        <f>+[2]ต.ค.59!$I$39</f>
        <v>29.598458050719863</v>
      </c>
      <c r="D139" s="435">
        <f>+[2]พ.ย.59!$I$39</f>
        <v>35.387097338479535</v>
      </c>
      <c r="E139" s="435">
        <f>+[2]ธ.ค.59!$I$39</f>
        <v>34.402063948136572</v>
      </c>
      <c r="F139" s="435">
        <f>+'[2]3M'!$I$39</f>
        <v>33.30230397888387</v>
      </c>
      <c r="G139" s="435">
        <f>+[2]ม.ค.60!$I$39</f>
        <v>33.236132113799179</v>
      </c>
      <c r="H139" s="435">
        <f>+[2]ก.พ.60!$I$39</f>
        <v>35.943436657386499</v>
      </c>
      <c r="I139" s="435">
        <f>+[2]มี.ค.60!$I$39</f>
        <v>28.912138926339349</v>
      </c>
      <c r="J139" s="435">
        <f>+'[2]6M'!$I$39</f>
        <v>33.043600464862941</v>
      </c>
      <c r="K139" s="435">
        <f>+[2]เม.ย.60!$I$39</f>
        <v>29.248732337171585</v>
      </c>
      <c r="L139" s="435">
        <f>+[2]พ.ค.60!$I$39</f>
        <v>27.041576585873429</v>
      </c>
      <c r="M139" s="435">
        <f>+[2]มิ.ย.60!$I$39</f>
        <v>31.683792401373744</v>
      </c>
      <c r="N139" s="435">
        <f>+'[2]9M'!$I$39</f>
        <v>31.700408912453</v>
      </c>
      <c r="O139" s="435">
        <f>+[2]ก.ค.60!$I$39</f>
        <v>33.806142166415029</v>
      </c>
      <c r="P139" s="435">
        <f>+[2]ส.ค.60!$I$39</f>
        <v>32.356002206180825</v>
      </c>
      <c r="Q139" s="435">
        <f>+[2]ก.ย.60!$I$39</f>
        <v>32.081862583172104</v>
      </c>
      <c r="R139" s="436">
        <f>+'[2]12M'!$I$39</f>
        <v>31.957856774778538</v>
      </c>
      <c r="S139" s="270"/>
      <c r="T139" s="271">
        <v>1006</v>
      </c>
      <c r="U139" s="272" t="s">
        <v>45</v>
      </c>
      <c r="V139" s="446">
        <v>28.099971746091541</v>
      </c>
      <c r="W139" s="457"/>
      <c r="X139" s="453">
        <v>1006</v>
      </c>
      <c r="Y139" s="275" t="s">
        <v>45</v>
      </c>
      <c r="Z139" s="461">
        <f>+[4]ต.ค.58!$I$37</f>
        <v>38.977037231605053</v>
      </c>
      <c r="AA139" s="461">
        <f>+[4]พ.ย.58!$I$37</f>
        <v>32.763357598908627</v>
      </c>
      <c r="AB139" s="461">
        <f>+[4]ธ.ค.58!$I$37</f>
        <v>33.698313621411032</v>
      </c>
      <c r="AC139" s="461">
        <f>+'[4]3M'!$I$37</f>
        <v>35.151401580848443</v>
      </c>
      <c r="AD139" s="461">
        <f>+[4]ม.ค.59!$I$37</f>
        <v>32.05225424903</v>
      </c>
      <c r="AE139" s="461">
        <f>+[4]ก.พ.59!$I$37</f>
        <v>33.739518495090834</v>
      </c>
      <c r="AF139" s="461">
        <f>+[4]มี.ค.59!$I$37</f>
        <v>31.379431973966454</v>
      </c>
      <c r="AG139" s="461">
        <f>+'[4]6M'!$I$37</f>
        <v>33.779153284399371</v>
      </c>
      <c r="AH139" s="461">
        <f>+[4]เม.ย.59!$I$37</f>
        <v>28.093451849805508</v>
      </c>
      <c r="AI139" s="461">
        <f>+[4]พ.ค.59!$I$37</f>
        <v>21.305452532750589</v>
      </c>
      <c r="AJ139" s="461">
        <f>+[4]มิ.ย.59!$I$37</f>
        <v>23.553484595310351</v>
      </c>
      <c r="AK139" s="461">
        <f>+'[4]9M'!$I$37</f>
        <v>30.533277823101319</v>
      </c>
      <c r="AL139" s="461">
        <f>+[4]ก.ค.59!$I$37</f>
        <v>26.994651176660252</v>
      </c>
      <c r="AM139" s="461">
        <f>+[4]ส.ค.59!$I$37</f>
        <v>28.684338707501944</v>
      </c>
      <c r="AN139" s="461">
        <f>+[4]ก.ย.59!$I$37</f>
        <v>24.419027442034949</v>
      </c>
      <c r="AO139" s="460">
        <f>+'[4]12M'!$I$37</f>
        <v>29.663177011112751</v>
      </c>
      <c r="AP139" s="453">
        <v>1006</v>
      </c>
      <c r="AQ139" s="275" t="s">
        <v>45</v>
      </c>
      <c r="AR139" s="461">
        <f>+[4]ต.ค.58!$I$37</f>
        <v>38.977037231605053</v>
      </c>
      <c r="AS139" s="461">
        <f>+'[4]2M'!$I$37</f>
        <v>35.869611554098221</v>
      </c>
      <c r="AT139" s="461">
        <f>+'[4]3M'!$I$37</f>
        <v>35.151401580848443</v>
      </c>
      <c r="AU139" s="461">
        <f>+'[4]4M'!$I$37</f>
        <v>34.357744197735961</v>
      </c>
      <c r="AV139" s="461">
        <f>+'[4]5M'!$I$37</f>
        <v>34.234300019696981</v>
      </c>
      <c r="AW139" s="461">
        <f>+'[4]6M'!$I$37</f>
        <v>33.779153284399371</v>
      </c>
      <c r="AX139" s="461">
        <f>+'[4]7M'!$I$37</f>
        <v>32.923668022740493</v>
      </c>
      <c r="AY139" s="461">
        <f>+'[4]8M'!$I$37</f>
        <v>31.38265531737423</v>
      </c>
      <c r="AZ139" s="461">
        <f>+'[4]9M'!$I$37</f>
        <v>30.533277823101319</v>
      </c>
      <c r="BA139" s="461">
        <f>+'[4]10M'!$I$37</f>
        <v>30.217787123357446</v>
      </c>
      <c r="BB139" s="461">
        <f>+'[4]11M'!$I$37</f>
        <v>30.088738948723993</v>
      </c>
      <c r="BC139" s="460">
        <f>+'[4]12M'!$I$37</f>
        <v>29.663177011112751</v>
      </c>
    </row>
    <row r="140" spans="1:55" s="273" customFormat="1" x14ac:dyDescent="0.2">
      <c r="A140" s="269">
        <v>1007</v>
      </c>
      <c r="B140" s="203" t="s">
        <v>46</v>
      </c>
      <c r="C140" s="435">
        <f>+[2]ต.ค.59!$J$39</f>
        <v>28.587448295482886</v>
      </c>
      <c r="D140" s="435">
        <f>+[2]พ.ย.59!$J$39</f>
        <v>26.169871852704592</v>
      </c>
      <c r="E140" s="435">
        <f>+[2]ธ.ค.59!$J$39</f>
        <v>26.436436560900788</v>
      </c>
      <c r="F140" s="435">
        <f>+'[2]3M'!$J$39</f>
        <v>27.049411628507137</v>
      </c>
      <c r="G140" s="435">
        <f>+[2]ม.ค.60!$J$39</f>
        <v>23.773250600638647</v>
      </c>
      <c r="H140" s="435">
        <f>+[2]ก.พ.60!$J$39</f>
        <v>20.562454881583626</v>
      </c>
      <c r="I140" s="435">
        <f>+[2]มี.ค.60!$J$39</f>
        <v>27.713709307974089</v>
      </c>
      <c r="J140" s="435">
        <f>+'[2]6M'!$J$39</f>
        <v>25.558230170333495</v>
      </c>
      <c r="K140" s="435">
        <f>+[2]เม.ย.60!$J$39</f>
        <v>20.498547208389994</v>
      </c>
      <c r="L140" s="435">
        <f>+[2]พ.ค.60!$J$39</f>
        <v>18.283720289058337</v>
      </c>
      <c r="M140" s="435">
        <f>+[2]มิ.ย.60!$J$39</f>
        <v>26.685234099983319</v>
      </c>
      <c r="N140" s="435">
        <f>+'[2]9M'!$J$39</f>
        <v>24.240237830840101</v>
      </c>
      <c r="O140" s="435">
        <f>+[2]ก.ค.60!$J$39</f>
        <v>29.961422211364024</v>
      </c>
      <c r="P140" s="435">
        <f>+[2]ส.ค.60!$J$39</f>
        <v>27.643473608700365</v>
      </c>
      <c r="Q140" s="435">
        <f>+[2]ก.ย.60!$J$39</f>
        <v>22.642210380983538</v>
      </c>
      <c r="R140" s="436">
        <f>+'[2]12M'!$J$39</f>
        <v>24.905086514960914</v>
      </c>
      <c r="S140" s="270"/>
      <c r="T140" s="271">
        <v>1007</v>
      </c>
      <c r="U140" s="272" t="s">
        <v>46</v>
      </c>
      <c r="V140" s="446">
        <v>25.00003460499779</v>
      </c>
      <c r="W140" s="457"/>
      <c r="X140" s="453">
        <v>1007</v>
      </c>
      <c r="Y140" s="275" t="s">
        <v>46</v>
      </c>
      <c r="Z140" s="461">
        <f>+[4]ต.ค.58!$J$37</f>
        <v>26.980649321510121</v>
      </c>
      <c r="AA140" s="461">
        <f>+[4]พ.ย.58!$J$37</f>
        <v>27.445692218917838</v>
      </c>
      <c r="AB140" s="461">
        <f>+[4]ธ.ค.58!$J$37</f>
        <v>28.396202370332613</v>
      </c>
      <c r="AC140" s="461">
        <f>+'[4]3M'!$J$37</f>
        <v>27.620769116677057</v>
      </c>
      <c r="AD140" s="461">
        <f>+[4]ม.ค.59!$J$37</f>
        <v>38.862674676013462</v>
      </c>
      <c r="AE140" s="461">
        <f>+[4]ก.พ.59!$J$37</f>
        <v>38.59740861629745</v>
      </c>
      <c r="AF140" s="461">
        <f>+[4]มี.ค.59!$J$37</f>
        <v>31.186278574119402</v>
      </c>
      <c r="AG140" s="461">
        <f>+'[4]6M'!$J$37</f>
        <v>32.376878839440224</v>
      </c>
      <c r="AH140" s="461">
        <f>+[4]เม.ย.59!$J$37</f>
        <v>25.659467594107195</v>
      </c>
      <c r="AI140" s="461">
        <f>+[4]พ.ค.59!$J$37</f>
        <v>23.353060029712353</v>
      </c>
      <c r="AJ140" s="461">
        <f>+[4]มิ.ย.59!$J$37</f>
        <v>23.894669094115805</v>
      </c>
      <c r="AK140" s="461">
        <f>+'[4]9M'!$J$37</f>
        <v>29.708134055180015</v>
      </c>
      <c r="AL140" s="461">
        <f>+[4]ก.ค.59!$J$37</f>
        <v>25.905440105099725</v>
      </c>
      <c r="AM140" s="461">
        <f>+[4]ส.ค.59!$J$37</f>
        <v>34.546465415391872</v>
      </c>
      <c r="AN140" s="461">
        <f>+[4]ก.ย.59!$J$37</f>
        <v>32.190001021979256</v>
      </c>
      <c r="AO140" s="460">
        <f>+'[4]12M'!$J$37</f>
        <v>30.050783672969004</v>
      </c>
      <c r="AP140" s="453">
        <v>1007</v>
      </c>
      <c r="AQ140" s="275" t="s">
        <v>46</v>
      </c>
      <c r="AR140" s="461">
        <f>+[4]ต.ค.58!$J$37</f>
        <v>26.980649321510121</v>
      </c>
      <c r="AS140" s="461">
        <f>+'[4]2M'!$J$37</f>
        <v>27.220156657772442</v>
      </c>
      <c r="AT140" s="461">
        <f>+'[4]3M'!$J$37</f>
        <v>27.620769116677057</v>
      </c>
      <c r="AU140" s="461">
        <f>+'[4]4M'!$J$37</f>
        <v>30.936595883242635</v>
      </c>
      <c r="AV140" s="461">
        <f>+'[4]5M'!$J$37</f>
        <v>32.606950525150275</v>
      </c>
      <c r="AW140" s="461">
        <f>+'[4]6M'!$J$37</f>
        <v>32.376878839440224</v>
      </c>
      <c r="AX140" s="461">
        <f>+'[4]7M'!$J$37</f>
        <v>31.420325794687471</v>
      </c>
      <c r="AY140" s="461">
        <f>+'[4]8M'!$J$37</f>
        <v>30.389491262514646</v>
      </c>
      <c r="AZ140" s="461">
        <f>+'[4]9M'!$J$37</f>
        <v>29.708134055180015</v>
      </c>
      <c r="BA140" s="461">
        <f>+'[4]10M'!$J$37</f>
        <v>29.362593699563831</v>
      </c>
      <c r="BB140" s="461">
        <f>+'[4]11M'!$J$37</f>
        <v>29.854827360503744</v>
      </c>
      <c r="BC140" s="460">
        <f>+'[4]12M'!$J$37</f>
        <v>30.050783672969004</v>
      </c>
    </row>
    <row r="141" spans="1:55" s="273" customFormat="1" x14ac:dyDescent="0.2">
      <c r="A141" s="269">
        <v>1008</v>
      </c>
      <c r="B141" s="203" t="s">
        <v>47</v>
      </c>
      <c r="C141" s="435">
        <f>+[2]ต.ค.59!$K$39</f>
        <v>24.866439782529618</v>
      </c>
      <c r="D141" s="435">
        <f>+[2]พ.ย.59!$K$39</f>
        <v>23.510635228323025</v>
      </c>
      <c r="E141" s="435">
        <f>+[2]ธ.ค.59!$K$39</f>
        <v>26.485637702554556</v>
      </c>
      <c r="F141" s="435">
        <f>+'[2]3M'!$K$39</f>
        <v>24.996847409605259</v>
      </c>
      <c r="G141" s="435">
        <f>+[2]ม.ค.60!$K$39</f>
        <v>21.619705381715114</v>
      </c>
      <c r="H141" s="435">
        <f>+[2]ก.พ.60!$K$39</f>
        <v>15.098400367304071</v>
      </c>
      <c r="I141" s="435">
        <f>+[2]มี.ค.60!$K$39</f>
        <v>26.881493653904183</v>
      </c>
      <c r="J141" s="435">
        <f>+'[2]6M'!$K$39</f>
        <v>23.149595202488637</v>
      </c>
      <c r="K141" s="435">
        <f>+[2]เม.ย.60!$K$39</f>
        <v>11.623634142186935</v>
      </c>
      <c r="L141" s="435">
        <f>+[2]พ.ค.60!$K$39</f>
        <v>11.433545825638873</v>
      </c>
      <c r="M141" s="435">
        <f>+[2]มิ.ย.60!$K$39</f>
        <v>10.027700629521172</v>
      </c>
      <c r="N141" s="435">
        <f>+'[2]9M'!$K$39</f>
        <v>19.217631175770737</v>
      </c>
      <c r="O141" s="435">
        <f>+[2]ก.ค.60!$K$39</f>
        <v>23.92975349632718</v>
      </c>
      <c r="P141" s="435">
        <f>+[2]ส.ค.60!$K$39</f>
        <v>16.354409835485793</v>
      </c>
      <c r="Q141" s="435">
        <f>+[2]ก.ย.60!$K$39</f>
        <v>15.08223251353837</v>
      </c>
      <c r="R141" s="436">
        <f>+'[2]12M'!$K$39</f>
        <v>19.043351219696572</v>
      </c>
      <c r="S141" s="270"/>
      <c r="T141" s="271">
        <v>1008</v>
      </c>
      <c r="U141" s="272" t="s">
        <v>47</v>
      </c>
      <c r="V141" s="446">
        <v>23.000191866196484</v>
      </c>
      <c r="W141" s="457"/>
      <c r="X141" s="453">
        <v>1008</v>
      </c>
      <c r="Y141" s="275" t="s">
        <v>47</v>
      </c>
      <c r="Z141" s="461">
        <f>+[4]ต.ค.58!$K$37</f>
        <v>18.178615625028229</v>
      </c>
      <c r="AA141" s="461">
        <f>+[4]พ.ย.58!$K$37</f>
        <v>18.25208890091675</v>
      </c>
      <c r="AB141" s="461">
        <f>+[4]ธ.ค.58!$K$37</f>
        <v>31.931809946385659</v>
      </c>
      <c r="AC141" s="461">
        <f>+'[4]3M'!$K$37</f>
        <v>23.309276283994564</v>
      </c>
      <c r="AD141" s="461">
        <f>+[4]ม.ค.59!$K$37</f>
        <v>27.973081769573948</v>
      </c>
      <c r="AE141" s="461">
        <f>+[4]ก.พ.59!$K$37</f>
        <v>28.212341289263815</v>
      </c>
      <c r="AF141" s="461">
        <f>+[4]มี.ค.59!$K$37</f>
        <v>27.258049133400817</v>
      </c>
      <c r="AG141" s="461">
        <f>+'[4]6M'!$K$37</f>
        <v>25.751250886138489</v>
      </c>
      <c r="AH141" s="461">
        <f>+[4]เม.ย.59!$K$37</f>
        <v>26.362660207387801</v>
      </c>
      <c r="AI141" s="461">
        <f>+[4]พ.ค.59!$K$37</f>
        <v>8.0546886649625336</v>
      </c>
      <c r="AJ141" s="461">
        <f>+[4]มิ.ย.59!$K$37</f>
        <v>12.961351538889646</v>
      </c>
      <c r="AK141" s="461">
        <f>+'[4]9M'!$K$37</f>
        <v>22.32349148839495</v>
      </c>
      <c r="AL141" s="461">
        <f>+[4]ก.ค.59!$K$37</f>
        <v>16.526476652531407</v>
      </c>
      <c r="AM141" s="461">
        <f>+[4]ส.ค.59!$K$37</f>
        <v>21.78127948792072</v>
      </c>
      <c r="AN141" s="461">
        <f>+[4]ก.ย.59!$K$37</f>
        <v>14.478532913601793</v>
      </c>
      <c r="AO141" s="460">
        <f>+'[4]12M'!$K$37</f>
        <v>21.193890622956349</v>
      </c>
      <c r="AP141" s="453">
        <v>1008</v>
      </c>
      <c r="AQ141" s="275" t="s">
        <v>47</v>
      </c>
      <c r="AR141" s="461">
        <f>+[4]ต.ค.58!$K$37</f>
        <v>18.178615625028229</v>
      </c>
      <c r="AS141" s="461">
        <f>+'[4]2M'!$K$37</f>
        <v>18.216561622355876</v>
      </c>
      <c r="AT141" s="461">
        <f>+'[4]3M'!$K$37</f>
        <v>23.309276283994564</v>
      </c>
      <c r="AU141" s="461">
        <f>+'[4]4M'!$K$37</f>
        <v>24.649254096451802</v>
      </c>
      <c r="AV141" s="461">
        <f>+'[4]5M'!$K$37</f>
        <v>25.410924063312123</v>
      </c>
      <c r="AW141" s="461">
        <f>+'[4]6M'!$K$37</f>
        <v>25.751250886138489</v>
      </c>
      <c r="AX141" s="461">
        <f>+'[4]7M'!$K$37</f>
        <v>25.853599682808476</v>
      </c>
      <c r="AY141" s="461">
        <f>+'[4]8M'!$K$37</f>
        <v>23.431100495522912</v>
      </c>
      <c r="AZ141" s="461">
        <f>+'[4]9M'!$K$37</f>
        <v>22.32349148839495</v>
      </c>
      <c r="BA141" s="461">
        <f>+'[4]10M'!$K$37</f>
        <v>21.766687918932842</v>
      </c>
      <c r="BB141" s="461">
        <f>+'[4]11M'!$K$37</f>
        <v>21.767960536019121</v>
      </c>
      <c r="BC141" s="460">
        <f>+'[4]12M'!$K$37</f>
        <v>21.193890622956349</v>
      </c>
    </row>
    <row r="142" spans="1:55" s="273" customFormat="1" x14ac:dyDescent="0.2">
      <c r="A142" s="269">
        <v>1009</v>
      </c>
      <c r="B142" s="203" t="s">
        <v>48</v>
      </c>
      <c r="C142" s="435">
        <f>+[2]ต.ค.59!$L$39</f>
        <v>22.642205200949121</v>
      </c>
      <c r="D142" s="435">
        <f>+[2]พ.ย.59!$L$39</f>
        <v>22.822115987783665</v>
      </c>
      <c r="E142" s="435">
        <f>+[2]ธ.ค.59!$L$39</f>
        <v>28.677407726350385</v>
      </c>
      <c r="F142" s="435">
        <f>+'[2]3M'!$L$39</f>
        <v>24.764663499506419</v>
      </c>
      <c r="G142" s="435">
        <f>+[2]ม.ค.60!$L$39</f>
        <v>26.156222821470219</v>
      </c>
      <c r="H142" s="435">
        <f>+[2]ก.พ.60!$L$39</f>
        <v>22.356823730350957</v>
      </c>
      <c r="I142" s="435">
        <f>+[2]มี.ค.60!$L$39</f>
        <v>25.27684362262147</v>
      </c>
      <c r="J142" s="435">
        <f>+'[2]6M'!$L$39</f>
        <v>24.690106453747802</v>
      </c>
      <c r="K142" s="435">
        <f>+[2]เม.ย.60!$L$39</f>
        <v>23.503085679682741</v>
      </c>
      <c r="L142" s="435">
        <f>+[2]พ.ค.60!$L$39</f>
        <v>19.073149957959796</v>
      </c>
      <c r="M142" s="435">
        <f>+[2]มิ.ย.60!$L$39</f>
        <v>16.32414181941451</v>
      </c>
      <c r="N142" s="435">
        <f>+'[2]9M'!$L$39</f>
        <v>22.992884785340571</v>
      </c>
      <c r="O142" s="435">
        <f>+[2]ก.ค.60!$L$39</f>
        <v>18.870107449422282</v>
      </c>
      <c r="P142" s="435">
        <f>+[2]ส.ค.60!$L$39</f>
        <v>19.784106415601467</v>
      </c>
      <c r="Q142" s="435">
        <f>+[2]ก.ย.60!$L$39</f>
        <v>20.659588163766241</v>
      </c>
      <c r="R142" s="436">
        <f>+'[2]12M'!$L$39</f>
        <v>22.201553215793034</v>
      </c>
      <c r="S142" s="270"/>
      <c r="T142" s="271">
        <v>1009</v>
      </c>
      <c r="U142" s="272" t="s">
        <v>48</v>
      </c>
      <c r="V142" s="446">
        <v>21.999880817591325</v>
      </c>
      <c r="W142" s="457"/>
      <c r="X142" s="453">
        <v>1009</v>
      </c>
      <c r="Y142" s="275" t="s">
        <v>48</v>
      </c>
      <c r="Z142" s="461">
        <f>+[4]ต.ค.58!$L$37</f>
        <v>26.903400882654537</v>
      </c>
      <c r="AA142" s="461">
        <f>+[4]พ.ย.58!$L$37</f>
        <v>22.866141110870476</v>
      </c>
      <c r="AB142" s="461">
        <f>+[4]ธ.ค.58!$L$37</f>
        <v>27.459047311337979</v>
      </c>
      <c r="AC142" s="461">
        <f>+'[4]3M'!$L$37</f>
        <v>25.751096668284951</v>
      </c>
      <c r="AD142" s="461">
        <f>+[4]ม.ค.59!$L$37</f>
        <v>26.328855612223752</v>
      </c>
      <c r="AE142" s="461">
        <f>+[4]ก.พ.59!$L$37</f>
        <v>26.427566268932427</v>
      </c>
      <c r="AF142" s="461">
        <f>+[4]มี.ค.59!$L$37</f>
        <v>23.797253833203065</v>
      </c>
      <c r="AG142" s="461">
        <f>+'[4]6M'!$L$37</f>
        <v>25.648209846994519</v>
      </c>
      <c r="AH142" s="461">
        <f>+[4]เม.ย.59!$L$37</f>
        <v>21.69596345494298</v>
      </c>
      <c r="AI142" s="461">
        <f>+[4]พ.ค.59!$L$37</f>
        <v>17.435371135593144</v>
      </c>
      <c r="AJ142" s="461">
        <f>+[4]มิ.ย.59!$L$37</f>
        <v>20.543296835322622</v>
      </c>
      <c r="AK142" s="461">
        <f>+'[4]9M'!$L$37</f>
        <v>23.599913137490287</v>
      </c>
      <c r="AL142" s="461">
        <f>+[4]ก.ค.59!$L$37</f>
        <v>23.914529135723708</v>
      </c>
      <c r="AM142" s="461">
        <f>+[4]ส.ค.59!$L$37</f>
        <v>24.167734702098347</v>
      </c>
      <c r="AN142" s="461">
        <f>+[4]ก.ย.59!$L$37</f>
        <v>24.979917080455678</v>
      </c>
      <c r="AO142" s="460">
        <f>+'[4]12M'!$L$37</f>
        <v>23.791330758122523</v>
      </c>
      <c r="AP142" s="453">
        <v>1009</v>
      </c>
      <c r="AQ142" s="275" t="s">
        <v>48</v>
      </c>
      <c r="AR142" s="461">
        <f>+[4]ต.ค.58!$L$37</f>
        <v>26.903400882654537</v>
      </c>
      <c r="AS142" s="461">
        <f>+'[4]2M'!$L$37</f>
        <v>24.906649940658859</v>
      </c>
      <c r="AT142" s="461">
        <f>+'[4]3M'!$L$37</f>
        <v>25.751096668284951</v>
      </c>
      <c r="AU142" s="461">
        <f>+'[4]4M'!$L$37</f>
        <v>25.894928397624135</v>
      </c>
      <c r="AV142" s="461">
        <f>+'[4]5M'!$L$37</f>
        <v>26.001387425694478</v>
      </c>
      <c r="AW142" s="461">
        <f>+'[4]6M'!$L$37</f>
        <v>25.648209846994519</v>
      </c>
      <c r="AX142" s="461">
        <f>+'[4]7M'!$L$37</f>
        <v>25.047935871138023</v>
      </c>
      <c r="AY142" s="461">
        <f>+'[4]8M'!$L$37</f>
        <v>23.996256572986191</v>
      </c>
      <c r="AZ142" s="461">
        <f>+'[4]9M'!$L$37</f>
        <v>23.599913137490287</v>
      </c>
      <c r="BA142" s="461">
        <f>+'[4]10M'!$L$37</f>
        <v>23.63197508998736</v>
      </c>
      <c r="BB142" s="461">
        <f>+'[4]11M'!$L$37</f>
        <v>23.680058203954289</v>
      </c>
      <c r="BC142" s="460">
        <f>+'[4]12M'!$L$37</f>
        <v>23.791330758122523</v>
      </c>
    </row>
    <row r="143" spans="1:55" s="273" customFormat="1" x14ac:dyDescent="0.2">
      <c r="A143" s="269">
        <v>1010</v>
      </c>
      <c r="B143" s="203" t="s">
        <v>49</v>
      </c>
      <c r="C143" s="435">
        <f>+[2]ต.ค.59!$M$39</f>
        <v>25.533815222987798</v>
      </c>
      <c r="D143" s="435">
        <f>+[2]พ.ย.59!$M$39</f>
        <v>26.519992526573045</v>
      </c>
      <c r="E143" s="435">
        <f>+[2]ธ.ค.59!$M$39</f>
        <v>28.41692582537544</v>
      </c>
      <c r="F143" s="435">
        <f>+'[2]3M'!$M$39</f>
        <v>26.858859258190293</v>
      </c>
      <c r="G143" s="435">
        <f>+[2]ม.ค.60!$M$39</f>
        <v>31.103419907366341</v>
      </c>
      <c r="H143" s="435">
        <f>+[2]ก.พ.60!$M$39</f>
        <v>27.458309477891596</v>
      </c>
      <c r="I143" s="435">
        <f>+[2]มี.ค.60!$M$39</f>
        <v>28.540118492595383</v>
      </c>
      <c r="J143" s="435">
        <f>+'[2]6M'!$M$39</f>
        <v>28.012263195025096</v>
      </c>
      <c r="K143" s="435">
        <f>+[2]เม.ย.60!$M$39</f>
        <v>25.056211025289198</v>
      </c>
      <c r="L143" s="435">
        <f>+[2]พ.ค.60!$M$39</f>
        <v>25.706762392466175</v>
      </c>
      <c r="M143" s="435">
        <f>+[2]มิ.ย.60!$M$39</f>
        <v>21.780916691683665</v>
      </c>
      <c r="N143" s="435">
        <f>+'[2]9M'!$M$39</f>
        <v>26.688064501841176</v>
      </c>
      <c r="O143" s="435">
        <f>+[2]ก.ค.60!$M$39</f>
        <v>26.375425310126037</v>
      </c>
      <c r="P143" s="435">
        <f>+[2]ส.ค.60!$M$39</f>
        <v>26.993362384749602</v>
      </c>
      <c r="Q143" s="435">
        <f>+[2]ก.ย.60!$M$39</f>
        <v>24.066544993892585</v>
      </c>
      <c r="R143" s="436">
        <f>+'[2]12M'!$M$39</f>
        <v>26.470459778382917</v>
      </c>
      <c r="S143" s="270"/>
      <c r="T143" s="271">
        <v>1010</v>
      </c>
      <c r="U143" s="272" t="s">
        <v>49</v>
      </c>
      <c r="V143" s="446">
        <v>26.999856867417133</v>
      </c>
      <c r="W143" s="457"/>
      <c r="X143" s="453">
        <v>1010</v>
      </c>
      <c r="Y143" s="275" t="s">
        <v>49</v>
      </c>
      <c r="Z143" s="461">
        <f>+[4]ต.ค.58!$M$37</f>
        <v>28.888637125529272</v>
      </c>
      <c r="AA143" s="461">
        <f>+[4]พ.ย.58!$M$37</f>
        <v>28.681000081023296</v>
      </c>
      <c r="AB143" s="461">
        <f>+[4]ธ.ค.58!$M$37</f>
        <v>28.757376143348985</v>
      </c>
      <c r="AC143" s="461">
        <f>+'[4]3M'!$M$37</f>
        <v>28.775510987334279</v>
      </c>
      <c r="AD143" s="461">
        <f>+[4]ม.ค.59!$M$37</f>
        <v>30.382704561881585</v>
      </c>
      <c r="AE143" s="461">
        <f>+[4]ก.พ.59!$M$37</f>
        <v>29.761386391520077</v>
      </c>
      <c r="AF143" s="461">
        <f>+[4]มี.ค.59!$M$37</f>
        <v>33.884785439099097</v>
      </c>
      <c r="AG143" s="461">
        <f>+'[4]6M'!$M$37</f>
        <v>30.117732468178438</v>
      </c>
      <c r="AH143" s="461">
        <f>+[4]เม.ย.59!$M$37</f>
        <v>29.224373192739606</v>
      </c>
      <c r="AI143" s="461">
        <f>+[4]พ.ค.59!$M$37</f>
        <v>29.105169564947893</v>
      </c>
      <c r="AJ143" s="461">
        <f>+[4]มิ.ย.59!$M$37</f>
        <v>25.481355171186372</v>
      </c>
      <c r="AK143" s="461">
        <f>+'[4]9M'!$M$37</f>
        <v>29.343573797144067</v>
      </c>
      <c r="AL143" s="461">
        <f>+[4]ก.ค.59!$M$37</f>
        <v>27.175053446805219</v>
      </c>
      <c r="AM143" s="461">
        <f>+[4]ส.ค.59!$M$37</f>
        <v>26.342767288704422</v>
      </c>
      <c r="AN143" s="461">
        <f>+[4]ก.ย.59!$M$37</f>
        <v>24.690676321522396</v>
      </c>
      <c r="AO143" s="460">
        <f>+'[4]12M'!$M$37</f>
        <v>28.601385141217417</v>
      </c>
      <c r="AP143" s="453">
        <v>1010</v>
      </c>
      <c r="AQ143" s="275" t="s">
        <v>49</v>
      </c>
      <c r="AR143" s="461">
        <f>+[4]ต.ค.58!$M$37</f>
        <v>28.888637125529272</v>
      </c>
      <c r="AS143" s="461">
        <f>+'[4]2M'!$M$37</f>
        <v>28.784567589614518</v>
      </c>
      <c r="AT143" s="461">
        <f>+'[4]3M'!$M$37</f>
        <v>28.775510987334279</v>
      </c>
      <c r="AU143" s="461">
        <f>+'[4]4M'!$M$37</f>
        <v>29.192457276783411</v>
      </c>
      <c r="AV143" s="461">
        <f>+'[4]5M'!$M$37</f>
        <v>29.30785734225017</v>
      </c>
      <c r="AW143" s="461">
        <f>+'[4]6M'!$M$37</f>
        <v>30.117732468178438</v>
      </c>
      <c r="AX143" s="461">
        <f>+'[4]7M'!$M$37</f>
        <v>29.974928455669314</v>
      </c>
      <c r="AY143" s="461">
        <f>+'[4]8M'!$M$37</f>
        <v>29.84613546437317</v>
      </c>
      <c r="AZ143" s="461">
        <f>+'[4]9M'!$M$37</f>
        <v>29.343573797144067</v>
      </c>
      <c r="BA143" s="461">
        <f>+'[4]10M'!$M$37</f>
        <v>29.146490724375791</v>
      </c>
      <c r="BB143" s="461">
        <f>+'[4]11M'!$M$37</f>
        <v>28.913720215121323</v>
      </c>
      <c r="BC143" s="460">
        <f>+'[4]12M'!$M$37</f>
        <v>28.601385141217417</v>
      </c>
    </row>
    <row r="144" spans="1:55" s="273" customFormat="1" x14ac:dyDescent="0.2">
      <c r="A144" s="269">
        <v>1011</v>
      </c>
      <c r="B144" s="203" t="s">
        <v>50</v>
      </c>
      <c r="C144" s="435">
        <f>+[2]ต.ค.59!$N$39</f>
        <v>12.836082987586812</v>
      </c>
      <c r="D144" s="435">
        <f>+[2]พ.ย.59!$N$39</f>
        <v>7.7923754801639822</v>
      </c>
      <c r="E144" s="435">
        <f>+[2]ธ.ค.59!$N$39</f>
        <v>13.409835381836494</v>
      </c>
      <c r="F144" s="435">
        <f>+'[2]3M'!$N$39</f>
        <v>11.405532989633599</v>
      </c>
      <c r="G144" s="435">
        <f>+[2]ม.ค.60!$N$39</f>
        <v>8.7220127471822515</v>
      </c>
      <c r="H144" s="435">
        <f>+[2]ก.พ.60!$N$39</f>
        <v>4.7504090724581332</v>
      </c>
      <c r="I144" s="435">
        <f>+[2]มี.ค.60!$N$39</f>
        <v>22.475081022747005</v>
      </c>
      <c r="J144" s="435">
        <f>+'[2]6M'!$N$39</f>
        <v>11.995941130230953</v>
      </c>
      <c r="K144" s="435">
        <f>+[2]เม.ย.60!$N$39</f>
        <v>3.7309693827910442</v>
      </c>
      <c r="L144" s="435">
        <f>+[2]พ.ค.60!$N$39</f>
        <v>2.0654270532329253</v>
      </c>
      <c r="M144" s="435">
        <f>+[2]มิ.ย.60!$N$39</f>
        <v>1.0179851979878114</v>
      </c>
      <c r="N144" s="435">
        <f>+'[2]9M'!$N$39</f>
        <v>8.6107585523949659</v>
      </c>
      <c r="O144" s="435">
        <f>+[2]ก.ค.60!$N$39</f>
        <v>17.926022268158633</v>
      </c>
      <c r="P144" s="435">
        <f>+[2]ส.ค.60!$N$39</f>
        <v>14.19072038681262</v>
      </c>
      <c r="Q144" s="435">
        <f>+[2]ก.ย.60!$N$39</f>
        <v>8.4857774034740157</v>
      </c>
      <c r="R144" s="436">
        <f>+'[2]12M'!$N$39</f>
        <v>9.8842345210432985</v>
      </c>
      <c r="S144" s="270"/>
      <c r="T144" s="271">
        <v>1011</v>
      </c>
      <c r="U144" s="272" t="s">
        <v>50</v>
      </c>
      <c r="V144" s="446">
        <v>15.000038892043467</v>
      </c>
      <c r="W144" s="457"/>
      <c r="X144" s="453">
        <v>1011</v>
      </c>
      <c r="Y144" s="275" t="s">
        <v>50</v>
      </c>
      <c r="Z144" s="461">
        <f>+[4]ต.ค.58!$N$37</f>
        <v>17.755561980885084</v>
      </c>
      <c r="AA144" s="461">
        <f>+[4]พ.ย.58!$N$37</f>
        <v>15.395648281573134</v>
      </c>
      <c r="AB144" s="461">
        <f>+[4]ธ.ค.58!$N$37</f>
        <v>12.494848262482282</v>
      </c>
      <c r="AC144" s="461">
        <f>+'[4]3M'!$N$37</f>
        <v>15.229130484692421</v>
      </c>
      <c r="AD144" s="461">
        <f>+[4]ม.ค.59!$N$37</f>
        <v>3.6026004692399223</v>
      </c>
      <c r="AE144" s="461">
        <f>+[4]ก.พ.59!$N$37</f>
        <v>9.211031212160373</v>
      </c>
      <c r="AF144" s="461">
        <f>+[4]มี.ค.59!$N$37</f>
        <v>23.572738595080342</v>
      </c>
      <c r="AG144" s="461">
        <f>+'[4]6M'!$N$37</f>
        <v>14.12798338223805</v>
      </c>
      <c r="AH144" s="461">
        <f>+[4]เม.ย.59!$N$37</f>
        <v>18.376715378698943</v>
      </c>
      <c r="AI144" s="461">
        <f>+[4]พ.ค.59!$N$37</f>
        <v>3.9824964389334703</v>
      </c>
      <c r="AJ144" s="461">
        <f>+[4]มิ.ย.59!$N$37</f>
        <v>2.9434137046758022</v>
      </c>
      <c r="AK144" s="461">
        <f>+'[4]9M'!$N$37</f>
        <v>12.104819207080645</v>
      </c>
      <c r="AL144" s="461">
        <f>+[4]ก.ค.59!$N$37</f>
        <v>8.6274497118913658</v>
      </c>
      <c r="AM144" s="461">
        <f>+[4]ส.ค.59!$N$37</f>
        <v>7.3642576357863749</v>
      </c>
      <c r="AN144" s="461">
        <f>+[4]ก.ย.59!$N$37</f>
        <v>10.383010900142905</v>
      </c>
      <c r="AO144" s="460">
        <f>+'[4]12M'!$N$37</f>
        <v>11.340032594005461</v>
      </c>
      <c r="AP144" s="453">
        <v>1011</v>
      </c>
      <c r="AQ144" s="275" t="s">
        <v>50</v>
      </c>
      <c r="AR144" s="461">
        <f>+[4]ต.ค.58!$N$37</f>
        <v>17.755561980885084</v>
      </c>
      <c r="AS144" s="461">
        <f>+'[4]2M'!$N$37</f>
        <v>16.573841851826874</v>
      </c>
      <c r="AT144" s="461">
        <f>+'[4]3M'!$N$37</f>
        <v>15.229130484692421</v>
      </c>
      <c r="AU144" s="461">
        <f>+'[4]4M'!$N$37</f>
        <v>12.573844599595162</v>
      </c>
      <c r="AV144" s="461">
        <f>+'[4]5M'!$N$37</f>
        <v>11.934619955680471</v>
      </c>
      <c r="AW144" s="461">
        <f>+'[4]6M'!$N$37</f>
        <v>14.12798338223805</v>
      </c>
      <c r="AX144" s="461">
        <f>+'[4]7M'!$N$37</f>
        <v>14.858356802319078</v>
      </c>
      <c r="AY144" s="461">
        <f>+'[4]8M'!$N$37</f>
        <v>13.260202332192645</v>
      </c>
      <c r="AZ144" s="461">
        <f>+'[4]9M'!$N$37</f>
        <v>12.104819207080645</v>
      </c>
      <c r="BA144" s="461">
        <f>+'[4]10M'!$N$37</f>
        <v>11.776388507997282</v>
      </c>
      <c r="BB144" s="461">
        <f>+'[4]11M'!$N$37</f>
        <v>11.415975383805231</v>
      </c>
      <c r="BC144" s="460">
        <f>+'[4]12M'!$N$37</f>
        <v>11.340032594005461</v>
      </c>
    </row>
    <row r="145" spans="1:55" s="273" customFormat="1" x14ac:dyDescent="0.2">
      <c r="A145" s="269">
        <v>1012</v>
      </c>
      <c r="B145" s="203" t="s">
        <v>51</v>
      </c>
      <c r="C145" s="435">
        <f>+[2]ต.ค.59!$O$39</f>
        <v>26.76990128495309</v>
      </c>
      <c r="D145" s="435">
        <f>+[2]พ.ย.59!$O$39</f>
        <v>26.894342485115391</v>
      </c>
      <c r="E145" s="435">
        <f>+[2]ธ.ค.59!$O$39</f>
        <v>27.263754370890819</v>
      </c>
      <c r="F145" s="435">
        <f>+'[2]3M'!$O$39</f>
        <v>26.9760471165003</v>
      </c>
      <c r="G145" s="435">
        <f>+[2]ม.ค.60!$O$39</f>
        <v>24.809726021266457</v>
      </c>
      <c r="H145" s="435">
        <f>+[2]ก.พ.60!$O$39</f>
        <v>23.826826583109266</v>
      </c>
      <c r="I145" s="435">
        <f>+[2]มี.ค.60!$O$39</f>
        <v>23.504461795872839</v>
      </c>
      <c r="J145" s="435">
        <f>+'[2]6M'!$O$39</f>
        <v>25.507662489858468</v>
      </c>
      <c r="K145" s="435">
        <f>+[2]เม.ย.60!$O$39</f>
        <v>23.857424063182904</v>
      </c>
      <c r="L145" s="435">
        <f>+[2]พ.ค.60!$O$39</f>
        <v>22.960384575230393</v>
      </c>
      <c r="M145" s="435">
        <f>+[2]มิ.ย.60!$O$39</f>
        <v>25.022024667627747</v>
      </c>
      <c r="N145" s="435">
        <f>+'[2]9M'!$O$39</f>
        <v>24.942476132914074</v>
      </c>
      <c r="O145" s="435">
        <f>+[2]ก.ค.60!$O$39</f>
        <v>24.002712737463487</v>
      </c>
      <c r="P145" s="435">
        <f>+[2]ส.ค.60!$O$39</f>
        <v>23.66024504952394</v>
      </c>
      <c r="Q145" s="435">
        <f>+[2]ก.ย.60!$O$39</f>
        <v>22.742401398561611</v>
      </c>
      <c r="R145" s="436">
        <f>+'[2]12M'!$O$39</f>
        <v>24.57203069321703</v>
      </c>
      <c r="S145" s="270"/>
      <c r="T145" s="271">
        <v>1012</v>
      </c>
      <c r="U145" s="272" t="s">
        <v>51</v>
      </c>
      <c r="V145" s="446">
        <v>24.999968345414832</v>
      </c>
      <c r="W145" s="457"/>
      <c r="X145" s="453">
        <v>1012</v>
      </c>
      <c r="Y145" s="275" t="s">
        <v>51</v>
      </c>
      <c r="Z145" s="461">
        <f>+[4]ต.ค.58!$O$37</f>
        <v>26.179851517344094</v>
      </c>
      <c r="AA145" s="461">
        <f>+[4]พ.ย.58!$O$37</f>
        <v>26.025539361789395</v>
      </c>
      <c r="AB145" s="461">
        <f>+[4]ธ.ค.58!$O$37</f>
        <v>25.84330352769965</v>
      </c>
      <c r="AC145" s="461">
        <f>+'[4]3M'!$O$37</f>
        <v>26.015981925733016</v>
      </c>
      <c r="AD145" s="461">
        <f>+[4]ม.ค.59!$O$37</f>
        <v>25.542182211423675</v>
      </c>
      <c r="AE145" s="461">
        <f>+[4]ก.พ.59!$O$37</f>
        <v>25.525932421537984</v>
      </c>
      <c r="AF145" s="461">
        <f>+[4]มี.ค.59!$O$37</f>
        <v>25.910197332284902</v>
      </c>
      <c r="AG145" s="461">
        <f>+'[4]6M'!$O$37</f>
        <v>25.838581743500143</v>
      </c>
      <c r="AH145" s="461">
        <f>+[4]เม.ย.59!$O$37</f>
        <v>21.474738925527078</v>
      </c>
      <c r="AI145" s="461">
        <f>+[4]พ.ค.59!$O$37</f>
        <v>18.40836330579819</v>
      </c>
      <c r="AJ145" s="461">
        <f>+[4]มิ.ย.59!$O$37</f>
        <v>18.563932629848747</v>
      </c>
      <c r="AK145" s="461">
        <f>+'[4]9M'!$O$37</f>
        <v>23.586147769374442</v>
      </c>
      <c r="AL145" s="461">
        <f>+[4]ก.ค.59!$O$37</f>
        <v>28.570568340341829</v>
      </c>
      <c r="AM145" s="461">
        <f>+[4]ส.ค.59!$O$37</f>
        <v>25.199008836214066</v>
      </c>
      <c r="AN145" s="461">
        <f>+[4]ก.ย.59!$O$37</f>
        <v>30.887830208789918</v>
      </c>
      <c r="AO145" s="460">
        <f>+'[4]12M'!$O$37</f>
        <v>24.841221322193352</v>
      </c>
      <c r="AP145" s="453">
        <v>1012</v>
      </c>
      <c r="AQ145" s="275" t="s">
        <v>51</v>
      </c>
      <c r="AR145" s="461">
        <f>+[4]ต.ค.58!$O$37</f>
        <v>26.179851517344094</v>
      </c>
      <c r="AS145" s="461">
        <f>+'[4]2M'!$O$37</f>
        <v>26.101569836718667</v>
      </c>
      <c r="AT145" s="461">
        <f>+'[4]3M'!$O$37</f>
        <v>26.015981925733016</v>
      </c>
      <c r="AU145" s="461">
        <f>+'[4]4M'!$O$37</f>
        <v>25.898372161287604</v>
      </c>
      <c r="AV145" s="461">
        <f>+'[4]5M'!$O$37</f>
        <v>25.824724737490968</v>
      </c>
      <c r="AW145" s="461">
        <f>+'[4]6M'!$O$37</f>
        <v>25.838581743500143</v>
      </c>
      <c r="AX145" s="461">
        <f>+'[4]7M'!$O$37</f>
        <v>25.178224174051323</v>
      </c>
      <c r="AY145" s="461">
        <f>+'[4]8M'!$O$37</f>
        <v>24.239334686571254</v>
      </c>
      <c r="AZ145" s="461">
        <f>+'[4]9M'!$O$37</f>
        <v>23.586147769374442</v>
      </c>
      <c r="BA145" s="461">
        <f>+'[4]10M'!$O$37</f>
        <v>24.123487371126142</v>
      </c>
      <c r="BB145" s="461">
        <f>+'[4]11M'!$O$37</f>
        <v>24.21911175479206</v>
      </c>
      <c r="BC145" s="460">
        <f>+'[4]12M'!$O$37</f>
        <v>24.841221322193352</v>
      </c>
    </row>
    <row r="146" spans="1:55" s="273" customFormat="1" x14ac:dyDescent="0.2">
      <c r="A146" s="269">
        <v>1013</v>
      </c>
      <c r="B146" s="203" t="s">
        <v>52</v>
      </c>
      <c r="C146" s="435">
        <f>+[2]ต.ค.59!$P$39</f>
        <v>22.252525252525253</v>
      </c>
      <c r="D146" s="435">
        <f>+[2]พ.ย.59!$P$39</f>
        <v>22.292191435768263</v>
      </c>
      <c r="E146" s="435">
        <f>+[2]ธ.ค.59!$P$39</f>
        <v>23.203416978109985</v>
      </c>
      <c r="F146" s="435">
        <f>+'[2]3M'!$P$39</f>
        <v>22.571085988352174</v>
      </c>
      <c r="G146" s="435">
        <f>+[2]ม.ค.60!$P$39</f>
        <v>22.497570456754129</v>
      </c>
      <c r="H146" s="435">
        <f>+[2]ก.พ.60!$P$39</f>
        <v>22.810126582278482</v>
      </c>
      <c r="I146" s="435">
        <f>+[2]มี.ค.60!$P$39</f>
        <v>24.024570024570025</v>
      </c>
      <c r="J146" s="435">
        <f>+'[2]6M'!$P$39</f>
        <v>22.846463967747354</v>
      </c>
      <c r="K146" s="435">
        <f>+[2]เม.ย.60!$P$39</f>
        <v>25.732638888888886</v>
      </c>
      <c r="L146" s="435">
        <f>+[2]พ.ค.60!$P$39</f>
        <v>25.840155945419102</v>
      </c>
      <c r="M146" s="435">
        <f>+[2]มิ.ย.60!$P$39</f>
        <v>25.401301518438181</v>
      </c>
      <c r="N146" s="435">
        <f>+'[2]9M'!$P$39</f>
        <v>23.959605209605208</v>
      </c>
      <c r="O146" s="435">
        <f>+[2]ก.ค.60!$P$39</f>
        <v>25.299107142857142</v>
      </c>
      <c r="P146" s="435">
        <f>+[2]ส.ค.60!$P$39</f>
        <v>24.314814814814813</v>
      </c>
      <c r="Q146" s="435">
        <f>+[2]ก.ย.60!$P$39</f>
        <v>24.04035874439462</v>
      </c>
      <c r="R146" s="436">
        <f>+'[2]12M'!$P$39</f>
        <v>24.109792284866469</v>
      </c>
      <c r="S146" s="270"/>
      <c r="T146" s="271">
        <v>1013</v>
      </c>
      <c r="U146" s="272" t="s">
        <v>52</v>
      </c>
      <c r="V146" s="446">
        <v>22.999112003397553</v>
      </c>
      <c r="W146" s="457"/>
      <c r="X146" s="453">
        <v>1013</v>
      </c>
      <c r="Y146" s="275" t="s">
        <v>52</v>
      </c>
      <c r="Z146" s="461">
        <f>+[4]ต.ค.58!$P$37</f>
        <v>24.788255223037829</v>
      </c>
      <c r="AA146" s="461">
        <f>+[4]พ.ย.58!$P$37</f>
        <v>24.4462452728255</v>
      </c>
      <c r="AB146" s="461">
        <f>+[4]ธ.ค.58!$P$37</f>
        <v>24.367583943448622</v>
      </c>
      <c r="AC146" s="461">
        <f>+'[4]3M'!$P$37</f>
        <v>24.526550647032575</v>
      </c>
      <c r="AD146" s="461">
        <f>+[4]ม.ค.59!$P$37</f>
        <v>24.403622250970248</v>
      </c>
      <c r="AE146" s="461">
        <f>+[4]ก.พ.59!$P$37</f>
        <v>24.80771314050482</v>
      </c>
      <c r="AF146" s="461">
        <f>+[4]มี.ค.59!$P$37</f>
        <v>25.071868583162214</v>
      </c>
      <c r="AG146" s="461">
        <f>+'[4]6M'!$P$37</f>
        <v>24.645164707128483</v>
      </c>
      <c r="AH146" s="461">
        <f>+[4]เม.ย.59!$P$37</f>
        <v>23.843774168600156</v>
      </c>
      <c r="AI146" s="461">
        <f>+[4]พ.ค.59!$P$37</f>
        <v>22.934280639431616</v>
      </c>
      <c r="AJ146" s="461">
        <f>+[4]มิ.ย.59!$P$37</f>
        <v>22.787644787644787</v>
      </c>
      <c r="AK146" s="461">
        <f>+'[4]9M'!$P$37</f>
        <v>24.039606215256569</v>
      </c>
      <c r="AL146" s="461">
        <f>+[4]ก.ค.59!$P$37</f>
        <v>21.989473684210527</v>
      </c>
      <c r="AM146" s="461">
        <f>+[4]ส.ค.59!$P$37</f>
        <v>21.622187336473051</v>
      </c>
      <c r="AN146" s="461">
        <f>+[4]ก.ย.59!$P$37</f>
        <v>21.201923076923077</v>
      </c>
      <c r="AO146" s="460">
        <f>+'[4]12M'!$P$37</f>
        <v>23.467744494510377</v>
      </c>
      <c r="AP146" s="453">
        <v>1013</v>
      </c>
      <c r="AQ146" s="275" t="s">
        <v>52</v>
      </c>
      <c r="AR146" s="461">
        <f>+[4]ต.ค.58!$P$37</f>
        <v>24.788255223037829</v>
      </c>
      <c r="AS146" s="461">
        <f>+'[4]2M'!$P$37</f>
        <v>24.613473219215905</v>
      </c>
      <c r="AT146" s="461">
        <f>+'[4]3M'!$P$37</f>
        <v>24.526550647032575</v>
      </c>
      <c r="AU146" s="461">
        <f>+'[4]4M'!$P$37</f>
        <v>24.495023224950234</v>
      </c>
      <c r="AV146" s="461">
        <f>+'[4]5M'!$P$37</f>
        <v>24.556559928367371</v>
      </c>
      <c r="AW146" s="461">
        <f>+'[4]6M'!$P$37</f>
        <v>24.645164707128483</v>
      </c>
      <c r="AX146" s="461">
        <f>+'[4]7M'!$P$37</f>
        <v>24.496234333678281</v>
      </c>
      <c r="AY146" s="461">
        <f>+'[4]8M'!$P$37</f>
        <v>24.233422194594205</v>
      </c>
      <c r="AZ146" s="461">
        <f>+'[4]9M'!$P$37</f>
        <v>24.039606215256569</v>
      </c>
      <c r="BA146" s="461">
        <f>+'[4]10M'!$P$37</f>
        <v>23.856042827117559</v>
      </c>
      <c r="BB146" s="461">
        <f>+'[4]11M'!$P$37</f>
        <v>23.671491319084183</v>
      </c>
      <c r="BC146" s="460">
        <f>+'[4]12M'!$P$37</f>
        <v>23.467744494510377</v>
      </c>
    </row>
    <row r="147" spans="1:55" s="273" customFormat="1" x14ac:dyDescent="0.2">
      <c r="A147" s="269">
        <v>1014</v>
      </c>
      <c r="B147" s="203" t="s">
        <v>53</v>
      </c>
      <c r="C147" s="435">
        <f>+[2]ต.ค.59!$Q$39</f>
        <v>28.842507682262092</v>
      </c>
      <c r="D147" s="435">
        <f>+[2]พ.ย.59!$Q$39</f>
        <v>28.856398098542265</v>
      </c>
      <c r="E147" s="435">
        <f>+[2]ธ.ค.59!$Q$39</f>
        <v>31.381981973540508</v>
      </c>
      <c r="F147" s="435">
        <f>+'[2]3M'!$Q$39</f>
        <v>29.729152295685097</v>
      </c>
      <c r="G147" s="435">
        <f>+[2]ม.ค.60!$Q$39</f>
        <v>22.393565937350871</v>
      </c>
      <c r="H147" s="435">
        <f>+[2]ก.พ.60!$Q$39</f>
        <v>23.731223400835805</v>
      </c>
      <c r="I147" s="435">
        <f>+[2]มี.ค.60!$Q$39</f>
        <v>34.942396415380038</v>
      </c>
      <c r="J147" s="435">
        <f>+'[2]6M'!$Q$39</f>
        <v>28.567184899575931</v>
      </c>
      <c r="K147" s="435">
        <f>+[2]เม.ย.60!$Q$39</f>
        <v>22.20448421506477</v>
      </c>
      <c r="L147" s="435">
        <f>+[2]พ.ค.60!$Q$39</f>
        <v>24.009095656578154</v>
      </c>
      <c r="M147" s="435">
        <f>+[2]มิ.ย.60!$Q$39</f>
        <v>24.955249259073025</v>
      </c>
      <c r="N147" s="435">
        <f>+'[2]9M'!$Q$39</f>
        <v>26.908604343804633</v>
      </c>
      <c r="O147" s="435">
        <f>+[2]ก.ค.60!$Q$39</f>
        <v>27.033613570935827</v>
      </c>
      <c r="P147" s="435">
        <f>+[2]ส.ค.60!$Q$39</f>
        <v>26.733796052350399</v>
      </c>
      <c r="Q147" s="435">
        <f>+[2]ก.ย.60!$Q$39</f>
        <v>25.87810659034006</v>
      </c>
      <c r="R147" s="436">
        <f>+'[2]12M'!$Q$39</f>
        <v>26.818619300534142</v>
      </c>
      <c r="S147" s="270"/>
      <c r="T147" s="271">
        <v>1014</v>
      </c>
      <c r="U147" s="272" t="s">
        <v>53</v>
      </c>
      <c r="V147" s="446">
        <v>20.499962635533088</v>
      </c>
      <c r="W147" s="457"/>
      <c r="X147" s="453">
        <v>1014</v>
      </c>
      <c r="Y147" s="275" t="s">
        <v>53</v>
      </c>
      <c r="Z147" s="461">
        <f>+[4]ต.ค.58!$Q$37</f>
        <v>22.373847256140401</v>
      </c>
      <c r="AA147" s="461">
        <f>+[4]พ.ย.58!$Q$37</f>
        <v>20.635556907762606</v>
      </c>
      <c r="AB147" s="461">
        <f>+[4]ธ.ค.58!$Q$37</f>
        <v>24.422129669795289</v>
      </c>
      <c r="AC147" s="461">
        <f>+'[4]3M'!$Q$37</f>
        <v>22.497338634328866</v>
      </c>
      <c r="AD147" s="461">
        <f>+[4]ม.ค.59!$Q$37</f>
        <v>23.045075257018063</v>
      </c>
      <c r="AE147" s="461">
        <f>+[4]ก.พ.59!$Q$37</f>
        <v>20.658656703886297</v>
      </c>
      <c r="AF147" s="461">
        <f>+[4]มี.ค.59!$Q$37</f>
        <v>29.020595180149865</v>
      </c>
      <c r="AG147" s="461">
        <f>+'[4]6M'!$Q$37</f>
        <v>23.443802203289383</v>
      </c>
      <c r="AH147" s="461">
        <f>+[4]เม.ย.59!$Q$37</f>
        <v>23.297781621988175</v>
      </c>
      <c r="AI147" s="461">
        <f>+[4]พ.ค.59!$Q$37</f>
        <v>12.062088935188424</v>
      </c>
      <c r="AJ147" s="461">
        <f>+[4]มิ.ย.59!$Q$37</f>
        <v>12.849463287444696</v>
      </c>
      <c r="AK147" s="461">
        <f>+'[4]9M'!$Q$37</f>
        <v>20.943508835144875</v>
      </c>
      <c r="AL147" s="461">
        <f>+[4]ก.ค.59!$Q$37</f>
        <v>19.206398763893581</v>
      </c>
      <c r="AM147" s="461">
        <f>+[4]ส.ค.59!$Q$37</f>
        <v>29.448890625202694</v>
      </c>
      <c r="AN147" s="461">
        <f>+[4]ก.ย.59!$Q$37</f>
        <v>20.265066409178083</v>
      </c>
      <c r="AO147" s="460">
        <f>+'[4]12M'!$Q$37</f>
        <v>21.470025654279283</v>
      </c>
      <c r="AP147" s="453">
        <v>1014</v>
      </c>
      <c r="AQ147" s="275" t="s">
        <v>53</v>
      </c>
      <c r="AR147" s="461">
        <f>+[4]ต.ค.58!$Q$37</f>
        <v>22.373847256140401</v>
      </c>
      <c r="AS147" s="461">
        <f>+'[4]2M'!$Q$37</f>
        <v>21.506399501527319</v>
      </c>
      <c r="AT147" s="461">
        <f>+'[4]3M'!$Q$37</f>
        <v>22.497338634328866</v>
      </c>
      <c r="AU147" s="461">
        <f>+'[4]4M'!$Q$37</f>
        <v>22.636226525514321</v>
      </c>
      <c r="AV147" s="461">
        <f>+'[4]5M'!$Q$37</f>
        <v>22.256191741669049</v>
      </c>
      <c r="AW147" s="461">
        <f>+'[4]6M'!$Q$37</f>
        <v>23.443802203289383</v>
      </c>
      <c r="AX147" s="461">
        <f>+'[4]7M'!$Q$37</f>
        <v>23.421023335350981</v>
      </c>
      <c r="AY147" s="461">
        <f>+'[4]8M'!$Q$37</f>
        <v>21.928575317083716</v>
      </c>
      <c r="AZ147" s="461">
        <f>+'[4]9M'!$Q$37</f>
        <v>20.943508835144875</v>
      </c>
      <c r="BA147" s="461">
        <f>+'[4]10M'!$Q$37</f>
        <v>20.767395828390008</v>
      </c>
      <c r="BB147" s="461">
        <f>+'[4]11M'!$Q$37</f>
        <v>21.577124195505924</v>
      </c>
      <c r="BC147" s="460">
        <f>+'[4]12M'!$Q$37</f>
        <v>21.470025654279283</v>
      </c>
    </row>
    <row r="148" spans="1:55" s="273" customFormat="1" x14ac:dyDescent="0.2">
      <c r="A148" s="269">
        <v>1015</v>
      </c>
      <c r="B148" s="203" t="s">
        <v>54</v>
      </c>
      <c r="C148" s="435">
        <f>+[2]ต.ค.59!$R$39</f>
        <v>19.272333228965191</v>
      </c>
      <c r="D148" s="435">
        <f>+[2]พ.ย.59!$R$39</f>
        <v>19.037527123305239</v>
      </c>
      <c r="E148" s="435">
        <f>+[2]ธ.ค.59!$R$39</f>
        <v>12.479742210583677</v>
      </c>
      <c r="F148" s="435">
        <f>+'[2]3M'!$R$39</f>
        <v>17.061498593658801</v>
      </c>
      <c r="G148" s="435">
        <f>+[2]ม.ค.60!$R$39</f>
        <v>14.92727777565643</v>
      </c>
      <c r="H148" s="435">
        <f>+[2]ก.พ.60!$R$39</f>
        <v>16.355738961982404</v>
      </c>
      <c r="I148" s="435">
        <f>+[2]มี.ค.60!$R$39</f>
        <v>18.032013756342543</v>
      </c>
      <c r="J148" s="435">
        <f>+'[2]6M'!$R$39</f>
        <v>16.742777061566137</v>
      </c>
      <c r="K148" s="435">
        <f>+[2]เม.ย.60!$R$39</f>
        <v>9.5200280341609798</v>
      </c>
      <c r="L148" s="435">
        <f>+[2]พ.ค.60!$R$39</f>
        <v>3.5290294162395903</v>
      </c>
      <c r="M148" s="435">
        <f>+[2]มิ.ย.60!$R$39</f>
        <v>13.130297454118454</v>
      </c>
      <c r="N148" s="435">
        <f>+'[2]9M'!$R$39</f>
        <v>14.019870515139354</v>
      </c>
      <c r="O148" s="435">
        <f>+[2]ก.ค.60!$R$39</f>
        <v>10.245909897197759</v>
      </c>
      <c r="P148" s="435">
        <f>+[2]ส.ค.60!$R$39</f>
        <v>15.14868873971743</v>
      </c>
      <c r="Q148" s="435">
        <f>+[2]ก.ย.60!$R$39</f>
        <v>12.039777247414483</v>
      </c>
      <c r="R148" s="436">
        <f>+'[2]12M'!$R$39</f>
        <v>13.641944380662977</v>
      </c>
      <c r="S148" s="270"/>
      <c r="T148" s="271">
        <v>1015</v>
      </c>
      <c r="U148" s="272" t="s">
        <v>54</v>
      </c>
      <c r="V148" s="446">
        <v>18.500222979645145</v>
      </c>
      <c r="W148" s="457"/>
      <c r="X148" s="453">
        <v>1015</v>
      </c>
      <c r="Y148" s="275" t="s">
        <v>54</v>
      </c>
      <c r="Z148" s="461">
        <f>+[4]ต.ค.58!$R$37</f>
        <v>29.691668143571693</v>
      </c>
      <c r="AA148" s="461">
        <f>+[4]พ.ย.58!$R$37</f>
        <v>23.346036659670087</v>
      </c>
      <c r="AB148" s="461">
        <f>+[4]ธ.ค.58!$R$37</f>
        <v>22.467148707326576</v>
      </c>
      <c r="AC148" s="461">
        <f>+'[4]3M'!$R$37</f>
        <v>25.211629882832042</v>
      </c>
      <c r="AD148" s="461">
        <f>+[4]ม.ค.59!$R$37</f>
        <v>18.213629891212598</v>
      </c>
      <c r="AE148" s="461">
        <f>+[4]ก.พ.59!$R$37</f>
        <v>17.10952040359933</v>
      </c>
      <c r="AF148" s="461">
        <f>+[4]มี.ค.59!$R$37</f>
        <v>14.013588568347272</v>
      </c>
      <c r="AG148" s="461">
        <f>+'[4]6M'!$R$37</f>
        <v>21.086357257360262</v>
      </c>
      <c r="AH148" s="461">
        <f>+[4]เม.ย.59!$R$37</f>
        <v>15.067147468922013</v>
      </c>
      <c r="AI148" s="461">
        <f>+[4]พ.ค.59!$R$37</f>
        <v>10.808094136640948</v>
      </c>
      <c r="AJ148" s="461">
        <f>+[4]มิ.ย.59!$R$37</f>
        <v>6.0615472598552493</v>
      </c>
      <c r="AK148" s="461">
        <f>+'[4]9M'!$R$37</f>
        <v>17.384828177675786</v>
      </c>
      <c r="AL148" s="461">
        <f>+[4]ก.ค.59!$R$37</f>
        <v>14.057667743595578</v>
      </c>
      <c r="AM148" s="461">
        <f>+[4]ส.ค.59!$R$37</f>
        <v>15.018637409572882</v>
      </c>
      <c r="AN148" s="461">
        <f>+[4]ก.ย.59!$R$37</f>
        <v>16.932989620722779</v>
      </c>
      <c r="AO148" s="460">
        <f>+'[4]12M'!$R$37</f>
        <v>16.890470213330328</v>
      </c>
      <c r="AP148" s="453">
        <v>1015</v>
      </c>
      <c r="AQ148" s="275" t="s">
        <v>54</v>
      </c>
      <c r="AR148" s="461">
        <f>+[4]ต.ค.58!$R$37</f>
        <v>29.691668143571693</v>
      </c>
      <c r="AS148" s="461">
        <f>+'[4]2M'!$R$37</f>
        <v>26.551498699181302</v>
      </c>
      <c r="AT148" s="461">
        <f>+'[4]3M'!$R$37</f>
        <v>25.211629882832042</v>
      </c>
      <c r="AU148" s="461">
        <f>+'[4]4M'!$R$37</f>
        <v>23.520490584226671</v>
      </c>
      <c r="AV148" s="461">
        <f>+'[4]5M'!$R$37</f>
        <v>22.354621535487805</v>
      </c>
      <c r="AW148" s="461">
        <f>+'[4]6M'!$R$37</f>
        <v>21.086357257360262</v>
      </c>
      <c r="AX148" s="461">
        <f>+'[4]7M'!$R$37</f>
        <v>20.146267086485022</v>
      </c>
      <c r="AY148" s="461">
        <f>+'[4]8M'!$R$37</f>
        <v>18.733435185617509</v>
      </c>
      <c r="AZ148" s="461">
        <f>+'[4]9M'!$R$37</f>
        <v>17.384828177675786</v>
      </c>
      <c r="BA148" s="461">
        <f>+'[4]10M'!$R$37</f>
        <v>17.060879921152093</v>
      </c>
      <c r="BB148" s="461">
        <f>+'[4]11M'!$R$37</f>
        <v>16.886807704229557</v>
      </c>
      <c r="BC148" s="460">
        <f>+'[4]12M'!$R$37</f>
        <v>16.890470213330328</v>
      </c>
    </row>
    <row r="149" spans="1:55" s="273" customFormat="1" x14ac:dyDescent="0.2">
      <c r="A149" s="269">
        <v>1016</v>
      </c>
      <c r="B149" s="203" t="s">
        <v>55</v>
      </c>
      <c r="C149" s="435">
        <f>+[2]ต.ค.59!$S$39</f>
        <v>25.796135395996689</v>
      </c>
      <c r="D149" s="435">
        <f>+[2]พ.ย.59!$S$39</f>
        <v>30.61534532938272</v>
      </c>
      <c r="E149" s="435">
        <f>+[2]ธ.ค.59!$S$39</f>
        <v>37.407361624889923</v>
      </c>
      <c r="F149" s="435">
        <f>+'[2]3M'!$S$39</f>
        <v>31.605855354305078</v>
      </c>
      <c r="G149" s="435">
        <f>+[2]ม.ค.60!$S$39</f>
        <v>30.378038775926264</v>
      </c>
      <c r="H149" s="435">
        <f>+[2]ก.พ.60!$S$39</f>
        <v>32.496691861889353</v>
      </c>
      <c r="I149" s="435">
        <f>+[2]มี.ค.60!$S$39</f>
        <v>32.002422194522396</v>
      </c>
      <c r="J149" s="435">
        <f>+'[2]6M'!$S$39</f>
        <v>31.609892077990942</v>
      </c>
      <c r="K149" s="435">
        <f>+[2]เม.ย.60!$S$39</f>
        <v>19.589475946512504</v>
      </c>
      <c r="L149" s="435">
        <f>+[2]พ.ค.60!$S$39</f>
        <v>10.578363573324642</v>
      </c>
      <c r="M149" s="435">
        <f>+[2]มิ.ย.60!$S$39</f>
        <v>24.100072640332705</v>
      </c>
      <c r="N149" s="435">
        <f>+'[2]9M'!$S$39</f>
        <v>27.149895268064071</v>
      </c>
      <c r="O149" s="435">
        <f>+[2]ก.ค.60!$S$39</f>
        <v>26.202770414655792</v>
      </c>
      <c r="P149" s="435">
        <f>+[2]ส.ค.60!$S$39</f>
        <v>24.97238863415777</v>
      </c>
      <c r="Q149" s="435">
        <f>+[2]ก.ย.60!$S$39</f>
        <v>22.005908063727745</v>
      </c>
      <c r="R149" s="436">
        <f>+'[2]12M'!$S$39</f>
        <v>26.516697018911522</v>
      </c>
      <c r="S149" s="270"/>
      <c r="T149" s="271">
        <v>1016</v>
      </c>
      <c r="U149" s="272" t="s">
        <v>55</v>
      </c>
      <c r="V149" s="446">
        <v>25.999958668719454</v>
      </c>
      <c r="W149" s="457"/>
      <c r="X149" s="453">
        <v>1016</v>
      </c>
      <c r="Y149" s="275" t="s">
        <v>55</v>
      </c>
      <c r="Z149" s="461">
        <f>+[4]ต.ค.58!$S$37</f>
        <v>26.03203198804842</v>
      </c>
      <c r="AA149" s="461">
        <f>+[4]พ.ย.58!$S$37</f>
        <v>22.461963640551005</v>
      </c>
      <c r="AB149" s="461">
        <f>+[4]ธ.ค.58!$S$37</f>
        <v>24.925352784784238</v>
      </c>
      <c r="AC149" s="461">
        <f>+'[4]3M'!$S$37</f>
        <v>24.472567843159549</v>
      </c>
      <c r="AD149" s="461">
        <f>+[4]ม.ค.59!$S$37</f>
        <v>26.451741913702882</v>
      </c>
      <c r="AE149" s="461">
        <f>+[4]ก.พ.59!$S$37</f>
        <v>20.918691690565218</v>
      </c>
      <c r="AF149" s="461">
        <f>+[4]มี.ค.59!$S$37</f>
        <v>31.805508891318823</v>
      </c>
      <c r="AG149" s="461">
        <f>+'[4]6M'!$S$37</f>
        <v>25.629919546241265</v>
      </c>
      <c r="AH149" s="461">
        <f>+[4]เม.ย.59!$S$37</f>
        <v>18.096515072844443</v>
      </c>
      <c r="AI149" s="461">
        <f>+[4]พ.ค.59!$S$37</f>
        <v>11.524114011345736</v>
      </c>
      <c r="AJ149" s="461">
        <f>+[4]มิ.ย.59!$S$37</f>
        <v>5.144046678417312</v>
      </c>
      <c r="AK149" s="461">
        <f>+'[4]9M'!$S$37</f>
        <v>20.895343162561087</v>
      </c>
      <c r="AL149" s="461">
        <f>+[4]ก.ค.59!$S$37</f>
        <v>18.224468775035284</v>
      </c>
      <c r="AM149" s="461">
        <f>+[4]ส.ค.59!$S$37</f>
        <v>31.472871149784037</v>
      </c>
      <c r="AN149" s="461">
        <f>+[4]ก.ย.59!$S$37</f>
        <v>28.920034439018615</v>
      </c>
      <c r="AO149" s="460">
        <f>+'[4]12M'!$S$37</f>
        <v>22.320603779494082</v>
      </c>
      <c r="AP149" s="453">
        <v>1016</v>
      </c>
      <c r="AQ149" s="275" t="s">
        <v>55</v>
      </c>
      <c r="AR149" s="461">
        <f>+[4]ต.ค.58!$S$37</f>
        <v>26.03203198804842</v>
      </c>
      <c r="AS149" s="461">
        <f>+'[4]2M'!$S$37</f>
        <v>24.23147983462615</v>
      </c>
      <c r="AT149" s="461">
        <f>+'[4]3M'!$S$37</f>
        <v>24.472567843159549</v>
      </c>
      <c r="AU149" s="461">
        <f>+'[4]4M'!$S$37</f>
        <v>25.001615721963926</v>
      </c>
      <c r="AV149" s="461">
        <f>+'[4]5M'!$S$37</f>
        <v>24.213937149484284</v>
      </c>
      <c r="AW149" s="461">
        <f>+'[4]6M'!$S$37</f>
        <v>25.629919546241265</v>
      </c>
      <c r="AX149" s="461">
        <f>+'[4]7M'!$S$37</f>
        <v>24.445636057740334</v>
      </c>
      <c r="AY149" s="461">
        <f>+'[4]8M'!$S$37</f>
        <v>22.602236231026168</v>
      </c>
      <c r="AZ149" s="461">
        <f>+'[4]9M'!$S$37</f>
        <v>20.895343162561087</v>
      </c>
      <c r="BA149" s="461">
        <f>+'[4]10M'!$S$37</f>
        <v>20.658388624822479</v>
      </c>
      <c r="BB149" s="461">
        <f>+'[4]11M'!$S$37</f>
        <v>21.706805418612305</v>
      </c>
      <c r="BC149" s="460">
        <f>+'[4]12M'!$S$37</f>
        <v>22.320603779494082</v>
      </c>
    </row>
    <row r="150" spans="1:55" s="273" customFormat="1" x14ac:dyDescent="0.2">
      <c r="A150" s="269">
        <v>1017</v>
      </c>
      <c r="B150" s="203" t="s">
        <v>56</v>
      </c>
      <c r="C150" s="435">
        <f>+[2]ต.ค.59!$T$39</f>
        <v>43.385582665365618</v>
      </c>
      <c r="D150" s="435">
        <f>+[2]พ.ย.59!$T$39</f>
        <v>37.833037563197223</v>
      </c>
      <c r="E150" s="435">
        <f>+[2]ธ.ค.59!$T$39</f>
        <v>42.288731572478817</v>
      </c>
      <c r="F150" s="435">
        <f>+'[2]3M'!$T$39</f>
        <v>41.214544944867868</v>
      </c>
      <c r="G150" s="435">
        <f>+[2]ม.ค.60!$T$39</f>
        <v>35.811339341085727</v>
      </c>
      <c r="H150" s="435">
        <f>+[2]ก.พ.60!$T$39</f>
        <v>33.663125799621177</v>
      </c>
      <c r="I150" s="435">
        <f>+[2]มี.ค.60!$T$39</f>
        <v>41.583061487909106</v>
      </c>
      <c r="J150" s="435">
        <f>+'[2]6M'!$T$39</f>
        <v>39.228402844877344</v>
      </c>
      <c r="K150" s="435">
        <f>+[2]เม.ย.60!$T$39</f>
        <v>28.962756724920379</v>
      </c>
      <c r="L150" s="435">
        <f>+[2]พ.ค.60!$T$39</f>
        <v>31.765605276353202</v>
      </c>
      <c r="M150" s="435">
        <f>+[2]มิ.ย.60!$T$39</f>
        <v>30.291334945846454</v>
      </c>
      <c r="N150" s="435">
        <f>+'[2]9M'!$T$39</f>
        <v>36.325665635655305</v>
      </c>
      <c r="O150" s="435">
        <f>+[2]ก.ค.60!$T$39</f>
        <v>34.730014432922566</v>
      </c>
      <c r="P150" s="435">
        <f>+[2]ส.ค.60!$T$39</f>
        <v>34.268856937503692</v>
      </c>
      <c r="Q150" s="435">
        <f>+[2]ก.ย.60!$T$39</f>
        <v>35.408452463867349</v>
      </c>
      <c r="R150" s="436">
        <f>+'[2]12M'!$T$39</f>
        <v>35.954394220708352</v>
      </c>
      <c r="S150" s="270"/>
      <c r="T150" s="271">
        <v>1017</v>
      </c>
      <c r="U150" s="272" t="s">
        <v>56</v>
      </c>
      <c r="V150" s="446">
        <v>29.000139722611074</v>
      </c>
      <c r="W150" s="457"/>
      <c r="X150" s="453">
        <v>1017</v>
      </c>
      <c r="Y150" s="275" t="s">
        <v>56</v>
      </c>
      <c r="Z150" s="461">
        <f>+[4]ต.ค.58!$T$37</f>
        <v>32.662381677708197</v>
      </c>
      <c r="AA150" s="461">
        <f>+[4]พ.ย.58!$T$37</f>
        <v>40.019949566529064</v>
      </c>
      <c r="AB150" s="461">
        <f>+[4]ธ.ค.58!$T$37</f>
        <v>37.28531600286297</v>
      </c>
      <c r="AC150" s="461">
        <f>+'[4]3M'!$T$37</f>
        <v>36.796323180372077</v>
      </c>
      <c r="AD150" s="461">
        <f>+[4]ม.ค.59!$T$37</f>
        <v>37.366209917300111</v>
      </c>
      <c r="AE150" s="461">
        <f>+[4]ก.พ.59!$T$37</f>
        <v>32.741956649307923</v>
      </c>
      <c r="AF150" s="461">
        <f>+[4]มี.ค.59!$T$37</f>
        <v>41.697433898757886</v>
      </c>
      <c r="AG150" s="461">
        <f>+'[4]6M'!$T$37</f>
        <v>37.11807440005596</v>
      </c>
      <c r="AH150" s="461">
        <f>+[4]เม.ย.59!$T$37</f>
        <v>33.069055798871986</v>
      </c>
      <c r="AI150" s="461">
        <f>+[4]พ.ค.59!$T$37</f>
        <v>27.542097087151131</v>
      </c>
      <c r="AJ150" s="461">
        <f>+[4]มิ.ย.59!$T$37</f>
        <v>34.621957921581384</v>
      </c>
      <c r="AK150" s="461">
        <f>+'[4]9M'!$T$37</f>
        <v>35.241032084228451</v>
      </c>
      <c r="AL150" s="461">
        <f>+[4]ก.ค.59!$T$37</f>
        <v>35.937357451478441</v>
      </c>
      <c r="AM150" s="461">
        <f>+[4]ส.ค.59!$T$37</f>
        <v>41.000762212041195</v>
      </c>
      <c r="AN150" s="461">
        <f>+[4]ก.ย.59!$T$37</f>
        <v>36.928314991268792</v>
      </c>
      <c r="AO150" s="460">
        <f>+'[4]12M'!$T$37</f>
        <v>35.918427646885917</v>
      </c>
      <c r="AP150" s="453">
        <v>1017</v>
      </c>
      <c r="AQ150" s="275" t="s">
        <v>56</v>
      </c>
      <c r="AR150" s="461">
        <f>+[4]ต.ค.58!$T$37</f>
        <v>32.662381677708197</v>
      </c>
      <c r="AS150" s="461">
        <f>+'[4]2M'!$T$37</f>
        <v>36.541911891839604</v>
      </c>
      <c r="AT150" s="461">
        <f>+'[4]3M'!$T$37</f>
        <v>36.796323180372077</v>
      </c>
      <c r="AU150" s="461">
        <f>+'[4]4M'!$T$37</f>
        <v>36.940360822881431</v>
      </c>
      <c r="AV150" s="461">
        <f>+'[4]5M'!$T$37</f>
        <v>36.146623551629261</v>
      </c>
      <c r="AW150" s="461">
        <f>+'[4]6M'!$T$37</f>
        <v>37.11807440005596</v>
      </c>
      <c r="AX150" s="461">
        <f>+'[4]7M'!$T$37</f>
        <v>36.495562648100268</v>
      </c>
      <c r="AY150" s="461">
        <f>+'[4]8M'!$T$37</f>
        <v>35.323663414915792</v>
      </c>
      <c r="AZ150" s="461">
        <f>+'[4]9M'!$T$37</f>
        <v>35.241032084228451</v>
      </c>
      <c r="BA150" s="461">
        <f>+'[4]10M'!$T$37</f>
        <v>35.312069699784452</v>
      </c>
      <c r="BB150" s="461">
        <f>+'[4]11M'!$T$37</f>
        <v>35.828149470199918</v>
      </c>
      <c r="BC150" s="460">
        <f>+'[4]12M'!$T$37</f>
        <v>35.918427646885917</v>
      </c>
    </row>
    <row r="151" spans="1:55" s="273" customFormat="1" x14ac:dyDescent="0.2">
      <c r="A151" s="269">
        <v>1018</v>
      </c>
      <c r="B151" s="203" t="s">
        <v>57</v>
      </c>
      <c r="C151" s="435">
        <f>+[2]ต.ค.59!$U$39</f>
        <v>20.800957980318184</v>
      </c>
      <c r="D151" s="435">
        <f>+[2]พ.ย.59!$U$39</f>
        <v>20.681045904801394</v>
      </c>
      <c r="E151" s="435">
        <f>+[2]ธ.ค.59!$U$39</f>
        <v>22.119807608220377</v>
      </c>
      <c r="F151" s="435">
        <f>+'[2]3M'!$U$39</f>
        <v>21.209760854312592</v>
      </c>
      <c r="G151" s="435">
        <f>+[2]ม.ค.60!$U$39</f>
        <v>20.435114503816791</v>
      </c>
      <c r="H151" s="435">
        <f>+[2]ก.พ.60!$U$39</f>
        <v>20.905448348915396</v>
      </c>
      <c r="I151" s="435">
        <f>+[2]มี.ค.60!$U$39</f>
        <v>21.470093043863535</v>
      </c>
      <c r="J151" s="435">
        <f>+'[2]6M'!$U$39</f>
        <v>21.069176339652408</v>
      </c>
      <c r="K151" s="435">
        <f>+[2]เม.ย.60!$U$39</f>
        <v>20.282439623413836</v>
      </c>
      <c r="L151" s="435">
        <f>+[2]พ.ค.60!$U$39</f>
        <v>20.461382647511158</v>
      </c>
      <c r="M151" s="435">
        <f>+[2]มิ.ย.60!$U$39</f>
        <v>20.499754621298869</v>
      </c>
      <c r="N151" s="435">
        <f>+'[2]9M'!$U$39</f>
        <v>20.827364466940438</v>
      </c>
      <c r="O151" s="435">
        <f>+[2]ก.ค.60!$U$39</f>
        <v>21.802553617624966</v>
      </c>
      <c r="P151" s="435">
        <f>+[2]ส.ค.60!$U$39</f>
        <v>22.382285568847035</v>
      </c>
      <c r="Q151" s="435">
        <f>+[2]ก.ย.60!$U$39</f>
        <v>23.785144775493077</v>
      </c>
      <c r="R151" s="436">
        <f>+'[2]12M'!$U$39</f>
        <v>21.285332502393164</v>
      </c>
      <c r="S151" s="270"/>
      <c r="T151" s="271">
        <v>1018</v>
      </c>
      <c r="U151" s="272" t="s">
        <v>57</v>
      </c>
      <c r="V151" s="446">
        <v>22.99991226353335</v>
      </c>
      <c r="W151" s="457"/>
      <c r="X151" s="453">
        <v>1018</v>
      </c>
      <c r="Y151" s="275" t="s">
        <v>57</v>
      </c>
      <c r="Z151" s="461">
        <f>+[4]ต.ค.58!$U$37</f>
        <v>23.34800598644247</v>
      </c>
      <c r="AA151" s="461">
        <f>+[4]พ.ย.58!$U$37</f>
        <v>20.313845225309983</v>
      </c>
      <c r="AB151" s="461">
        <f>+[4]ธ.ค.58!$U$37</f>
        <v>24.720168954593451</v>
      </c>
      <c r="AC151" s="461">
        <f>+'[4]3M'!$U$37</f>
        <v>22.801025016402026</v>
      </c>
      <c r="AD151" s="461">
        <f>+[4]ม.ค.59!$U$37</f>
        <v>24.205735649955887</v>
      </c>
      <c r="AE151" s="461">
        <f>+[4]ก.พ.59!$U$37</f>
        <v>23.453352448169387</v>
      </c>
      <c r="AF151" s="461">
        <f>+[4]มี.ค.59!$U$37</f>
        <v>23.751708327822598</v>
      </c>
      <c r="AG151" s="461">
        <f>+'[4]6M'!$U$37</f>
        <v>23.302961107293029</v>
      </c>
      <c r="AH151" s="461">
        <f>+[4]เม.ย.59!$U$37</f>
        <v>28.718956292363231</v>
      </c>
      <c r="AI151" s="461">
        <f>+[4]พ.ค.59!$U$37</f>
        <v>22.176019350849657</v>
      </c>
      <c r="AJ151" s="461">
        <f>+[4]มิ.ย.59!$U$37</f>
        <v>20.003792337897305</v>
      </c>
      <c r="AK151" s="461">
        <f>+'[4]9M'!$U$37</f>
        <v>23.497235394243351</v>
      </c>
      <c r="AL151" s="461">
        <f>+[4]ก.ค.59!$U$37</f>
        <v>20.138011222890654</v>
      </c>
      <c r="AM151" s="461">
        <f>+[4]ส.ค.59!$U$37</f>
        <v>21.930706645945701</v>
      </c>
      <c r="AN151" s="461">
        <f>+[4]ก.ย.59!$U$37</f>
        <v>21.631079315480271</v>
      </c>
      <c r="AO151" s="460">
        <f>+'[4]12M'!$U$37</f>
        <v>22.957638806134486</v>
      </c>
      <c r="AP151" s="453">
        <v>1018</v>
      </c>
      <c r="AQ151" s="275" t="s">
        <v>57</v>
      </c>
      <c r="AR151" s="461">
        <f>+[4]ต.ค.58!$U$37</f>
        <v>23.34800598644247</v>
      </c>
      <c r="AS151" s="461">
        <f>+'[4]2M'!$U$37</f>
        <v>21.837114431818684</v>
      </c>
      <c r="AT151" s="461">
        <f>+'[4]3M'!$U$37</f>
        <v>22.801025016402026</v>
      </c>
      <c r="AU151" s="461">
        <f>+'[4]4M'!$U$37</f>
        <v>23.154934041120313</v>
      </c>
      <c r="AV151" s="461">
        <f>+'[4]5M'!$U$37</f>
        <v>23.212592553134822</v>
      </c>
      <c r="AW151" s="461">
        <f>+'[4]6M'!$U$37</f>
        <v>23.302961107293029</v>
      </c>
      <c r="AX151" s="461">
        <f>+'[4]7M'!$U$37</f>
        <v>24.27011907305608</v>
      </c>
      <c r="AY151" s="461">
        <f>+'[4]8M'!$U$37</f>
        <v>23.952669401662217</v>
      </c>
      <c r="AZ151" s="461">
        <f>+'[4]9M'!$U$37</f>
        <v>23.497235394243351</v>
      </c>
      <c r="BA151" s="461">
        <f>+'[4]10M'!$U$37</f>
        <v>23.169398008436598</v>
      </c>
      <c r="BB151" s="461">
        <f>+'[4]11M'!$U$37</f>
        <v>23.067173637515843</v>
      </c>
      <c r="BC151" s="460">
        <f>+'[4]12M'!$U$37</f>
        <v>22.957638806134486</v>
      </c>
    </row>
    <row r="152" spans="1:55" s="273" customFormat="1" x14ac:dyDescent="0.2">
      <c r="A152" s="269">
        <v>1019</v>
      </c>
      <c r="B152" s="203" t="s">
        <v>58</v>
      </c>
      <c r="C152" s="435">
        <f>+[2]ต.ค.59!$V$39</f>
        <v>19.376101810414177</v>
      </c>
      <c r="D152" s="435">
        <f>+[2]พ.ย.59!$V$39</f>
        <v>14.461866532482018</v>
      </c>
      <c r="E152" s="435">
        <f>+[2]ธ.ค.59!$V$39</f>
        <v>17.277174462077944</v>
      </c>
      <c r="F152" s="435">
        <f>+'[2]3M'!$V$39</f>
        <v>17.078114747174375</v>
      </c>
      <c r="G152" s="435">
        <f>+[2]ม.ค.60!$V$39</f>
        <v>17.042316243171005</v>
      </c>
      <c r="H152" s="435">
        <f>+[2]ก.พ.60!$V$39</f>
        <v>17.275157959932681</v>
      </c>
      <c r="I152" s="435">
        <f>+[2]มี.ค.60!$V$39</f>
        <v>28.386075141113071</v>
      </c>
      <c r="J152" s="435">
        <f>+'[2]6M'!$V$39</f>
        <v>19.218800905344832</v>
      </c>
      <c r="K152" s="435">
        <f>+[2]เม.ย.60!$V$39</f>
        <v>18.474762344369868</v>
      </c>
      <c r="L152" s="435">
        <f>+[2]พ.ค.60!$V$39</f>
        <v>20.314865273993341</v>
      </c>
      <c r="M152" s="435">
        <f>+[2]มิ.ย.60!$V$39</f>
        <v>15.79826784371606</v>
      </c>
      <c r="N152" s="435">
        <f>+'[2]9M'!$V$39</f>
        <v>18.889985337256864</v>
      </c>
      <c r="O152" s="435">
        <f>+[2]ก.ค.60!$V$39</f>
        <v>22.555506543155417</v>
      </c>
      <c r="P152" s="435">
        <f>+[2]ส.ค.60!$V$39</f>
        <v>22.758444492254736</v>
      </c>
      <c r="Q152" s="435">
        <f>+[2]ก.ย.60!$V$39</f>
        <v>22.545444972423688</v>
      </c>
      <c r="R152" s="436">
        <f>+'[2]12M'!$V$39</f>
        <v>19.845869087999564</v>
      </c>
      <c r="S152" s="270"/>
      <c r="T152" s="271">
        <v>1019</v>
      </c>
      <c r="U152" s="272" t="s">
        <v>58</v>
      </c>
      <c r="V152" s="446">
        <v>22.000372325280885</v>
      </c>
      <c r="W152" s="457"/>
      <c r="X152" s="453">
        <v>1019</v>
      </c>
      <c r="Y152" s="275" t="s">
        <v>58</v>
      </c>
      <c r="Z152" s="461">
        <f>+[4]ต.ค.58!$V$37</f>
        <v>26.9698756432247</v>
      </c>
      <c r="AA152" s="461">
        <f>+[4]พ.ย.58!$V$37</f>
        <v>27.849280382046942</v>
      </c>
      <c r="AB152" s="461">
        <f>+[4]ธ.ค.58!$V$37</f>
        <v>25.961758208273022</v>
      </c>
      <c r="AC152" s="461">
        <f>+'[4]3M'!$V$37</f>
        <v>26.915991237200959</v>
      </c>
      <c r="AD152" s="461">
        <f>+[4]ม.ค.59!$V$37</f>
        <v>23.915751330540143</v>
      </c>
      <c r="AE152" s="461">
        <f>+[4]ก.พ.59!$V$37</f>
        <v>24.071726652518834</v>
      </c>
      <c r="AF152" s="461">
        <f>+[4]มี.ค.59!$V$37</f>
        <v>24.86239637878159</v>
      </c>
      <c r="AG152" s="461">
        <f>+'[4]6M'!$V$37</f>
        <v>25.646711012564673</v>
      </c>
      <c r="AH152" s="461">
        <f>+[4]เม.ย.59!$V$37</f>
        <v>25.449821666647676</v>
      </c>
      <c r="AI152" s="461">
        <f>+[4]พ.ค.59!$V$37</f>
        <v>17.242373442388391</v>
      </c>
      <c r="AJ152" s="461">
        <f>+[4]มิ.ย.59!$V$37</f>
        <v>20.704778025698239</v>
      </c>
      <c r="AK152" s="461">
        <f>+'[4]9M'!$V$37</f>
        <v>23.95799179309865</v>
      </c>
      <c r="AL152" s="461">
        <f>+[4]ก.ค.59!$V$37</f>
        <v>25.065997373109482</v>
      </c>
      <c r="AM152" s="461">
        <f>+[4]ส.ค.59!$V$37</f>
        <v>26.560016636216449</v>
      </c>
      <c r="AN152" s="461">
        <f>+[4]ก.ย.59!$V$37</f>
        <v>21.727269080064726</v>
      </c>
      <c r="AO152" s="460">
        <f>+'[4]12M'!$V$37</f>
        <v>24.059311811470387</v>
      </c>
      <c r="AP152" s="453">
        <v>1019</v>
      </c>
      <c r="AQ152" s="275" t="s">
        <v>58</v>
      </c>
      <c r="AR152" s="461">
        <f>+[4]ต.ค.58!$V$37</f>
        <v>26.9698756432247</v>
      </c>
      <c r="AS152" s="461">
        <f>+'[4]2M'!$V$37</f>
        <v>27.414233153236765</v>
      </c>
      <c r="AT152" s="461">
        <f>+'[4]3M'!$V$37</f>
        <v>26.915991237200959</v>
      </c>
      <c r="AU152" s="461">
        <f>+'[4]4M'!$V$37</f>
        <v>26.210054786764587</v>
      </c>
      <c r="AV152" s="461">
        <f>+'[4]5M'!$V$37</f>
        <v>25.804797201362607</v>
      </c>
      <c r="AW152" s="461">
        <f>+'[4]6M'!$V$37</f>
        <v>25.646711012564673</v>
      </c>
      <c r="AX152" s="461">
        <f>+'[4]7M'!$V$37</f>
        <v>25.614287269137954</v>
      </c>
      <c r="AY152" s="461">
        <f>+'[4]8M'!$V$37</f>
        <v>24.362896957450918</v>
      </c>
      <c r="AZ152" s="461">
        <f>+'[4]9M'!$V$37</f>
        <v>23.95799179309865</v>
      </c>
      <c r="BA152" s="461">
        <f>+'[4]10M'!$V$37</f>
        <v>24.067026180342094</v>
      </c>
      <c r="BB152" s="461">
        <f>+'[4]11M'!$V$37</f>
        <v>24.264770856872879</v>
      </c>
      <c r="BC152" s="460">
        <f>+'[4]12M'!$V$37</f>
        <v>24.059311811470387</v>
      </c>
    </row>
    <row r="153" spans="1:55" s="273" customFormat="1" x14ac:dyDescent="0.2">
      <c r="A153" s="269">
        <v>1020</v>
      </c>
      <c r="B153" s="203" t="s">
        <v>59</v>
      </c>
      <c r="C153" s="435">
        <f>+[2]ต.ค.59!$W$39</f>
        <v>29.83018062149873</v>
      </c>
      <c r="D153" s="435">
        <f>+[2]พ.ย.59!$W$39</f>
        <v>30.125983815401831</v>
      </c>
      <c r="E153" s="435">
        <f>+[2]ธ.ค.59!$W$39</f>
        <v>29.102983364828216</v>
      </c>
      <c r="F153" s="435">
        <f>+'[2]3M'!$W$39</f>
        <v>29.680845671302702</v>
      </c>
      <c r="G153" s="435">
        <f>+[2]ม.ค.60!$W$39</f>
        <v>28.627329687375518</v>
      </c>
      <c r="H153" s="435">
        <f>+[2]ก.พ.60!$W$39</f>
        <v>27.163794301240717</v>
      </c>
      <c r="I153" s="435">
        <f>+[2]มี.ค.60!$W$39</f>
        <v>28.760863449387543</v>
      </c>
      <c r="J153" s="435">
        <f>+'[2]6M'!$W$39</f>
        <v>28.938797767111303</v>
      </c>
      <c r="K153" s="435">
        <f>+[2]เม.ย.60!$W$39</f>
        <v>26.312310435304621</v>
      </c>
      <c r="L153" s="435">
        <f>+[2]พ.ค.60!$W$39</f>
        <v>29.778673446671899</v>
      </c>
      <c r="M153" s="435">
        <f>+[2]มิ.ย.60!$W$39</f>
        <v>27.816725028191584</v>
      </c>
      <c r="N153" s="435">
        <f>+'[2]9M'!$W$39</f>
        <v>28.592771676000339</v>
      </c>
      <c r="O153" s="435">
        <f>+[2]ก.ค.60!$W$39</f>
        <v>28.093831958190556</v>
      </c>
      <c r="P153" s="435">
        <f>+[2]ส.ค.60!$W$39</f>
        <v>28.512706446065582</v>
      </c>
      <c r="Q153" s="435">
        <f>+[2]ก.ย.60!$W$39</f>
        <v>28.391911623722365</v>
      </c>
      <c r="R153" s="436">
        <f>+'[2]12M'!$W$39</f>
        <v>28.527394521399422</v>
      </c>
      <c r="S153" s="270"/>
      <c r="T153" s="271">
        <v>1020</v>
      </c>
      <c r="U153" s="272" t="s">
        <v>59</v>
      </c>
      <c r="V153" s="446">
        <v>28.999942608465052</v>
      </c>
      <c r="W153" s="457"/>
      <c r="X153" s="453">
        <v>1020</v>
      </c>
      <c r="Y153" s="275" t="s">
        <v>59</v>
      </c>
      <c r="Z153" s="461">
        <f>+[4]ต.ค.58!$W$37</f>
        <v>25.440163163202641</v>
      </c>
      <c r="AA153" s="461">
        <f>+[4]พ.ย.58!$W$37</f>
        <v>27.333523016052506</v>
      </c>
      <c r="AB153" s="461">
        <f>+[4]ธ.ค.58!$W$37</f>
        <v>27.537199026061863</v>
      </c>
      <c r="AC153" s="461">
        <f>+'[4]3M'!$W$37</f>
        <v>26.819745129124762</v>
      </c>
      <c r="AD153" s="461">
        <f>+[4]ม.ค.59!$W$37</f>
        <v>26.560169849207671</v>
      </c>
      <c r="AE153" s="461">
        <f>+[4]ก.พ.59!$W$37</f>
        <v>24.362672487721213</v>
      </c>
      <c r="AF153" s="461">
        <f>+[4]มี.ค.59!$W$37</f>
        <v>27.598821779264505</v>
      </c>
      <c r="AG153" s="461">
        <f>+'[4]6M'!$W$37</f>
        <v>26.514051846544078</v>
      </c>
      <c r="AH153" s="461">
        <f>+[4]เม.ย.59!$W$37</f>
        <v>21.838402476343159</v>
      </c>
      <c r="AI153" s="461">
        <f>+[4]พ.ค.59!$W$37</f>
        <v>22.585048376365918</v>
      </c>
      <c r="AJ153" s="461">
        <f>+[4]มิ.ย.59!$W$37</f>
        <v>15.865628862898514</v>
      </c>
      <c r="AK153" s="461">
        <f>+'[4]9M'!$W$37</f>
        <v>24.374513333078031</v>
      </c>
      <c r="AL153" s="461">
        <f>+[4]ก.ค.59!$W$37</f>
        <v>24.695346467733962</v>
      </c>
      <c r="AM153" s="461">
        <f>+[4]ส.ค.59!$W$37</f>
        <v>33.292044967091989</v>
      </c>
      <c r="AN153" s="461">
        <f>+[4]ก.ย.59!$W$37</f>
        <v>27.36819372081095</v>
      </c>
      <c r="AO153" s="460">
        <f>+'[4]12M'!$W$37</f>
        <v>25.420904126305039</v>
      </c>
      <c r="AP153" s="453">
        <v>1020</v>
      </c>
      <c r="AQ153" s="275" t="s">
        <v>59</v>
      </c>
      <c r="AR153" s="461">
        <f>+[4]ต.ค.58!$W$37</f>
        <v>25.440163163202641</v>
      </c>
      <c r="AS153" s="461">
        <f>+'[4]2M'!$W$37</f>
        <v>26.456319866352562</v>
      </c>
      <c r="AT153" s="461">
        <f>+'[4]3M'!$W$37</f>
        <v>26.819745129124762</v>
      </c>
      <c r="AU153" s="461">
        <f>+'[4]4M'!$W$37</f>
        <v>26.75407459658501</v>
      </c>
      <c r="AV153" s="461">
        <f>+'[4]5M'!$W$37</f>
        <v>26.303073774903503</v>
      </c>
      <c r="AW153" s="461">
        <f>+'[4]6M'!$W$37</f>
        <v>26.514051846544078</v>
      </c>
      <c r="AX153" s="461">
        <f>+'[4]7M'!$W$37</f>
        <v>25.819725517910509</v>
      </c>
      <c r="AY153" s="461">
        <f>+'[4]8M'!$W$37</f>
        <v>25.39178019189751</v>
      </c>
      <c r="AZ153" s="461">
        <f>+'[4]9M'!$W$37</f>
        <v>24.374513333078031</v>
      </c>
      <c r="BA153" s="461">
        <f>+'[4]10M'!$W$37</f>
        <v>24.407612779411732</v>
      </c>
      <c r="BB153" s="461">
        <f>+'[4]11M'!$W$37</f>
        <v>25.233651035337868</v>
      </c>
      <c r="BC153" s="460">
        <f>+'[4]12M'!$W$37</f>
        <v>25.420904126305039</v>
      </c>
    </row>
    <row r="154" spans="1:55" s="273" customFormat="1" x14ac:dyDescent="0.2">
      <c r="A154" s="269">
        <v>1021</v>
      </c>
      <c r="B154" s="203" t="s">
        <v>60</v>
      </c>
      <c r="C154" s="435">
        <f>+[2]ต.ค.59!$X$39</f>
        <v>21.933054653707718</v>
      </c>
      <c r="D154" s="435">
        <f>+[2]พ.ย.59!$X$39</f>
        <v>32.15041191013843</v>
      </c>
      <c r="E154" s="435">
        <f>+[2]ธ.ค.59!$X$39</f>
        <v>39.224250538828294</v>
      </c>
      <c r="F154" s="435">
        <f>+'[2]3M'!$X$39</f>
        <v>31.792139822441939</v>
      </c>
      <c r="G154" s="435">
        <f>+[2]ม.ค.60!$X$39</f>
        <v>25.118356254489747</v>
      </c>
      <c r="H154" s="435">
        <f>+[2]ก.พ.60!$X$39</f>
        <v>34.909779098729906</v>
      </c>
      <c r="I154" s="435">
        <f>+[2]มี.ค.60!$X$39</f>
        <v>37.902982534263849</v>
      </c>
      <c r="J154" s="435">
        <f>+'[2]6M'!$X$39</f>
        <v>32.234369376865423</v>
      </c>
      <c r="K154" s="435">
        <f>+[2]เม.ย.60!$X$39</f>
        <v>29.782858559639656</v>
      </c>
      <c r="L154" s="435">
        <f>+[2]พ.ค.60!$X$39</f>
        <v>34.926681056786904</v>
      </c>
      <c r="M154" s="435">
        <f>+[2]มิ.ย.60!$X$39</f>
        <v>31.133110538654446</v>
      </c>
      <c r="N154" s="435">
        <f>+'[2]9M'!$X$39</f>
        <v>32.149008327460592</v>
      </c>
      <c r="O154" s="435">
        <f>+[2]ก.ค.60!$X$39</f>
        <v>31.755832798550543</v>
      </c>
      <c r="P154" s="435">
        <f>+[2]ส.ค.60!$X$39</f>
        <v>33.260522927027232</v>
      </c>
      <c r="Q154" s="435">
        <f>+[2]ก.ย.60!$X$39</f>
        <v>39.958109266785478</v>
      </c>
      <c r="R154" s="436">
        <f>+'[2]12M'!$X$39</f>
        <v>32.926084240563618</v>
      </c>
      <c r="S154" s="270"/>
      <c r="T154" s="271">
        <v>1021</v>
      </c>
      <c r="U154" s="272" t="s">
        <v>60</v>
      </c>
      <c r="V154" s="446">
        <v>15.499865507038466</v>
      </c>
      <c r="W154" s="457"/>
      <c r="X154" s="453">
        <v>1021</v>
      </c>
      <c r="Y154" s="275" t="s">
        <v>60</v>
      </c>
      <c r="Z154" s="461">
        <f>+[4]ต.ค.58!$X$37</f>
        <v>16.416243416102333</v>
      </c>
      <c r="AA154" s="461">
        <f>+[4]พ.ย.58!$X$37</f>
        <v>19.61216066717726</v>
      </c>
      <c r="AB154" s="461">
        <f>+[4]ธ.ค.58!$X$37</f>
        <v>20.790685913433524</v>
      </c>
      <c r="AC154" s="461">
        <f>+'[4]3M'!$X$37</f>
        <v>19.002455346396417</v>
      </c>
      <c r="AD154" s="461">
        <f>+[4]ม.ค.59!$X$37</f>
        <v>21.506132094690951</v>
      </c>
      <c r="AE154" s="461">
        <f>+[4]ก.พ.59!$X$37</f>
        <v>21.376951084027233</v>
      </c>
      <c r="AF154" s="461">
        <f>+[4]มี.ค.59!$X$37</f>
        <v>22.437468838291508</v>
      </c>
      <c r="AG154" s="461">
        <f>+'[4]6M'!$X$37</f>
        <v>20.429149156070281</v>
      </c>
      <c r="AH154" s="461">
        <f>+[4]เม.ย.59!$X$37</f>
        <v>22.988769195507679</v>
      </c>
      <c r="AI154" s="461">
        <f>+[4]พ.ค.59!$X$37</f>
        <v>21.447004776982631</v>
      </c>
      <c r="AJ154" s="461">
        <f>+[4]มิ.ย.59!$X$37</f>
        <v>21.357712690719122</v>
      </c>
      <c r="AK154" s="461">
        <f>+'[4]9M'!$X$37</f>
        <v>20.984844954323446</v>
      </c>
      <c r="AL154" s="461">
        <f>+[4]ก.ค.59!$X$37</f>
        <v>20.839367195825023</v>
      </c>
      <c r="AM154" s="461">
        <f>+[4]ส.ค.59!$X$37</f>
        <v>21.571390618322109</v>
      </c>
      <c r="AN154" s="461">
        <f>+[4]ก.ย.59!$X$37</f>
        <v>26.736640870572231</v>
      </c>
      <c r="AO154" s="460">
        <f>+'[4]12M'!$X$37</f>
        <v>21.54235006688074</v>
      </c>
      <c r="AP154" s="453">
        <v>1021</v>
      </c>
      <c r="AQ154" s="275" t="s">
        <v>60</v>
      </c>
      <c r="AR154" s="461">
        <f>+[4]ต.ค.58!$X$37</f>
        <v>16.416243416102333</v>
      </c>
      <c r="AS154" s="461">
        <f>+'[4]2M'!$X$37</f>
        <v>18.094089264173704</v>
      </c>
      <c r="AT154" s="461">
        <f>+'[4]3M'!$X$37</f>
        <v>19.002455346396417</v>
      </c>
      <c r="AU154" s="461">
        <f>+'[4]4M'!$X$37</f>
        <v>19.670011814391831</v>
      </c>
      <c r="AV154" s="461">
        <f>+'[4]5M'!$X$37</f>
        <v>20.008015578101791</v>
      </c>
      <c r="AW154" s="461">
        <f>+'[4]6M'!$X$37</f>
        <v>20.429149156070281</v>
      </c>
      <c r="AX154" s="461">
        <f>+'[4]7M'!$X$37</f>
        <v>20.849330200932194</v>
      </c>
      <c r="AY154" s="461">
        <f>+'[4]8M'!$X$37</f>
        <v>20.933740195185123</v>
      </c>
      <c r="AZ154" s="461">
        <f>+'[4]9M'!$X$37</f>
        <v>20.984844954323446</v>
      </c>
      <c r="BA154" s="461">
        <f>+'[4]10M'!$X$37</f>
        <v>20.968703578321897</v>
      </c>
      <c r="BB154" s="461">
        <f>+'[4]11M'!$X$37</f>
        <v>21.017188236135905</v>
      </c>
      <c r="BC154" s="460">
        <f>+'[4]12M'!$X$37</f>
        <v>21.54235006688074</v>
      </c>
    </row>
    <row r="155" spans="1:55" s="273" customFormat="1" x14ac:dyDescent="0.2">
      <c r="A155" s="269">
        <v>1022</v>
      </c>
      <c r="B155" s="203" t="s">
        <v>61</v>
      </c>
      <c r="C155" s="435">
        <f>+[2]ต.ค.59!$Y$39</f>
        <v>30.141429796091028</v>
      </c>
      <c r="D155" s="435">
        <f>+[2]พ.ย.59!$Y$39</f>
        <v>26.00275754637379</v>
      </c>
      <c r="E155" s="435">
        <f>+[2]ธ.ค.59!$Y$39</f>
        <v>30.536140688406689</v>
      </c>
      <c r="F155" s="435">
        <f>+'[2]3M'!$Y$39</f>
        <v>28.934535291608576</v>
      </c>
      <c r="G155" s="435">
        <f>+[2]ม.ค.60!$Y$39</f>
        <v>29.996751728812544</v>
      </c>
      <c r="H155" s="435">
        <f>+[2]ก.พ.60!$Y$39</f>
        <v>28.634552002790308</v>
      </c>
      <c r="I155" s="435">
        <f>+[2]มี.ค.60!$Y$39</f>
        <v>35.447221317558366</v>
      </c>
      <c r="J155" s="435">
        <f>+'[2]6M'!$Y$39</f>
        <v>30.216853371423746</v>
      </c>
      <c r="K155" s="435">
        <f>+[2]เม.ย.60!$Y$39</f>
        <v>13.875017265226958</v>
      </c>
      <c r="L155" s="435">
        <f>+[2]พ.ค.60!$Y$39</f>
        <v>21.538014709326838</v>
      </c>
      <c r="M155" s="435">
        <f>+[2]มิ.ย.60!$Y$39</f>
        <v>18.94242209796953</v>
      </c>
      <c r="N155" s="435">
        <f>+'[2]9M'!$Y$39</f>
        <v>26.242084733456039</v>
      </c>
      <c r="O155" s="435">
        <f>+[2]ก.ค.60!$Y$39</f>
        <v>24.460347748278274</v>
      </c>
      <c r="P155" s="435">
        <f>+[2]ส.ค.60!$Y$39</f>
        <v>23.977539896733418</v>
      </c>
      <c r="Q155" s="435">
        <f>+[2]ก.ย.60!$Y$39</f>
        <v>22.920616159212841</v>
      </c>
      <c r="R155" s="436">
        <f>+'[2]12M'!$Y$39</f>
        <v>25.630274337654583</v>
      </c>
      <c r="S155" s="270"/>
      <c r="T155" s="271">
        <v>1022</v>
      </c>
      <c r="U155" s="272" t="s">
        <v>61</v>
      </c>
      <c r="V155" s="446">
        <v>25.999993736533551</v>
      </c>
      <c r="W155" s="457"/>
      <c r="X155" s="453">
        <v>1022</v>
      </c>
      <c r="Y155" s="275" t="s">
        <v>61</v>
      </c>
      <c r="Z155" s="461">
        <f>+[4]ต.ค.58!$Y$37</f>
        <v>32.769092529277764</v>
      </c>
      <c r="AA155" s="461">
        <f>+[4]พ.ย.58!$Y$37</f>
        <v>13.508334034457937</v>
      </c>
      <c r="AB155" s="461">
        <f>+[4]ธ.ค.58!$Y$37</f>
        <v>27.725137958198616</v>
      </c>
      <c r="AC155" s="461">
        <f>+'[4]3M'!$Y$37</f>
        <v>25.416814461095385</v>
      </c>
      <c r="AD155" s="461">
        <f>+[4]ม.ค.59!$Y$37</f>
        <v>31.284914137767377</v>
      </c>
      <c r="AE155" s="461">
        <f>+[4]ก.พ.59!$Y$37</f>
        <v>28.067072447729341</v>
      </c>
      <c r="AF155" s="461">
        <f>+[4]มี.ค.59!$Y$37</f>
        <v>36.682817980095273</v>
      </c>
      <c r="AG155" s="461">
        <f>+'[4]6M'!$Y$37</f>
        <v>28.947907123574335</v>
      </c>
      <c r="AH155" s="461">
        <f>+[4]เม.ย.59!$Y$37</f>
        <v>25.268470149908257</v>
      </c>
      <c r="AI155" s="461">
        <f>+[4]พ.ค.59!$Y$37</f>
        <v>21.777336231894683</v>
      </c>
      <c r="AJ155" s="461">
        <f>+[4]มิ.ย.59!$Y$37</f>
        <v>19.279809779139537</v>
      </c>
      <c r="AK155" s="461">
        <f>+'[4]9M'!$Y$37</f>
        <v>26.632956879178494</v>
      </c>
      <c r="AL155" s="461">
        <f>+[4]ก.ค.59!$Y$37</f>
        <v>20.375567179290343</v>
      </c>
      <c r="AM155" s="461">
        <f>+[4]ส.ค.59!$Y$37</f>
        <v>31.103848287688507</v>
      </c>
      <c r="AN155" s="461">
        <f>+[4]ก.ย.59!$Y$37</f>
        <v>21.857046366562042</v>
      </c>
      <c r="AO155" s="460">
        <f>+'[4]12M'!$Y$37</f>
        <v>26.087209704656939</v>
      </c>
      <c r="AP155" s="453">
        <v>1022</v>
      </c>
      <c r="AQ155" s="275" t="s">
        <v>61</v>
      </c>
      <c r="AR155" s="461">
        <f>+[4]ต.ค.58!$Y$37</f>
        <v>32.769092529277764</v>
      </c>
      <c r="AS155" s="461">
        <f>+'[4]2M'!$Y$37</f>
        <v>24.222595089899595</v>
      </c>
      <c r="AT155" s="461">
        <f>+'[4]3M'!$Y$37</f>
        <v>25.416814461095385</v>
      </c>
      <c r="AU155" s="461">
        <f>+'[4]4M'!$Y$37</f>
        <v>27.001907528752607</v>
      </c>
      <c r="AV155" s="461">
        <f>+'[4]5M'!$Y$37</f>
        <v>27.216585919190923</v>
      </c>
      <c r="AW155" s="461">
        <f>+'[4]6M'!$Y$37</f>
        <v>28.947907123574335</v>
      </c>
      <c r="AX155" s="461">
        <f>+'[4]7M'!$Y$37</f>
        <v>28.372086383784634</v>
      </c>
      <c r="AY155" s="461">
        <f>+'[4]8M'!$Y$37</f>
        <v>27.513075035963062</v>
      </c>
      <c r="AZ155" s="461">
        <f>+'[4]9M'!$Y$37</f>
        <v>26.632956879178494</v>
      </c>
      <c r="BA155" s="461">
        <f>+'[4]10M'!$Y$37</f>
        <v>26.01851285642806</v>
      </c>
      <c r="BB155" s="461">
        <f>+'[4]11M'!$Y$37</f>
        <v>26.461050503752404</v>
      </c>
      <c r="BC155" s="460">
        <f>+'[4]12M'!$Y$37</f>
        <v>26.087209704656939</v>
      </c>
    </row>
    <row r="156" spans="1:55" s="273" customFormat="1" x14ac:dyDescent="0.2">
      <c r="A156" s="269">
        <v>1023</v>
      </c>
      <c r="B156" s="203" t="s">
        <v>62</v>
      </c>
      <c r="C156" s="435">
        <f>+[2]ต.ค.59!$Z$39</f>
        <v>28.821207525129296</v>
      </c>
      <c r="D156" s="435">
        <f>+[2]พ.ย.59!$Z$39</f>
        <v>21.901282352728391</v>
      </c>
      <c r="E156" s="435">
        <f>+[2]ธ.ค.59!$Z$39</f>
        <v>28.896238114923523</v>
      </c>
      <c r="F156" s="435">
        <f>+'[2]3M'!$Z$39</f>
        <v>26.441363754880985</v>
      </c>
      <c r="G156" s="435">
        <f>+[2]ม.ค.60!$Z$39</f>
        <v>24.867179171614044</v>
      </c>
      <c r="H156" s="435">
        <f>+[2]ก.พ.60!$Z$39</f>
        <v>26.199552304507861</v>
      </c>
      <c r="I156" s="435">
        <f>+[2]มี.ค.60!$Z$39</f>
        <v>28.938660564991643</v>
      </c>
      <c r="J156" s="435">
        <f>+'[2]6M'!$Z$39</f>
        <v>26.558040198316178</v>
      </c>
      <c r="K156" s="435">
        <f>+[2]เม.ย.60!$Z$39</f>
        <v>24.681584575605708</v>
      </c>
      <c r="L156" s="435">
        <f>+[2]พ.ค.60!$Z$39</f>
        <v>25.373446655076943</v>
      </c>
      <c r="M156" s="435">
        <f>+[2]มิ.ย.60!$Z$39</f>
        <v>23.416042512239006</v>
      </c>
      <c r="N156" s="435">
        <f>+'[2]9M'!$Z$39</f>
        <v>25.817420183392986</v>
      </c>
      <c r="O156" s="435">
        <f>+[2]ก.ค.60!$Z$39</f>
        <v>23.737168103261574</v>
      </c>
      <c r="P156" s="435">
        <f>+[2]ส.ค.60!$Z$39</f>
        <v>21.110190555095276</v>
      </c>
      <c r="Q156" s="435">
        <f>+[2]ก.ย.60!$Z$39</f>
        <v>20.645473115926169</v>
      </c>
      <c r="R156" s="436">
        <f>+'[2]12M'!$Z$39</f>
        <v>24.845619985275032</v>
      </c>
      <c r="S156" s="270"/>
      <c r="T156" s="271">
        <v>1023</v>
      </c>
      <c r="U156" s="272" t="s">
        <v>62</v>
      </c>
      <c r="V156" s="446">
        <v>24.999963533727655</v>
      </c>
      <c r="W156" s="457"/>
      <c r="X156" s="453">
        <v>1023</v>
      </c>
      <c r="Y156" s="275" t="s">
        <v>62</v>
      </c>
      <c r="Z156" s="461">
        <f>+[4]ต.ค.58!$Z$37</f>
        <v>34.290137070665878</v>
      </c>
      <c r="AA156" s="461">
        <f>+[4]พ.ย.58!$Z$37</f>
        <v>31.83543264201672</v>
      </c>
      <c r="AB156" s="461">
        <f>+[4]ธ.ค.58!$Z$37</f>
        <v>34.665740167956137</v>
      </c>
      <c r="AC156" s="461">
        <f>+'[4]3M'!$Z$37</f>
        <v>33.612934769399473</v>
      </c>
      <c r="AD156" s="461">
        <f>+[4]ม.ค.59!$Z$37</f>
        <v>28.070145305898116</v>
      </c>
      <c r="AE156" s="461">
        <f>+[4]ก.พ.59!$Z$37</f>
        <v>27.232276678657076</v>
      </c>
      <c r="AF156" s="461">
        <f>+[4]มี.ค.59!$Z$37</f>
        <v>29.308932494321777</v>
      </c>
      <c r="AG156" s="461">
        <f>+'[4]6M'!$Z$37</f>
        <v>30.999282647221683</v>
      </c>
      <c r="AH156" s="461">
        <f>+[4]เม.ย.59!$Z$37</f>
        <v>18.786286241855016</v>
      </c>
      <c r="AI156" s="461">
        <f>+[4]พ.ค.59!$Z$37</f>
        <v>16.661191604135688</v>
      </c>
      <c r="AJ156" s="461">
        <f>+[4]มิ.ย.59!$Z$37</f>
        <v>16.837163284735574</v>
      </c>
      <c r="AK156" s="461">
        <f>+'[4]9M'!$Z$37</f>
        <v>26.536565086903792</v>
      </c>
      <c r="AL156" s="461">
        <f>+[4]ก.ค.59!$Z$37</f>
        <v>14.486249695789729</v>
      </c>
      <c r="AM156" s="461">
        <f>+[4]ส.ค.59!$Z$37</f>
        <v>28.353153838835503</v>
      </c>
      <c r="AN156" s="461">
        <f>+[4]ก.ย.59!$Z$37</f>
        <v>22.88133971291866</v>
      </c>
      <c r="AO156" s="460">
        <f>+'[4]12M'!$Z$37</f>
        <v>25.464024932145175</v>
      </c>
      <c r="AP156" s="453">
        <v>1023</v>
      </c>
      <c r="AQ156" s="275" t="s">
        <v>62</v>
      </c>
      <c r="AR156" s="461">
        <f>+[4]ต.ค.58!$Z$37</f>
        <v>34.290137070665878</v>
      </c>
      <c r="AS156" s="461">
        <f>+'[4]2M'!$Z$37</f>
        <v>33.086121358605773</v>
      </c>
      <c r="AT156" s="461">
        <f>+'[4]3M'!$Z$37</f>
        <v>33.612934769399473</v>
      </c>
      <c r="AU156" s="461">
        <f>+'[4]4M'!$Z$37</f>
        <v>32.24051152396121</v>
      </c>
      <c r="AV156" s="461">
        <f>+'[4]5M'!$Z$37</f>
        <v>31.313980309618337</v>
      </c>
      <c r="AW156" s="461">
        <f>+'[4]6M'!$Z$37</f>
        <v>30.999282647221683</v>
      </c>
      <c r="AX156" s="461">
        <f>+'[4]7M'!$Z$37</f>
        <v>29.273359787330939</v>
      </c>
      <c r="AY156" s="461">
        <f>+'[4]8M'!$Z$37</f>
        <v>27.675033386905763</v>
      </c>
      <c r="AZ156" s="461">
        <f>+'[4]9M'!$Z$37</f>
        <v>26.536565086903792</v>
      </c>
      <c r="BA156" s="461">
        <f>+'[4]10M'!$Z$37</f>
        <v>25.433930197052323</v>
      </c>
      <c r="BB156" s="461">
        <f>+'[4]11M'!$Z$37</f>
        <v>25.683849233886864</v>
      </c>
      <c r="BC156" s="460">
        <f>+'[4]12M'!$Z$37</f>
        <v>25.464024932145175</v>
      </c>
    </row>
    <row r="157" spans="1:55" s="273" customFormat="1" x14ac:dyDescent="0.2">
      <c r="A157" s="269">
        <v>1024</v>
      </c>
      <c r="B157" s="203" t="s">
        <v>63</v>
      </c>
      <c r="C157" s="435">
        <f>+[2]ต.ค.59!$AA$39</f>
        <v>22.393031976748098</v>
      </c>
      <c r="D157" s="435">
        <f>+[2]พ.ย.59!$AA$39</f>
        <v>23.014988609455266</v>
      </c>
      <c r="E157" s="435">
        <f>+[2]ธ.ค.59!$AA$39</f>
        <v>24.039227362387884</v>
      </c>
      <c r="F157" s="435">
        <f>+'[2]3M'!$AA$39</f>
        <v>23.171245888081746</v>
      </c>
      <c r="G157" s="435">
        <f>+[2]ม.ค.60!$AA$39</f>
        <v>20.992711096677542</v>
      </c>
      <c r="H157" s="435">
        <f>+[2]ก.พ.60!$AA$39</f>
        <v>14.462646617805744</v>
      </c>
      <c r="I157" s="435">
        <f>+[2]มี.ค.60!$AA$39</f>
        <v>26.689957146693459</v>
      </c>
      <c r="J157" s="435">
        <f>+'[2]6M'!$AA$39</f>
        <v>22.060358239372547</v>
      </c>
      <c r="K157" s="435">
        <f>+[2]เม.ย.60!$AA$39</f>
        <v>9.8098557031171296</v>
      </c>
      <c r="L157" s="435">
        <f>+[2]พ.ค.60!$AA$39</f>
        <v>17.9565179079882</v>
      </c>
      <c r="M157" s="435">
        <f>+[2]มิ.ย.60!$AA$39</f>
        <v>12.492459952453347</v>
      </c>
      <c r="N157" s="435">
        <f>+'[2]9M'!$AA$39</f>
        <v>19.267576816256959</v>
      </c>
      <c r="O157" s="435">
        <f>+[2]ก.ค.60!$AA$39</f>
        <v>19.593558381706881</v>
      </c>
      <c r="P157" s="435">
        <f>+[2]ส.ค.60!$AA$39</f>
        <v>20.34733732331593</v>
      </c>
      <c r="Q157" s="435">
        <f>+[2]ก.ย.60!$AA$39</f>
        <v>15.336284208489847</v>
      </c>
      <c r="R157" s="436">
        <f>+'[2]12M'!$AA$39</f>
        <v>19.057391625480243</v>
      </c>
      <c r="S157" s="270"/>
      <c r="T157" s="271">
        <v>1024</v>
      </c>
      <c r="U157" s="272" t="s">
        <v>63</v>
      </c>
      <c r="V157" s="446">
        <v>20</v>
      </c>
      <c r="W157" s="457"/>
      <c r="X157" s="453">
        <v>1024</v>
      </c>
      <c r="Y157" s="275" t="s">
        <v>63</v>
      </c>
      <c r="Z157" s="461">
        <f>+[4]ต.ค.58!$AA$37</f>
        <v>19.490123292158646</v>
      </c>
      <c r="AA157" s="461">
        <f>+[4]พ.ย.58!$AA$37</f>
        <v>15.580051216947746</v>
      </c>
      <c r="AB157" s="461">
        <f>+[4]ธ.ค.58!$AA$37</f>
        <v>24.906274920109269</v>
      </c>
      <c r="AC157" s="461">
        <f>+'[4]3M'!$AA$37</f>
        <v>20.062776317871755</v>
      </c>
      <c r="AD157" s="461">
        <f>+[4]ม.ค.59!$AA$37</f>
        <v>21.909560346498829</v>
      </c>
      <c r="AE157" s="461">
        <f>+[4]ก.พ.59!$AA$37</f>
        <v>21.236941735594094</v>
      </c>
      <c r="AF157" s="461">
        <f>+[4]มี.ค.59!$AA$37</f>
        <v>26.919491613385372</v>
      </c>
      <c r="AG157" s="461">
        <f>+'[4]6M'!$AA$37</f>
        <v>21.79637800436927</v>
      </c>
      <c r="AH157" s="461">
        <f>+[4]เม.ย.59!$AA$37</f>
        <v>18.531699935465209</v>
      </c>
      <c r="AI157" s="461">
        <f>+[4]พ.ค.59!$AA$37</f>
        <v>16.691226720619905</v>
      </c>
      <c r="AJ157" s="461">
        <f>+[4]มิ.ย.59!$AA$37</f>
        <v>14.363082597054518</v>
      </c>
      <c r="AK157" s="461">
        <f>+'[4]9M'!$AA$37</f>
        <v>20.018495535967393</v>
      </c>
      <c r="AL157" s="461">
        <f>+[4]ก.ค.59!$AA$37</f>
        <v>14.95911303132686</v>
      </c>
      <c r="AM157" s="461">
        <f>+[4]ส.ค.59!$AA$37</f>
        <v>26.884006540722961</v>
      </c>
      <c r="AN157" s="461">
        <f>+[4]ก.ย.59!$AA$37</f>
        <v>17.227494007131003</v>
      </c>
      <c r="AO157" s="460">
        <f>+'[4]12M'!$AA$37</f>
        <v>19.935358169365326</v>
      </c>
      <c r="AP157" s="453">
        <v>1024</v>
      </c>
      <c r="AQ157" s="275" t="s">
        <v>63</v>
      </c>
      <c r="AR157" s="461">
        <f>+[4]ต.ค.58!$AA$37</f>
        <v>19.490123292158646</v>
      </c>
      <c r="AS157" s="461">
        <f>+'[4]2M'!$AA$37</f>
        <v>17.542018977945084</v>
      </c>
      <c r="AT157" s="461">
        <f>+'[4]3M'!$AA$37</f>
        <v>20.062776317871755</v>
      </c>
      <c r="AU157" s="461">
        <f>+'[4]4M'!$AA$37</f>
        <v>20.554291176773155</v>
      </c>
      <c r="AV157" s="461">
        <f>+'[4]5M'!$AA$37</f>
        <v>20.694073454577019</v>
      </c>
      <c r="AW157" s="461">
        <f>+'[4]6M'!$AA$37</f>
        <v>21.79637800436927</v>
      </c>
      <c r="AX157" s="461">
        <f>+'[4]7M'!$AA$37</f>
        <v>21.308972993690929</v>
      </c>
      <c r="AY157" s="461">
        <f>+'[4]8M'!$AA$37</f>
        <v>20.713980188918899</v>
      </c>
      <c r="AZ157" s="461">
        <f>+'[4]9M'!$AA$37</f>
        <v>20.018495535967393</v>
      </c>
      <c r="BA157" s="461">
        <f>+'[4]10M'!$AA$37</f>
        <v>19.502862172482128</v>
      </c>
      <c r="BB157" s="461">
        <f>+'[4]11M'!$AA$37</f>
        <v>20.184543593383779</v>
      </c>
      <c r="BC157" s="460">
        <f>+'[4]12M'!$AA$37</f>
        <v>19.935358169365326</v>
      </c>
    </row>
    <row r="158" spans="1:55" s="273" customFormat="1" x14ac:dyDescent="0.2">
      <c r="A158" s="269">
        <v>1025</v>
      </c>
      <c r="B158" s="203" t="s">
        <v>64</v>
      </c>
      <c r="C158" s="435">
        <f>+[2]ต.ค.59!$AB$39</f>
        <v>28.458095960367231</v>
      </c>
      <c r="D158" s="435">
        <f>+[2]พ.ย.59!$AB$39</f>
        <v>22.186781698136873</v>
      </c>
      <c r="E158" s="435">
        <f>+[2]ธ.ค.59!$AB$39</f>
        <v>20.29005359313734</v>
      </c>
      <c r="F158" s="435">
        <f>+'[2]3M'!$AB$39</f>
        <v>23.761425903876095</v>
      </c>
      <c r="G158" s="435">
        <f>+[2]ม.ค.60!$AB$39</f>
        <v>19.747284835854582</v>
      </c>
      <c r="H158" s="435">
        <f>+[2]ก.พ.60!$AB$39</f>
        <v>20.831288436487018</v>
      </c>
      <c r="I158" s="435">
        <f>+[2]มี.ค.60!$AB$39</f>
        <v>24.747416541815529</v>
      </c>
      <c r="J158" s="435">
        <f>+'[2]6M'!$AB$39</f>
        <v>22.789332772423581</v>
      </c>
      <c r="K158" s="435">
        <f>+[2]เม.ย.60!$AB$39</f>
        <v>24.660241808305589</v>
      </c>
      <c r="L158" s="435">
        <f>+[2]พ.ค.60!$AB$39</f>
        <v>23.270106062406924</v>
      </c>
      <c r="M158" s="435">
        <f>+[2]มิ.ย.60!$AB$39</f>
        <v>21.959698898098342</v>
      </c>
      <c r="N158" s="435">
        <f>+'[2]9M'!$AB$39</f>
        <v>22.982500588818404</v>
      </c>
      <c r="O158" s="435">
        <f>+[2]ก.ค.60!$AB$39</f>
        <v>23.467772744637887</v>
      </c>
      <c r="P158" s="435">
        <f>+[2]ส.ค.60!$AB$39</f>
        <v>22.392454994226551</v>
      </c>
      <c r="Q158" s="435">
        <f>+[2]ก.ย.60!$AB$39</f>
        <v>22.894779067368599</v>
      </c>
      <c r="R158" s="436">
        <f>+'[2]12M'!$AB$39</f>
        <v>22.966131138525057</v>
      </c>
      <c r="S158" s="270"/>
      <c r="T158" s="271">
        <v>1025</v>
      </c>
      <c r="U158" s="272" t="s">
        <v>64</v>
      </c>
      <c r="V158" s="446">
        <v>22.999981999387977</v>
      </c>
      <c r="W158" s="457"/>
      <c r="X158" s="453">
        <v>1025</v>
      </c>
      <c r="Y158" s="275" t="s">
        <v>64</v>
      </c>
      <c r="Z158" s="461">
        <f>+[4]ต.ค.58!$AB$37</f>
        <v>22.417516833645852</v>
      </c>
      <c r="AA158" s="461">
        <f>+[4]พ.ย.58!$AB$37</f>
        <v>17.322823611067346</v>
      </c>
      <c r="AB158" s="461">
        <f>+[4]ธ.ค.58!$AB$37</f>
        <v>25.74488591986972</v>
      </c>
      <c r="AC158" s="461">
        <f>+'[4]3M'!$AB$37</f>
        <v>21.861815918120534</v>
      </c>
      <c r="AD158" s="461">
        <f>+[4]ม.ค.59!$AB$37</f>
        <v>21.999491399718394</v>
      </c>
      <c r="AE158" s="461">
        <f>+[4]ก.พ.59!$AB$37</f>
        <v>28.373184819622878</v>
      </c>
      <c r="AF158" s="461">
        <f>+[4]มี.ค.59!$AB$37</f>
        <v>29.934004946912435</v>
      </c>
      <c r="AG158" s="461">
        <f>+'[4]6M'!$AB$37</f>
        <v>24.384765359687972</v>
      </c>
      <c r="AH158" s="461">
        <f>+[4]เม.ย.59!$AB$37</f>
        <v>18.363821800935696</v>
      </c>
      <c r="AI158" s="461">
        <f>+[4]พ.ค.59!$AB$37</f>
        <v>16.926662353581744</v>
      </c>
      <c r="AJ158" s="461">
        <f>+[4]มิ.ย.59!$AB$37</f>
        <v>21.990873137297022</v>
      </c>
      <c r="AK158" s="461">
        <f>+'[4]9M'!$AB$37</f>
        <v>22.457156273749131</v>
      </c>
      <c r="AL158" s="461">
        <f>+[4]ก.ค.59!$AB$37</f>
        <v>22.991429426444931</v>
      </c>
      <c r="AM158" s="461">
        <f>+[4]ส.ค.59!$AB$37</f>
        <v>33.790545172496067</v>
      </c>
      <c r="AN158" s="461">
        <f>+[4]ก.ย.59!$AB$37</f>
        <v>28.2482240854035</v>
      </c>
      <c r="AO158" s="460">
        <f>+'[4]12M'!$AB$37</f>
        <v>24.001564131090582</v>
      </c>
      <c r="AP158" s="453">
        <v>1025</v>
      </c>
      <c r="AQ158" s="275" t="s">
        <v>64</v>
      </c>
      <c r="AR158" s="461">
        <f>+[4]ต.ค.58!$AB$37</f>
        <v>22.417516833645852</v>
      </c>
      <c r="AS158" s="461">
        <f>+'[4]2M'!$AB$37</f>
        <v>19.901875267904849</v>
      </c>
      <c r="AT158" s="461">
        <f>+'[4]3M'!$AB$37</f>
        <v>21.861815918120534</v>
      </c>
      <c r="AU158" s="461">
        <f>+'[4]4M'!$AB$37</f>
        <v>21.897039507864307</v>
      </c>
      <c r="AV158" s="461">
        <f>+'[4]5M'!$AB$37</f>
        <v>23.200345954118337</v>
      </c>
      <c r="AW158" s="461">
        <f>+'[4]6M'!$AB$37</f>
        <v>24.384765359687972</v>
      </c>
      <c r="AX158" s="461">
        <f>+'[4]7M'!$AB$37</f>
        <v>23.435541636879968</v>
      </c>
      <c r="AY158" s="461">
        <f>+'[4]8M'!$AB$37</f>
        <v>22.52141538591227</v>
      </c>
      <c r="AZ158" s="461">
        <f>+'[4]9M'!$AB$37</f>
        <v>22.457156273749131</v>
      </c>
      <c r="BA158" s="461">
        <f>+'[4]10M'!$AB$37</f>
        <v>22.514207292283125</v>
      </c>
      <c r="BB158" s="461">
        <f>+'[4]11M'!$AB$37</f>
        <v>23.610121258555246</v>
      </c>
      <c r="BC158" s="460">
        <f>+'[4]12M'!$AB$37</f>
        <v>24.001564131090582</v>
      </c>
    </row>
    <row r="159" spans="1:55" s="273" customFormat="1" x14ac:dyDescent="0.2">
      <c r="A159" s="269">
        <v>1026</v>
      </c>
      <c r="B159" s="203" t="s">
        <v>65</v>
      </c>
      <c r="C159" s="435">
        <f>+[2]ต.ค.59!$AC$39</f>
        <v>14.470381143892849</v>
      </c>
      <c r="D159" s="435">
        <f>+[2]พ.ย.59!$AC$39</f>
        <v>10.903076392567757</v>
      </c>
      <c r="E159" s="435">
        <f>+[2]ธ.ค.59!$AC$39</f>
        <v>16.432658657430267</v>
      </c>
      <c r="F159" s="435">
        <f>+'[2]3M'!$AC$39</f>
        <v>14.006974364522714</v>
      </c>
      <c r="G159" s="435">
        <f>+[2]ม.ค.60!$AC$39</f>
        <v>14.665927602153154</v>
      </c>
      <c r="H159" s="435">
        <f>+[2]ก.พ.60!$AC$39</f>
        <v>12.577088410910248</v>
      </c>
      <c r="I159" s="435">
        <f>+[2]มี.ค.60!$AC$39</f>
        <v>22.820332261012176</v>
      </c>
      <c r="J159" s="435">
        <f>+'[2]6M'!$AC$39</f>
        <v>15.469599704245487</v>
      </c>
      <c r="K159" s="435">
        <f>+[2]เม.ย.60!$AC$39</f>
        <v>8.3058892512127258</v>
      </c>
      <c r="L159" s="435">
        <f>+[2]พ.ค.60!$AC$39</f>
        <v>14.738305393398065</v>
      </c>
      <c r="M159" s="435">
        <f>+[2]มิ.ย.60!$AC$39</f>
        <v>13.448749238228247</v>
      </c>
      <c r="N159" s="435">
        <f>+'[2]9M'!$AC$39</f>
        <v>14.33714943976149</v>
      </c>
      <c r="O159" s="435">
        <f>+[2]ก.ค.60!$AC$39</f>
        <v>15.783797407514871</v>
      </c>
      <c r="P159" s="435">
        <f>+[2]ส.ค.60!$AC$39</f>
        <v>17.038989393350807</v>
      </c>
      <c r="Q159" s="435">
        <f>+[2]ก.ย.60!$AC$39</f>
        <v>7.7107241780394755</v>
      </c>
      <c r="R159" s="436">
        <f>+'[2]12M'!$AC$39</f>
        <v>14.159674238804071</v>
      </c>
      <c r="S159" s="270"/>
      <c r="T159" s="271">
        <v>1026</v>
      </c>
      <c r="U159" s="272" t="s">
        <v>65</v>
      </c>
      <c r="V159" s="446">
        <v>15</v>
      </c>
      <c r="W159" s="457"/>
      <c r="X159" s="453">
        <v>1026</v>
      </c>
      <c r="Y159" s="275" t="s">
        <v>65</v>
      </c>
      <c r="Z159" s="461">
        <f>+[4]ต.ค.58!$AC$37</f>
        <v>16.034850114971626</v>
      </c>
      <c r="AA159" s="461">
        <f>+[4]พ.ย.58!$AC$37</f>
        <v>16.870493432731422</v>
      </c>
      <c r="AB159" s="461">
        <f>+[4]ธ.ค.58!$AC$37</f>
        <v>10.109709960245148</v>
      </c>
      <c r="AC159" s="461">
        <f>+'[4]3M'!$AC$37</f>
        <v>14.345612285891102</v>
      </c>
      <c r="AD159" s="461">
        <f>+[4]ม.ค.59!$AC$37</f>
        <v>14.560083429943338</v>
      </c>
      <c r="AE159" s="461">
        <f>+[4]ก.พ.59!$AC$37</f>
        <v>6.524133281161804</v>
      </c>
      <c r="AF159" s="461">
        <f>+[4]มี.ค.59!$AC$37</f>
        <v>26.7531127286172</v>
      </c>
      <c r="AG159" s="461">
        <f>+'[4]6M'!$AC$37</f>
        <v>15.423610261694574</v>
      </c>
      <c r="AH159" s="461">
        <f>+[4]เม.ย.59!$AC$37</f>
        <v>8.5269331031857849</v>
      </c>
      <c r="AI159" s="461">
        <f>+[4]พ.ค.59!$AC$37</f>
        <v>10.045130042867857</v>
      </c>
      <c r="AJ159" s="461">
        <f>+[4]มิ.ย.59!$AC$37</f>
        <v>15.367196497884644</v>
      </c>
      <c r="AK159" s="461">
        <f>+'[4]9M'!$AC$37</f>
        <v>13.993828946442017</v>
      </c>
      <c r="AL159" s="461">
        <f>+[4]ก.ค.59!$AC$37</f>
        <v>12.832001611304463</v>
      </c>
      <c r="AM159" s="461">
        <f>+[4]ส.ค.59!$AC$37</f>
        <v>17.54859528238638</v>
      </c>
      <c r="AN159" s="461">
        <f>+[4]ก.ย.59!$AC$37</f>
        <v>5.5285579632684465</v>
      </c>
      <c r="AO159" s="460">
        <f>+'[4]12M'!$AC$37</f>
        <v>13.503546931857265</v>
      </c>
      <c r="AP159" s="453">
        <v>1026</v>
      </c>
      <c r="AQ159" s="275" t="s">
        <v>65</v>
      </c>
      <c r="AR159" s="461">
        <f>+[4]ต.ค.58!$AC$37</f>
        <v>16.034850114971626</v>
      </c>
      <c r="AS159" s="461">
        <f>+'[4]2M'!$AC$37</f>
        <v>16.443023236866207</v>
      </c>
      <c r="AT159" s="461">
        <f>+'[4]3M'!$AC$37</f>
        <v>14.345612285891102</v>
      </c>
      <c r="AU159" s="461">
        <f>+'[4]4M'!$AC$37</f>
        <v>14.399693501579296</v>
      </c>
      <c r="AV159" s="461">
        <f>+'[4]5M'!$AC$37</f>
        <v>12.962644920316006</v>
      </c>
      <c r="AW159" s="461">
        <f>+'[4]6M'!$AC$37</f>
        <v>15.423610261694574</v>
      </c>
      <c r="AX159" s="461">
        <f>+'[4]7M'!$AC$37</f>
        <v>14.399421443741492</v>
      </c>
      <c r="AY159" s="461">
        <f>+'[4]8M'!$AC$37</f>
        <v>13.815925526882417</v>
      </c>
      <c r="AZ159" s="461">
        <f>+'[4]9M'!$AC$37</f>
        <v>13.993828946442017</v>
      </c>
      <c r="BA159" s="461">
        <f>+'[4]10M'!$AC$37</f>
        <v>13.872541018154161</v>
      </c>
      <c r="BB159" s="461">
        <f>+'[4]11M'!$AC$37</f>
        <v>14.20036860701909</v>
      </c>
      <c r="BC159" s="460">
        <f>+'[4]12M'!$AC$37</f>
        <v>13.503546931857265</v>
      </c>
    </row>
    <row r="160" spans="1:55" s="273" customFormat="1" x14ac:dyDescent="0.2">
      <c r="A160" s="269">
        <v>1027</v>
      </c>
      <c r="B160" s="203" t="s">
        <v>66</v>
      </c>
      <c r="C160" s="435">
        <f>+[2]ต.ค.59!$AD$39</f>
        <v>22.366262765225674</v>
      </c>
      <c r="D160" s="435">
        <f>+[2]พ.ย.59!$AD$39</f>
        <v>13.544877606527653</v>
      </c>
      <c r="E160" s="435">
        <f>+[2]ธ.ค.59!$AD$39</f>
        <v>20.196347928529352</v>
      </c>
      <c r="F160" s="435">
        <f>+'[2]3M'!$AD$39</f>
        <v>18.797779029532467</v>
      </c>
      <c r="G160" s="435">
        <f>+[2]ม.ค.60!$AD$39</f>
        <v>15.691193621002956</v>
      </c>
      <c r="H160" s="435">
        <f>+[2]ก.พ.60!$AD$39</f>
        <v>11.454560535265006</v>
      </c>
      <c r="I160" s="435">
        <f>+[2]มี.ค.60!$AD$39</f>
        <v>19.672153192404927</v>
      </c>
      <c r="J160" s="435">
        <f>+'[2]6M'!$AD$39</f>
        <v>17.232341881881432</v>
      </c>
      <c r="K160" s="435">
        <f>+[2]เม.ย.60!$AD$39</f>
        <v>11.152535835958091</v>
      </c>
      <c r="L160" s="435">
        <f>+[2]พ.ค.60!$AD$39</f>
        <v>10.653360402879215</v>
      </c>
      <c r="M160" s="435">
        <f>+[2]มิ.ย.60!$AD$39</f>
        <v>10.612736947123379</v>
      </c>
      <c r="N160" s="435">
        <f>+'[2]9M'!$AD$39</f>
        <v>15.068431807766999</v>
      </c>
      <c r="O160" s="435">
        <f>+[2]ก.ค.60!$AD$39</f>
        <v>13.572542901716069</v>
      </c>
      <c r="P160" s="435">
        <f>+[2]ส.ค.60!$AD$39</f>
        <v>17.665456424482247</v>
      </c>
      <c r="Q160" s="435">
        <f>+[2]ก.ย.60!$AD$39</f>
        <v>19.064957762889602</v>
      </c>
      <c r="R160" s="436">
        <f>+'[2]12M'!$AD$39</f>
        <v>15.498343190490496</v>
      </c>
      <c r="S160" s="270"/>
      <c r="T160" s="271">
        <v>1027</v>
      </c>
      <c r="U160" s="272" t="s">
        <v>66</v>
      </c>
      <c r="V160" s="446">
        <v>17.999406792228978</v>
      </c>
      <c r="W160" s="457"/>
      <c r="X160" s="453">
        <v>1027</v>
      </c>
      <c r="Y160" s="275" t="s">
        <v>66</v>
      </c>
      <c r="Z160" s="461">
        <f>+[4]ต.ค.58!$AD$37</f>
        <v>18.063214721077379</v>
      </c>
      <c r="AA160" s="461">
        <f>+[4]พ.ย.58!$AD$37</f>
        <v>15.433521767858455</v>
      </c>
      <c r="AB160" s="461">
        <f>+[4]ธ.ค.58!$AD$37</f>
        <v>17.345093080210653</v>
      </c>
      <c r="AC160" s="461">
        <f>+'[4]3M'!$AD$37</f>
        <v>16.940537180554024</v>
      </c>
      <c r="AD160" s="461">
        <f>+[4]ม.ค.59!$AD$37</f>
        <v>15.932536433600786</v>
      </c>
      <c r="AE160" s="461">
        <f>+[4]ก.พ.59!$AD$37</f>
        <v>17.041136496223768</v>
      </c>
      <c r="AF160" s="461">
        <f>+[4]มี.ค.59!$AD$37</f>
        <v>19.890365865565677</v>
      </c>
      <c r="AG160" s="461">
        <f>+'[4]6M'!$AD$37</f>
        <v>17.314244895825816</v>
      </c>
      <c r="AH160" s="461">
        <f>+[4]เม.ย.59!$AD$37</f>
        <v>19.501050357833773</v>
      </c>
      <c r="AI160" s="461">
        <f>+[4]พ.ค.59!$AD$37</f>
        <v>11.488077271355266</v>
      </c>
      <c r="AJ160" s="461">
        <f>+[4]มิ.ย.59!$AD$37</f>
        <v>10.285226349350632</v>
      </c>
      <c r="AK160" s="461">
        <f>+'[4]9M'!$AD$37</f>
        <v>16.053595647497154</v>
      </c>
      <c r="AL160" s="461">
        <f>+[4]ก.ค.59!$AD$37</f>
        <v>10.226500566251415</v>
      </c>
      <c r="AM160" s="461">
        <f>+[4]ส.ค.59!$AD$37</f>
        <v>15.952928927612472</v>
      </c>
      <c r="AN160" s="461">
        <f>+[4]ก.ย.59!$AD$37</f>
        <v>17.197309417040358</v>
      </c>
      <c r="AO160" s="460">
        <f>+'[4]12M'!$AD$37</f>
        <v>15.659699275861506</v>
      </c>
      <c r="AP160" s="453">
        <v>1027</v>
      </c>
      <c r="AQ160" s="275" t="s">
        <v>66</v>
      </c>
      <c r="AR160" s="461">
        <f>+[4]ต.ค.58!$AD$37</f>
        <v>18.063214721077379</v>
      </c>
      <c r="AS160" s="461">
        <f>+'[4]2M'!$AD$37</f>
        <v>16.756074241130403</v>
      </c>
      <c r="AT160" s="461">
        <f>+'[4]3M'!$AD$37</f>
        <v>16.940537180554024</v>
      </c>
      <c r="AU160" s="461">
        <f>+'[4]4M'!$AD$37</f>
        <v>16.686604440811063</v>
      </c>
      <c r="AV160" s="461">
        <f>+'[4]5M'!$AD$37</f>
        <v>16.754724526335561</v>
      </c>
      <c r="AW160" s="461">
        <f>+'[4]6M'!$AD$37</f>
        <v>17.314244895825816</v>
      </c>
      <c r="AX160" s="461">
        <f>+'[4]7M'!$AD$37</f>
        <v>17.693339588014055</v>
      </c>
      <c r="AY160" s="461">
        <f>+'[4]8M'!$AD$37</f>
        <v>16.789866065699705</v>
      </c>
      <c r="AZ160" s="461">
        <f>+'[4]9M'!$AD$37</f>
        <v>16.053595647497154</v>
      </c>
      <c r="BA160" s="461">
        <f>+'[4]10M'!$AD$37</f>
        <v>15.475558551347405</v>
      </c>
      <c r="BB160" s="461">
        <f>+'[4]11M'!$AD$37</f>
        <v>15.519942530053266</v>
      </c>
      <c r="BC160" s="460">
        <f>+'[4]12M'!$AD$37</f>
        <v>15.659699275861506</v>
      </c>
    </row>
    <row r="161" spans="1:55" s="273" customFormat="1" x14ac:dyDescent="0.2">
      <c r="A161" s="269">
        <v>1028</v>
      </c>
      <c r="B161" s="203" t="s">
        <v>67</v>
      </c>
      <c r="C161" s="435">
        <f>+[2]ต.ค.59!$AE$39</f>
        <v>32.074700346189303</v>
      </c>
      <c r="D161" s="435">
        <f>+[2]พ.ย.59!$AE$39</f>
        <v>36.882502742672017</v>
      </c>
      <c r="E161" s="435">
        <f>+[2]ธ.ค.59!$AE$39</f>
        <v>37.664398391148772</v>
      </c>
      <c r="F161" s="435">
        <f>+'[2]3M'!$AE$39</f>
        <v>35.632208169717607</v>
      </c>
      <c r="G161" s="435">
        <f>+[2]ม.ค.60!$AE$39</f>
        <v>33.278861463331836</v>
      </c>
      <c r="H161" s="435">
        <f>+[2]ก.พ.60!$AE$39</f>
        <v>27.651817326952351</v>
      </c>
      <c r="I161" s="435">
        <f>+[2]มี.ค.60!$AE$39</f>
        <v>29.052643550088703</v>
      </c>
      <c r="J161" s="435">
        <f>+'[2]6M'!$AE$39</f>
        <v>32.982013874397374</v>
      </c>
      <c r="K161" s="435">
        <f>+[2]เม.ย.60!$AE$39</f>
        <v>26.52217840545114</v>
      </c>
      <c r="L161" s="435">
        <f>+[2]พ.ค.60!$AE$39</f>
        <v>27.098312948211223</v>
      </c>
      <c r="M161" s="435">
        <f>+[2]มิ.ย.60!$AE$39</f>
        <v>21.432223265759745</v>
      </c>
      <c r="N161" s="435">
        <f>+'[2]9M'!$AE$39</f>
        <v>30.409955782006669</v>
      </c>
      <c r="O161" s="435">
        <f>+[2]ก.ค.60!$AE$39</f>
        <v>24.846921124930226</v>
      </c>
      <c r="P161" s="435">
        <f>+[2]ส.ค.60!$AE$39</f>
        <v>24.852996214202371</v>
      </c>
      <c r="Q161" s="435">
        <f>+[2]ก.ย.60!$AE$39</f>
        <v>20.909715642599188</v>
      </c>
      <c r="R161" s="436">
        <f>+'[2]12M'!$AE$39</f>
        <v>28.801910543890365</v>
      </c>
      <c r="S161" s="270"/>
      <c r="T161" s="271">
        <v>1028</v>
      </c>
      <c r="U161" s="272" t="s">
        <v>67</v>
      </c>
      <c r="V161" s="446">
        <v>28.249965149508611</v>
      </c>
      <c r="W161" s="457"/>
      <c r="X161" s="453">
        <v>1028</v>
      </c>
      <c r="Y161" s="275" t="s">
        <v>67</v>
      </c>
      <c r="Z161" s="461">
        <f>+[4]ต.ค.58!$AE$37</f>
        <v>29.067049326312528</v>
      </c>
      <c r="AA161" s="461">
        <f>+[4]พ.ย.58!$AE$37</f>
        <v>30.008441093227972</v>
      </c>
      <c r="AB161" s="461">
        <f>+[4]ธ.ค.58!$AE$37</f>
        <v>30.015660870130954</v>
      </c>
      <c r="AC161" s="461">
        <f>+'[4]3M'!$AE$37</f>
        <v>29.703738736142483</v>
      </c>
      <c r="AD161" s="461">
        <f>+[4]ม.ค.59!$AE$37</f>
        <v>31.011725872435992</v>
      </c>
      <c r="AE161" s="461">
        <f>+[4]ก.พ.59!$AE$37</f>
        <v>28.519724176555005</v>
      </c>
      <c r="AF161" s="461">
        <f>+[4]มี.ค.59!$AE$37</f>
        <v>29.341876727612416</v>
      </c>
      <c r="AG161" s="461">
        <f>+'[4]6M'!$AE$37</f>
        <v>29.679892068027019</v>
      </c>
      <c r="AH161" s="461">
        <f>+[4]เม.ย.59!$AE$37</f>
        <v>27.183713121878888</v>
      </c>
      <c r="AI161" s="461">
        <f>+[4]พ.ค.59!$AE$37</f>
        <v>26.69357270620505</v>
      </c>
      <c r="AJ161" s="461">
        <f>+[4]มิ.ย.59!$AE$37</f>
        <v>27.126025577858233</v>
      </c>
      <c r="AK161" s="461">
        <f>+'[4]9M'!$AE$37</f>
        <v>28.725291015260883</v>
      </c>
      <c r="AL161" s="461">
        <f>+[4]ก.ค.59!$AE$37</f>
        <v>29.859168218701544</v>
      </c>
      <c r="AM161" s="461">
        <f>+[4]ส.ค.59!$AE$37</f>
        <v>31.847288982553213</v>
      </c>
      <c r="AN161" s="461">
        <f>+[4]ก.ย.59!$AE$37</f>
        <v>24.886632952021944</v>
      </c>
      <c r="AO161" s="460">
        <f>+'[4]12M'!$AE$37</f>
        <v>28.772557637903933</v>
      </c>
      <c r="AP161" s="453">
        <v>1028</v>
      </c>
      <c r="AQ161" s="275" t="s">
        <v>67</v>
      </c>
      <c r="AR161" s="461">
        <f>+[4]ต.ค.58!$AE$37</f>
        <v>29.067049326312528</v>
      </c>
      <c r="AS161" s="461">
        <f>+'[4]2M'!$AE$37</f>
        <v>29.543195894658918</v>
      </c>
      <c r="AT161" s="461">
        <f>+'[4]3M'!$AE$37</f>
        <v>29.703738736142483</v>
      </c>
      <c r="AU161" s="461">
        <f>+'[4]4M'!$AE$37</f>
        <v>30.050469884020231</v>
      </c>
      <c r="AV161" s="461">
        <f>+'[4]5M'!$AE$37</f>
        <v>29.745638700725252</v>
      </c>
      <c r="AW161" s="461">
        <f>+'[4]6M'!$AE$37</f>
        <v>29.679892068027019</v>
      </c>
      <c r="AX161" s="461">
        <f>+'[4]7M'!$AE$37</f>
        <v>29.294461776931545</v>
      </c>
      <c r="AY161" s="461">
        <f>+'[4]8M'!$AE$37</f>
        <v>28.937136461896358</v>
      </c>
      <c r="AZ161" s="461">
        <f>+'[4]9M'!$AE$37</f>
        <v>28.725291015260883</v>
      </c>
      <c r="BA161" s="461">
        <f>+'[4]10M'!$AE$37</f>
        <v>28.848728605024842</v>
      </c>
      <c r="BB161" s="461">
        <f>+'[4]11M'!$AE$37</f>
        <v>29.11189326415224</v>
      </c>
      <c r="BC161" s="460">
        <f>+'[4]12M'!$AE$37</f>
        <v>28.772557637903933</v>
      </c>
    </row>
    <row r="162" spans="1:55" s="273" customFormat="1" x14ac:dyDescent="0.2">
      <c r="A162" s="269">
        <v>1029</v>
      </c>
      <c r="B162" s="203" t="s">
        <v>68</v>
      </c>
      <c r="C162" s="435">
        <f>+[2]ต.ค.59!$AF$39</f>
        <v>21.59631698737844</v>
      </c>
      <c r="D162" s="435">
        <f>+[2]พ.ย.59!$AF$39</f>
        <v>17.919638197947467</v>
      </c>
      <c r="E162" s="435">
        <f>+[2]ธ.ค.59!$AF$39</f>
        <v>21.097117456896552</v>
      </c>
      <c r="F162" s="435">
        <f>+'[2]3M'!$AF$39</f>
        <v>20.218094900444882</v>
      </c>
      <c r="G162" s="435">
        <f>+[2]ม.ค.60!$AF$39</f>
        <v>19.2788863565561</v>
      </c>
      <c r="H162" s="435">
        <f>+[2]ก.พ.60!$AF$39</f>
        <v>18.834478559624248</v>
      </c>
      <c r="I162" s="435">
        <f>+[2]มี.ค.60!$AF$39</f>
        <v>19.539431157078216</v>
      </c>
      <c r="J162" s="435">
        <f>+'[2]6M'!$AF$39</f>
        <v>19.714721646698496</v>
      </c>
      <c r="K162" s="435">
        <f>+[2]เม.ย.60!$AF$39</f>
        <v>8.6682887266828885</v>
      </c>
      <c r="L162" s="435">
        <f>+[2]พ.ค.60!$AF$39</f>
        <v>9.8604239982319228</v>
      </c>
      <c r="M162" s="435">
        <f>+[2]มิ.ย.60!$AF$39</f>
        <v>8.2730853391684906</v>
      </c>
      <c r="N162" s="435">
        <f>+'[2]9M'!$AF$39</f>
        <v>16.122088178549177</v>
      </c>
      <c r="O162" s="435">
        <f>+[2]ก.ค.60!$AF$39</f>
        <v>14.303154599709329</v>
      </c>
      <c r="P162" s="435">
        <f>+[2]ส.ค.60!$AF$39</f>
        <v>9.9051915635423189</v>
      </c>
      <c r="Q162" s="435">
        <f>+[2]ก.ย.60!$AF$39</f>
        <v>6.2984517080899707</v>
      </c>
      <c r="R162" s="436">
        <f>+'[2]12M'!$AF$39</f>
        <v>14.695368786982993</v>
      </c>
      <c r="S162" s="270"/>
      <c r="T162" s="271">
        <v>1029</v>
      </c>
      <c r="U162" s="272" t="s">
        <v>68</v>
      </c>
      <c r="V162" s="446">
        <v>17.000495345026863</v>
      </c>
      <c r="W162" s="457"/>
      <c r="X162" s="453">
        <v>1029</v>
      </c>
      <c r="Y162" s="275" t="s">
        <v>68</v>
      </c>
      <c r="Z162" s="461">
        <f>+[4]ต.ค.58!$AF$37</f>
        <v>15.689112770926217</v>
      </c>
      <c r="AA162" s="461">
        <f>+[4]พ.ย.58!$AF$37</f>
        <v>16.996386125703214</v>
      </c>
      <c r="AB162" s="461">
        <f>+[4]ธ.ค.58!$AF$37</f>
        <v>17.251244492761916</v>
      </c>
      <c r="AC162" s="461">
        <f>+'[4]3M'!$AF$37</f>
        <v>16.652102883629041</v>
      </c>
      <c r="AD162" s="461">
        <f>+[4]ม.ค.59!$AF$37</f>
        <v>17.106575011806687</v>
      </c>
      <c r="AE162" s="461">
        <f>+[4]ก.พ.59!$AF$37</f>
        <v>17.110589085652332</v>
      </c>
      <c r="AF162" s="461">
        <f>+[4]มี.ค.59!$AF$37</f>
        <v>17.139554826441966</v>
      </c>
      <c r="AG162" s="461">
        <f>+'[4]6M'!$AF$37</f>
        <v>16.89125182440084</v>
      </c>
      <c r="AH162" s="461">
        <f>+[4]เม.ย.59!$AF$37</f>
        <v>17.462738531425632</v>
      </c>
      <c r="AI162" s="461">
        <f>+[4]พ.ค.59!$AF$37</f>
        <v>17.134645743661707</v>
      </c>
      <c r="AJ162" s="461">
        <f>+[4]มิ.ย.59!$AF$37</f>
        <v>10.758770928128458</v>
      </c>
      <c r="AK162" s="461">
        <f>+'[4]9M'!$AF$37</f>
        <v>16.315891585666336</v>
      </c>
      <c r="AL162" s="461">
        <f>+[4]ก.ค.59!$AF$37</f>
        <v>15.624839839412315</v>
      </c>
      <c r="AM162" s="461">
        <f>+[4]ส.ค.59!$AF$37</f>
        <v>18.736943596336172</v>
      </c>
      <c r="AN162" s="461">
        <f>+[4]ก.ย.59!$AF$37</f>
        <v>16.588991279172404</v>
      </c>
      <c r="AO162" s="460">
        <f>+'[4]12M'!$AF$37</f>
        <v>16.456323165220201</v>
      </c>
      <c r="AP162" s="453">
        <v>1029</v>
      </c>
      <c r="AQ162" s="275" t="s">
        <v>68</v>
      </c>
      <c r="AR162" s="461">
        <f>+[4]ต.ค.58!$AF$37</f>
        <v>15.689112770926217</v>
      </c>
      <c r="AS162" s="461">
        <f>+'[4]2M'!$AF$37</f>
        <v>16.354329589080052</v>
      </c>
      <c r="AT162" s="461">
        <f>+'[4]3M'!$AF$37</f>
        <v>16.652102883629041</v>
      </c>
      <c r="AU162" s="461">
        <f>+'[4]4M'!$AF$37</f>
        <v>16.772897808895522</v>
      </c>
      <c r="AV162" s="461">
        <f>+'[4]5M'!$AF$37</f>
        <v>16.842000170095066</v>
      </c>
      <c r="AW162" s="461">
        <f>+'[4]6M'!$AF$37</f>
        <v>16.89125182440084</v>
      </c>
      <c r="AX162" s="461">
        <f>+'[4]7M'!$AF$37</f>
        <v>16.980925920144852</v>
      </c>
      <c r="AY162" s="461">
        <f>+'[4]8M'!$AF$37</f>
        <v>17.005773060070794</v>
      </c>
      <c r="AZ162" s="461">
        <f>+'[4]9M'!$AF$37</f>
        <v>16.315891585666336</v>
      </c>
      <c r="BA162" s="461">
        <f>+'[4]10M'!$AF$37</f>
        <v>16.2454156612337</v>
      </c>
      <c r="BB162" s="461">
        <f>+'[4]11M'!$AF$37</f>
        <v>16.444274860560899</v>
      </c>
      <c r="BC162" s="460">
        <f>+'[4]12M'!$AF$37</f>
        <v>16.456323165220201</v>
      </c>
    </row>
    <row r="163" spans="1:55" s="273" customFormat="1" ht="15" thickBot="1" x14ac:dyDescent="0.25">
      <c r="A163" s="276">
        <v>1030</v>
      </c>
      <c r="B163" s="277" t="s">
        <v>69</v>
      </c>
      <c r="C163" s="437">
        <f>+[2]ต.ค.59!$AG$39</f>
        <v>19.526035547333951</v>
      </c>
      <c r="D163" s="437">
        <f>+[2]พ.ย.59!$AG$39</f>
        <v>18.441577286303339</v>
      </c>
      <c r="E163" s="437">
        <f>+[2]ธ.ค.59!$AG$39</f>
        <v>22.665607149437996</v>
      </c>
      <c r="F163" s="437">
        <f>+'[2]3M'!$AG$39</f>
        <v>20.259119890036349</v>
      </c>
      <c r="G163" s="437">
        <f>+[2]ม.ค.60!$AG$39</f>
        <v>19.147991254441106</v>
      </c>
      <c r="H163" s="437">
        <f>+[2]ก.พ.60!$AG$39</f>
        <v>19.336047958375747</v>
      </c>
      <c r="I163" s="437">
        <f>+[2]มี.ค.60!$AG$39</f>
        <v>21.369593041035689</v>
      </c>
      <c r="J163" s="437">
        <f>+'[2]6M'!$AG$39</f>
        <v>20.101273801094052</v>
      </c>
      <c r="K163" s="437">
        <f>+[2]เม.ย.60!$AG$39</f>
        <v>17.323960930156524</v>
      </c>
      <c r="L163" s="437">
        <f>+[2]พ.ค.60!$AG$39</f>
        <v>15.436332767402378</v>
      </c>
      <c r="M163" s="437">
        <f>+[2]มิ.ย.60!$AG$39</f>
        <v>15.308517969142363</v>
      </c>
      <c r="N163" s="437">
        <f>+'[2]9M'!$AG$39</f>
        <v>18.708812986943581</v>
      </c>
      <c r="O163" s="437">
        <f>+[2]ก.ค.60!$AG$39</f>
        <v>16.146184910173965</v>
      </c>
      <c r="P163" s="437">
        <f>+[2]ส.ค.60!$AG$39</f>
        <v>17.846702903229595</v>
      </c>
      <c r="Q163" s="437">
        <f>+[2]ก.ย.60!$AG$39</f>
        <v>15.997081653888937</v>
      </c>
      <c r="R163" s="438">
        <f>+'[2]12M'!$AG$39</f>
        <v>18.211712127861052</v>
      </c>
      <c r="S163" s="270"/>
      <c r="T163" s="278">
        <v>1030</v>
      </c>
      <c r="U163" s="279" t="s">
        <v>69</v>
      </c>
      <c r="V163" s="447">
        <v>20</v>
      </c>
      <c r="W163" s="457"/>
      <c r="X163" s="454">
        <v>1030</v>
      </c>
      <c r="Y163" s="281" t="s">
        <v>69</v>
      </c>
      <c r="Z163" s="462">
        <f>+[4]ต.ค.58!$AG$37</f>
        <v>16.217447916666668</v>
      </c>
      <c r="AA163" s="462">
        <f>+[4]พ.ย.58!$AG$37</f>
        <v>17.927561349308014</v>
      </c>
      <c r="AB163" s="462">
        <f>+[4]ธ.ค.58!$AG$37</f>
        <v>17.649856055932553</v>
      </c>
      <c r="AC163" s="462">
        <f>+'[4]3M'!$AG$37</f>
        <v>17.274605736144196</v>
      </c>
      <c r="AD163" s="462">
        <f>+[4]ม.ค.59!$AG$37</f>
        <v>16.910154707634874</v>
      </c>
      <c r="AE163" s="462">
        <f>+[4]ก.พ.59!$AG$37</f>
        <v>17.06753413130032</v>
      </c>
      <c r="AF163" s="462">
        <f>+[4]มี.ค.59!$AG$37</f>
        <v>15.381086571859232</v>
      </c>
      <c r="AG163" s="462">
        <f>+'[4]6M'!$AG$37</f>
        <v>16.870547258430523</v>
      </c>
      <c r="AH163" s="462">
        <f>+[4]เม.ย.59!$AG$37</f>
        <v>12.746117356553382</v>
      </c>
      <c r="AI163" s="462">
        <f>+[4]พ.ค.59!$AG$37</f>
        <v>10.987055509797342</v>
      </c>
      <c r="AJ163" s="462">
        <f>+[4]มิ.ย.59!$AG$37</f>
        <v>11.071570689557159</v>
      </c>
      <c r="AK163" s="462">
        <f>+'[4]9M'!$AG$37</f>
        <v>14.917386294006702</v>
      </c>
      <c r="AL163" s="462">
        <f>+[4]ก.ค.59!$AG$37</f>
        <v>16.64676136508017</v>
      </c>
      <c r="AM163" s="462">
        <f>+[4]ส.ค.59!$AG$37</f>
        <v>19.930561498306826</v>
      </c>
      <c r="AN163" s="462">
        <f>+[4]ก.ย.59!$AG$37</f>
        <v>16.402221587167475</v>
      </c>
      <c r="AO163" s="463">
        <f>+'[4]12M'!$AG$37</f>
        <v>15.587535045729329</v>
      </c>
      <c r="AP163" s="454">
        <v>1030</v>
      </c>
      <c r="AQ163" s="281" t="s">
        <v>69</v>
      </c>
      <c r="AR163" s="462">
        <f>+[4]ต.ค.58!$AG$37</f>
        <v>16.217447916666668</v>
      </c>
      <c r="AS163" s="462">
        <f>+'[4]2M'!$AG$37</f>
        <v>17.087952130719959</v>
      </c>
      <c r="AT163" s="462">
        <f>+'[4]3M'!$AG$37</f>
        <v>17.274605736144196</v>
      </c>
      <c r="AU163" s="462">
        <f>+'[4]4M'!$AG$37</f>
        <v>17.178763478923006</v>
      </c>
      <c r="AV163" s="462">
        <f>+'[4]5M'!$AG$37</f>
        <v>17.156480386483157</v>
      </c>
      <c r="AW163" s="462">
        <f>+'[4]6M'!$AG$37</f>
        <v>16.870547258430523</v>
      </c>
      <c r="AX163" s="462">
        <f>+'[4]7M'!$AG$37</f>
        <v>16.197781503341524</v>
      </c>
      <c r="AY163" s="462">
        <f>+'[4]8M'!$AG$37</f>
        <v>15.426503833522476</v>
      </c>
      <c r="AZ163" s="462">
        <f>+'[4]9M'!$AG$37</f>
        <v>14.917386294006702</v>
      </c>
      <c r="BA163" s="462">
        <f>+'[4]10M'!$AG$37</f>
        <v>15.081167131733695</v>
      </c>
      <c r="BB163" s="462">
        <f>+'[4]11M'!$AG$37</f>
        <v>15.515707741148169</v>
      </c>
      <c r="BC163" s="463">
        <f>+'[4]12M'!$AG$37</f>
        <v>15.587535045729329</v>
      </c>
    </row>
    <row r="164" spans="1:55" ht="15" thickBot="1" x14ac:dyDescent="0.25"/>
    <row r="165" spans="1:55" x14ac:dyDescent="0.2">
      <c r="A165" s="205">
        <v>1</v>
      </c>
      <c r="B165" s="206">
        <v>2</v>
      </c>
      <c r="C165" s="206">
        <v>3</v>
      </c>
      <c r="D165" s="206">
        <v>4</v>
      </c>
      <c r="E165" s="206">
        <v>5</v>
      </c>
      <c r="F165" s="206">
        <v>6</v>
      </c>
      <c r="G165" s="206">
        <v>7</v>
      </c>
      <c r="H165" s="206">
        <v>8</v>
      </c>
      <c r="I165" s="206">
        <v>9</v>
      </c>
      <c r="J165" s="206">
        <v>10</v>
      </c>
      <c r="K165" s="206">
        <v>11</v>
      </c>
      <c r="L165" s="206">
        <v>12</v>
      </c>
      <c r="M165" s="206">
        <v>13</v>
      </c>
      <c r="N165" s="206">
        <v>14</v>
      </c>
      <c r="O165" s="207">
        <v>15</v>
      </c>
      <c r="P165" s="209">
        <v>16</v>
      </c>
      <c r="Q165" s="220">
        <v>17</v>
      </c>
      <c r="R165" s="221">
        <v>18</v>
      </c>
      <c r="S165" s="221">
        <v>19</v>
      </c>
      <c r="T165" s="221">
        <v>20</v>
      </c>
      <c r="U165" s="221">
        <v>21</v>
      </c>
      <c r="V165" s="221">
        <v>22</v>
      </c>
      <c r="W165" s="221">
        <v>23</v>
      </c>
      <c r="X165" s="221">
        <v>24</v>
      </c>
      <c r="Y165" s="221">
        <v>25</v>
      </c>
      <c r="Z165" s="221">
        <v>26</v>
      </c>
      <c r="AA165" s="221">
        <v>27</v>
      </c>
      <c r="AB165" s="221">
        <v>28</v>
      </c>
      <c r="AC165" s="221">
        <v>29</v>
      </c>
      <c r="AD165" s="221">
        <v>30</v>
      </c>
      <c r="AE165" s="222">
        <v>31</v>
      </c>
      <c r="AF165" s="219">
        <v>32</v>
      </c>
      <c r="AG165" s="233">
        <v>33</v>
      </c>
      <c r="AH165" s="234">
        <v>34</v>
      </c>
      <c r="AI165" s="234">
        <v>35</v>
      </c>
      <c r="AJ165" s="234">
        <v>36</v>
      </c>
      <c r="AK165" s="234">
        <v>37</v>
      </c>
      <c r="AL165" s="234">
        <v>38</v>
      </c>
      <c r="AM165" s="234">
        <v>39</v>
      </c>
      <c r="AN165" s="234">
        <v>40</v>
      </c>
      <c r="AO165" s="234">
        <v>41</v>
      </c>
      <c r="AP165" s="234">
        <v>42</v>
      </c>
      <c r="AQ165" s="234">
        <v>43</v>
      </c>
      <c r="AR165" s="234">
        <v>44</v>
      </c>
      <c r="AS165" s="234">
        <v>45</v>
      </c>
      <c r="AT165" s="234">
        <v>46</v>
      </c>
      <c r="AU165" s="235">
        <v>47</v>
      </c>
    </row>
    <row r="166" spans="1:55" s="196" customFormat="1" x14ac:dyDescent="0.2">
      <c r="A166" s="214" t="s">
        <v>127</v>
      </c>
      <c r="B166" s="208"/>
      <c r="C166" s="209"/>
      <c r="D166" s="209"/>
      <c r="E166" s="209"/>
      <c r="F166" s="209"/>
      <c r="G166" s="209"/>
      <c r="H166" s="209"/>
      <c r="I166" s="209"/>
      <c r="J166" s="209"/>
      <c r="K166" s="209"/>
      <c r="L166" s="209"/>
      <c r="M166" s="209"/>
      <c r="N166" s="209"/>
      <c r="O166" s="210"/>
      <c r="P166" s="209"/>
      <c r="Q166" s="223" t="s">
        <v>88</v>
      </c>
      <c r="R166" s="224"/>
      <c r="S166" s="225"/>
      <c r="T166" s="225"/>
      <c r="U166" s="225"/>
      <c r="V166" s="225"/>
      <c r="W166" s="225"/>
      <c r="X166" s="225"/>
      <c r="Y166" s="225"/>
      <c r="Z166" s="225"/>
      <c r="AA166" s="225"/>
      <c r="AB166" s="225"/>
      <c r="AC166" s="225"/>
      <c r="AD166" s="225"/>
      <c r="AE166" s="226"/>
      <c r="AG166" s="236" t="s">
        <v>128</v>
      </c>
      <c r="AH166" s="237"/>
      <c r="AI166" s="238"/>
      <c r="AJ166" s="238"/>
      <c r="AK166" s="238"/>
      <c r="AL166" s="238"/>
      <c r="AM166" s="238"/>
      <c r="AN166" s="238"/>
      <c r="AO166" s="238"/>
      <c r="AP166" s="238"/>
      <c r="AQ166" s="238"/>
      <c r="AR166" s="238"/>
      <c r="AS166" s="238"/>
      <c r="AT166" s="238"/>
      <c r="AU166" s="239"/>
    </row>
    <row r="167" spans="1:55" s="490" customFormat="1" x14ac:dyDescent="0.2">
      <c r="A167" s="481" t="s">
        <v>40</v>
      </c>
      <c r="B167" s="482" t="s">
        <v>41</v>
      </c>
      <c r="C167" s="483" t="s">
        <v>74</v>
      </c>
      <c r="D167" s="483" t="s">
        <v>75</v>
      </c>
      <c r="E167" s="483" t="s">
        <v>76</v>
      </c>
      <c r="F167" s="483" t="s">
        <v>77</v>
      </c>
      <c r="G167" s="483" t="s">
        <v>78</v>
      </c>
      <c r="H167" s="483" t="s">
        <v>79</v>
      </c>
      <c r="I167" s="483" t="s">
        <v>80</v>
      </c>
      <c r="J167" s="483" t="s">
        <v>81</v>
      </c>
      <c r="K167" s="483" t="s">
        <v>82</v>
      </c>
      <c r="L167" s="483" t="s">
        <v>83</v>
      </c>
      <c r="M167" s="483" t="s">
        <v>84</v>
      </c>
      <c r="N167" s="483" t="s">
        <v>85</v>
      </c>
      <c r="O167" s="484" t="s">
        <v>21</v>
      </c>
      <c r="P167" s="485"/>
      <c r="Q167" s="486" t="s">
        <v>40</v>
      </c>
      <c r="R167" s="487" t="s">
        <v>41</v>
      </c>
      <c r="S167" s="488" t="s">
        <v>74</v>
      </c>
      <c r="T167" s="488" t="s">
        <v>75</v>
      </c>
      <c r="U167" s="488" t="s">
        <v>76</v>
      </c>
      <c r="V167" s="488" t="s">
        <v>77</v>
      </c>
      <c r="W167" s="488" t="s">
        <v>78</v>
      </c>
      <c r="X167" s="488" t="s">
        <v>79</v>
      </c>
      <c r="Y167" s="488" t="s">
        <v>80</v>
      </c>
      <c r="Z167" s="488" t="s">
        <v>81</v>
      </c>
      <c r="AA167" s="488" t="s">
        <v>82</v>
      </c>
      <c r="AB167" s="488" t="s">
        <v>83</v>
      </c>
      <c r="AC167" s="488" t="s">
        <v>84</v>
      </c>
      <c r="AD167" s="488" t="s">
        <v>85</v>
      </c>
      <c r="AE167" s="489" t="s">
        <v>21</v>
      </c>
      <c r="AG167" s="491" t="s">
        <v>40</v>
      </c>
      <c r="AH167" s="492" t="s">
        <v>41</v>
      </c>
      <c r="AI167" s="493" t="s">
        <v>74</v>
      </c>
      <c r="AJ167" s="493" t="s">
        <v>75</v>
      </c>
      <c r="AK167" s="493" t="s">
        <v>76</v>
      </c>
      <c r="AL167" s="493" t="s">
        <v>77</v>
      </c>
      <c r="AM167" s="493" t="s">
        <v>78</v>
      </c>
      <c r="AN167" s="493" t="s">
        <v>79</v>
      </c>
      <c r="AO167" s="493" t="s">
        <v>80</v>
      </c>
      <c r="AP167" s="493" t="s">
        <v>81</v>
      </c>
      <c r="AQ167" s="493" t="s">
        <v>82</v>
      </c>
      <c r="AR167" s="493" t="s">
        <v>83</v>
      </c>
      <c r="AS167" s="493" t="s">
        <v>84</v>
      </c>
      <c r="AT167" s="493" t="s">
        <v>85</v>
      </c>
      <c r="AU167" s="494" t="s">
        <v>21</v>
      </c>
    </row>
    <row r="168" spans="1:55" s="531" customFormat="1" x14ac:dyDescent="0.2">
      <c r="A168" s="522">
        <v>1003</v>
      </c>
      <c r="B168" s="523" t="s">
        <v>42</v>
      </c>
      <c r="C168" s="524">
        <f>+[2]ต.ค.59!$E$63/10^6</f>
        <v>148.37512774999999</v>
      </c>
      <c r="D168" s="524">
        <f>+[2]พ.ย.59!$E$63/10^6</f>
        <v>153.60377586000001</v>
      </c>
      <c r="E168" s="524">
        <f>+[2]ธ.ค.59!$E$63/10^6</f>
        <v>153.09260657999999</v>
      </c>
      <c r="F168" s="524">
        <f>+[2]ม.ค.60!$E$63/10^6</f>
        <v>162.19327786999997</v>
      </c>
      <c r="G168" s="524">
        <f>+[2]ก.พ.60!$E$63/10^6</f>
        <v>157.04749323999997</v>
      </c>
      <c r="H168" s="524">
        <f>+[2]มี.ค.60!$E$63/10^6</f>
        <v>155.04481799000001</v>
      </c>
      <c r="I168" s="524">
        <f>+[2]เม.ย.60!$E$63/10^6</f>
        <v>177.55092483000001</v>
      </c>
      <c r="J168" s="524">
        <f>+[2]พ.ค.60!$E$63/10^6</f>
        <v>170.46774109999998</v>
      </c>
      <c r="K168" s="524">
        <f>+[2]มิ.ย.60!$E$63/10^6</f>
        <v>163.10173940999999</v>
      </c>
      <c r="L168" s="524">
        <f>+[2]ก.ค.60!$E$63/10^6</f>
        <v>155.34410678</v>
      </c>
      <c r="M168" s="524">
        <f>+[2]ส.ค.60!$E$63/10^6</f>
        <v>159.03156028000001</v>
      </c>
      <c r="N168" s="524">
        <f>+[2]ก.ย.60!$E$63/10^6</f>
        <v>161.13615428999998</v>
      </c>
      <c r="O168" s="525">
        <f>SUM(C168:N168)</f>
        <v>1915.9893259799996</v>
      </c>
      <c r="P168" s="526"/>
      <c r="Q168" s="527">
        <v>1003</v>
      </c>
      <c r="R168" s="528" t="s">
        <v>42</v>
      </c>
      <c r="S168" s="529">
        <f>+[5]รายได้!C96/10^6</f>
        <v>156.77104</v>
      </c>
      <c r="T168" s="529">
        <f>+[5]รายได้!D96/10^6</f>
        <v>162.120575</v>
      </c>
      <c r="U168" s="529">
        <f>+[5]รายได้!E96/10^6</f>
        <v>158.52824200000001</v>
      </c>
      <c r="V168" s="529">
        <f>+[5]รายได้!F96/10^6</f>
        <v>165.38184000000001</v>
      </c>
      <c r="W168" s="529">
        <f>+[5]รายได้!G96/10^6</f>
        <v>159.89739399999999</v>
      </c>
      <c r="X168" s="529">
        <f>+[5]รายได้!H96/10^6</f>
        <v>157.28598600000001</v>
      </c>
      <c r="Y168" s="529">
        <f>+[5]รายได้!I96/10^6</f>
        <v>176.588413</v>
      </c>
      <c r="Z168" s="529">
        <f>+[5]รายได้!J96/10^6</f>
        <v>181.885706</v>
      </c>
      <c r="AA168" s="529">
        <f>+[5]รายได้!K96/10^6</f>
        <v>178.022493</v>
      </c>
      <c r="AB168" s="529">
        <f>+[5]รายได้!L96/10^6</f>
        <v>168.47157799999999</v>
      </c>
      <c r="AC168" s="529">
        <f>+[5]รายได้!M96/10^6</f>
        <v>163.78603000000001</v>
      </c>
      <c r="AD168" s="529">
        <f>+[5]รายได้!N96/10^6</f>
        <v>171.537925</v>
      </c>
      <c r="AE168" s="530">
        <f>SUM(S168:AD168)</f>
        <v>2000.2772219999999</v>
      </c>
      <c r="AG168" s="532">
        <v>1003</v>
      </c>
      <c r="AH168" s="533" t="s">
        <v>42</v>
      </c>
      <c r="AI168" s="534">
        <f>+[4]ต.ค.58!$E$61/10^6</f>
        <v>147.98201653999996</v>
      </c>
      <c r="AJ168" s="534">
        <f>+[4]พ.ย.58!$E$61/10^6</f>
        <v>154.00803915</v>
      </c>
      <c r="AK168" s="534">
        <f>+[4]ธ.ค.58!$E$61/10^6</f>
        <v>149.70329415</v>
      </c>
      <c r="AL168" s="534">
        <f>+[4]ม.ค.59!$E$61/10^6</f>
        <v>155.56282660000002</v>
      </c>
      <c r="AM168" s="534">
        <f>+[4]ก.พ.59!$E$61/10^6</f>
        <v>149.74693840000003</v>
      </c>
      <c r="AN168" s="534">
        <f>+[4]มี.ค.59!$E$61/10^6</f>
        <v>146.66292210000003</v>
      </c>
      <c r="AO168" s="534">
        <f>+[4]เม.ย.59!$E$61/10^6</f>
        <v>169.04101690000002</v>
      </c>
      <c r="AP168" s="534">
        <f>+[4]พ.ค.59!$E$61/10^6</f>
        <v>175.67278311000001</v>
      </c>
      <c r="AQ168" s="534">
        <f>+[4]มิ.ย.59!$E$61/10^6</f>
        <v>167.52632905000004</v>
      </c>
      <c r="AR168" s="534">
        <f>+[4]ก.ค.59!$E$61/10^6</f>
        <v>156.39004424000004</v>
      </c>
      <c r="AS168" s="534">
        <f>+[4]ส.ค.59!$E$61/10^6</f>
        <v>145.13883624000005</v>
      </c>
      <c r="AT168" s="534">
        <f>+[4]ก.ย.59!$E$61/10^6</f>
        <v>158.40492899</v>
      </c>
      <c r="AU168" s="535">
        <f>SUM(AI168:AT168)</f>
        <v>1875.8399754699999</v>
      </c>
    </row>
    <row r="169" spans="1:55" s="509" customFormat="1" x14ac:dyDescent="0.2">
      <c r="A169" s="495">
        <v>1004</v>
      </c>
      <c r="B169" s="496" t="s">
        <v>43</v>
      </c>
      <c r="C169" s="497">
        <f>+[2]ต.ค.59!$G$63/10^6</f>
        <v>56.988654709999999</v>
      </c>
      <c r="D169" s="497">
        <f>+[2]พ.ย.59!$G$63/10^6</f>
        <v>59.688688999999997</v>
      </c>
      <c r="E169" s="497">
        <f>+[2]ธ.ค.59!$G$63/10^6</f>
        <v>60.10699825999999</v>
      </c>
      <c r="F169" s="497">
        <f>+[2]ม.ค.60!$G$63/10^6</f>
        <v>64.271872439999996</v>
      </c>
      <c r="G169" s="497">
        <f>+[2]ก.พ.60!$G$63/10^6</f>
        <v>61.713215699999992</v>
      </c>
      <c r="H169" s="497">
        <f>+[2]มี.ค.60!$G$63/10^6</f>
        <v>60.570544090000006</v>
      </c>
      <c r="I169" s="497">
        <f>+[2]เม.ย.60!$G$63/10^6</f>
        <v>70.411096920000006</v>
      </c>
      <c r="J169" s="497">
        <f>+[2]พ.ค.60!$G$63/10^6</f>
        <v>66.361202419999998</v>
      </c>
      <c r="K169" s="497">
        <f>+[2]มิ.ย.60!$G$63/10^6</f>
        <v>62.084894970000008</v>
      </c>
      <c r="L169" s="497">
        <f>+[2]ก.ค.60!$G$63/10^6</f>
        <v>59.143416660000014</v>
      </c>
      <c r="M169" s="497">
        <f>+[2]ส.ค.60!$G$63/10^6</f>
        <v>61.300377789999992</v>
      </c>
      <c r="N169" s="497">
        <f>+[2]ก.ย.60!$G$63/10^6</f>
        <v>62.668690869999992</v>
      </c>
      <c r="O169" s="498">
        <f t="shared" ref="O169:O195" si="19">SUM(C169:N169)</f>
        <v>745.30965382999989</v>
      </c>
      <c r="P169" s="499"/>
      <c r="Q169" s="500">
        <v>1004</v>
      </c>
      <c r="R169" s="501" t="s">
        <v>43</v>
      </c>
      <c r="S169" s="502">
        <f>+[5]รายได้!C69/10^6</f>
        <v>62.361190000000001</v>
      </c>
      <c r="T169" s="502">
        <f>+[5]รายได้!D69/10^6</f>
        <v>63.717212000000004</v>
      </c>
      <c r="U169" s="502">
        <f>+[5]รายได้!E69/10^6</f>
        <v>63.184066999999999</v>
      </c>
      <c r="V169" s="502">
        <f>+[5]รายได้!F69/10^6</f>
        <v>65.684599000000006</v>
      </c>
      <c r="W169" s="502">
        <f>+[5]รายได้!G69/10^6</f>
        <v>64.462760000000003</v>
      </c>
      <c r="X169" s="502">
        <f>+[5]รายได้!H69/10^6</f>
        <v>62.998054000000003</v>
      </c>
      <c r="Y169" s="502">
        <f>+[5]รายได้!I69/10^6</f>
        <v>68.917754000000002</v>
      </c>
      <c r="Z169" s="502">
        <f>+[5]รายได้!J69/10^6</f>
        <v>70.581945000000005</v>
      </c>
      <c r="AA169" s="502">
        <f>+[5]รายได้!K69/10^6</f>
        <v>69.337795</v>
      </c>
      <c r="AB169" s="502">
        <f>+[5]รายได้!L69/10^6</f>
        <v>64.881573000000003</v>
      </c>
      <c r="AC169" s="502">
        <f>+[5]รายได้!M69/10^6</f>
        <v>64.526850999999994</v>
      </c>
      <c r="AD169" s="502">
        <f>+[5]รายได้!N69/10^6</f>
        <v>67.335757999999998</v>
      </c>
      <c r="AE169" s="503">
        <f t="shared" ref="AE169:AE195" si="20">SUM(S169:AD169)</f>
        <v>787.98955799999999</v>
      </c>
      <c r="AF169" s="504">
        <f>+[5]รายได้!AO69/10^6</f>
        <v>787.98955999999998</v>
      </c>
      <c r="AG169" s="505">
        <v>1004</v>
      </c>
      <c r="AH169" s="506" t="s">
        <v>43</v>
      </c>
      <c r="AI169" s="507">
        <f>+[4]ต.ค.58!$G$61/10^6</f>
        <v>59.055283570000007</v>
      </c>
      <c r="AJ169" s="507">
        <f>+[4]พ.ย.58!$G$61/10^6</f>
        <v>60.275003820000002</v>
      </c>
      <c r="AK169" s="507">
        <f>+[4]ธ.ค.58!$G$61/10^6</f>
        <v>59.445871980000007</v>
      </c>
      <c r="AL169" s="507">
        <f>+[4]ม.ค.59!$G$61/10^6</f>
        <v>61.875669330000008</v>
      </c>
      <c r="AM169" s="507">
        <f>+[4]ก.พ.59!$G$61/10^6</f>
        <v>58.790066820000007</v>
      </c>
      <c r="AN169" s="507">
        <f>+[4]มี.ค.59!$G$61/10^6</f>
        <v>57.492511749999991</v>
      </c>
      <c r="AO169" s="507">
        <f>+[4]เม.ย.59!$G$61/10^6</f>
        <v>66.100349910000006</v>
      </c>
      <c r="AP169" s="507">
        <f>+[4]พ.ค.59!$G$61/10^6</f>
        <v>65.775888190000003</v>
      </c>
      <c r="AQ169" s="507">
        <f>+[4]มิ.ย.59!$G$61/10^6</f>
        <v>63.98817871</v>
      </c>
      <c r="AR169" s="507">
        <f>+[4]ก.ค.59!$G$61/10^6</f>
        <v>58.608815799999995</v>
      </c>
      <c r="AS169" s="507">
        <f>+[4]ส.ค.59!$G$61/10^6</f>
        <v>56.715575080000001</v>
      </c>
      <c r="AT169" s="507">
        <f>+[4]ก.ย.59!$G$61/10^6</f>
        <v>61.461736430000009</v>
      </c>
      <c r="AU169" s="508">
        <f t="shared" ref="AU169:AU195" si="21">SUM(AI169:AT169)</f>
        <v>729.58495139000001</v>
      </c>
    </row>
    <row r="170" spans="1:55" s="509" customFormat="1" x14ac:dyDescent="0.2">
      <c r="A170" s="495">
        <v>1005</v>
      </c>
      <c r="B170" s="496" t="s">
        <v>44</v>
      </c>
      <c r="C170" s="497">
        <f>+[2]ต.ค.59!$H$63/10^6</f>
        <v>0.83143323000000002</v>
      </c>
      <c r="D170" s="497">
        <f>+[2]พ.ย.59!$H$63/10^6</f>
        <v>0.9203693300000001</v>
      </c>
      <c r="E170" s="497">
        <f>+[2]ธ.ค.59!$H$63/10^6</f>
        <v>0.89559997000000013</v>
      </c>
      <c r="F170" s="497">
        <f>+[2]ม.ค.60!$H$63/10^6</f>
        <v>0.95245346000000009</v>
      </c>
      <c r="G170" s="497">
        <f>+[2]ก.พ.60!$H$63/10^6</f>
        <v>0.94284661000000003</v>
      </c>
      <c r="H170" s="497">
        <f>+[2]มี.ค.60!$H$63/10^6</f>
        <v>0.94317571000000011</v>
      </c>
      <c r="I170" s="497">
        <f>+[2]เม.ย.60!$H$63/10^6</f>
        <v>1.1309667899999998</v>
      </c>
      <c r="J170" s="497">
        <f>+[2]พ.ค.60!$H$63/10^6</f>
        <v>1.05098848</v>
      </c>
      <c r="K170" s="497">
        <f>+[2]มิ.ย.60!$H$63/10^6</f>
        <v>0.95645856999999979</v>
      </c>
      <c r="L170" s="497">
        <f>+[2]ก.ค.60!$H$63/10^6</f>
        <v>0.95621736999999996</v>
      </c>
      <c r="M170" s="497">
        <f>+[2]ส.ค.60!$H$63/10^6</f>
        <v>0.93221536999999988</v>
      </c>
      <c r="N170" s="497">
        <f>+[2]ก.ย.60!$H$63/10^6</f>
        <v>0.95006384000000021</v>
      </c>
      <c r="O170" s="498">
        <f t="shared" si="19"/>
        <v>11.46278873</v>
      </c>
      <c r="P170" s="499"/>
      <c r="Q170" s="500">
        <v>1005</v>
      </c>
      <c r="R170" s="501" t="s">
        <v>44</v>
      </c>
      <c r="S170" s="502">
        <f>+[5]รายได้!C70/10^6</f>
        <v>0.85165999999999997</v>
      </c>
      <c r="T170" s="502">
        <f>+[5]รายได้!D70/10^6</f>
        <v>0.83843100000000004</v>
      </c>
      <c r="U170" s="502">
        <f>+[5]รายได้!E70/10^6</f>
        <v>0.83121199999999995</v>
      </c>
      <c r="V170" s="502">
        <f>+[5]รายได้!F70/10^6</f>
        <v>0.91305199999999997</v>
      </c>
      <c r="W170" s="502">
        <f>+[5]รายได้!G70/10^6</f>
        <v>0.86703799999999998</v>
      </c>
      <c r="X170" s="502">
        <f>+[5]รายได้!H70/10^6</f>
        <v>0.917601</v>
      </c>
      <c r="Y170" s="502">
        <f>+[5]รายได้!I70/10^6</f>
        <v>1.034162</v>
      </c>
      <c r="Z170" s="502">
        <f>+[5]รายได้!J70/10^6</f>
        <v>1.068271</v>
      </c>
      <c r="AA170" s="502">
        <f>+[5]รายได้!K70/10^6</f>
        <v>1.0062850000000001</v>
      </c>
      <c r="AB170" s="502">
        <f>+[5]รายได้!L70/10^6</f>
        <v>0.89748600000000001</v>
      </c>
      <c r="AC170" s="502">
        <f>+[5]รายได้!M70/10^6</f>
        <v>0.905524</v>
      </c>
      <c r="AD170" s="502">
        <f>+[5]รายได้!N70/10^6</f>
        <v>0.91583700000000001</v>
      </c>
      <c r="AE170" s="503">
        <f t="shared" si="20"/>
        <v>11.046559000000002</v>
      </c>
      <c r="AF170" s="504">
        <f>+[5]รายได้!AO70/10^6</f>
        <v>11.046559999999999</v>
      </c>
      <c r="AG170" s="505">
        <v>1005</v>
      </c>
      <c r="AH170" s="506" t="s">
        <v>44</v>
      </c>
      <c r="AI170" s="507">
        <f>+[4]ต.ค.58!$H$61/10^6</f>
        <v>0.87407529000000006</v>
      </c>
      <c r="AJ170" s="507">
        <f>+[4]พ.ย.58!$H$61/10^6</f>
        <v>0.83280931000000002</v>
      </c>
      <c r="AK170" s="507">
        <f>+[4]ธ.ค.58!$H$61/10^6</f>
        <v>0.85898615999999994</v>
      </c>
      <c r="AL170" s="507">
        <f>+[4]ม.ค.59!$H$61/10^6</f>
        <v>0.95400023999999983</v>
      </c>
      <c r="AM170" s="507">
        <f>+[4]ก.พ.59!$H$61/10^6</f>
        <v>0.86580586999999998</v>
      </c>
      <c r="AN170" s="507">
        <f>+[4]มี.ค.59!$H$61/10^6</f>
        <v>0.81455530999999992</v>
      </c>
      <c r="AO170" s="507">
        <f>+[4]เม.ย.59!$H$61/10^6</f>
        <v>1.12807528</v>
      </c>
      <c r="AP170" s="507">
        <f>+[4]พ.ค.59!$H$61/10^6</f>
        <v>1.1943583600000001</v>
      </c>
      <c r="AQ170" s="507">
        <f>+[4]มิ.ย.59!$H$61/10^6</f>
        <v>1.0842791399999998</v>
      </c>
      <c r="AR170" s="507">
        <f>+[4]ก.ค.59!$H$61/10^6</f>
        <v>0.90461395999999994</v>
      </c>
      <c r="AS170" s="507">
        <f>+[4]ส.ค.59!$H$61/10^6</f>
        <v>0.89286885000000005</v>
      </c>
      <c r="AT170" s="507">
        <f>+[4]ก.ย.59!$H$61/10^6</f>
        <v>0.94371313000000012</v>
      </c>
      <c r="AU170" s="508">
        <f t="shared" si="21"/>
        <v>11.348140900000001</v>
      </c>
    </row>
    <row r="171" spans="1:55" s="509" customFormat="1" x14ac:dyDescent="0.2">
      <c r="A171" s="495">
        <v>1006</v>
      </c>
      <c r="B171" s="496" t="s">
        <v>45</v>
      </c>
      <c r="C171" s="497">
        <f>+[2]ต.ค.59!$I$63/10^6</f>
        <v>3.9643073100000001</v>
      </c>
      <c r="D171" s="497">
        <f>+[2]พ.ย.59!$I$63/10^6</f>
        <v>4.35230753</v>
      </c>
      <c r="E171" s="497">
        <f>+[2]ธ.ค.59!$I$63/10^6</f>
        <v>4.2131155900000001</v>
      </c>
      <c r="F171" s="497">
        <f>+[2]ม.ค.60!$I$63/10^6</f>
        <v>4.3829694799999999</v>
      </c>
      <c r="G171" s="497">
        <f>+[2]ก.พ.60!$I$63/10^6</f>
        <v>4.52927985</v>
      </c>
      <c r="H171" s="497">
        <f>+[2]มี.ค.60!$I$63/10^6</f>
        <v>4.7923840699999998</v>
      </c>
      <c r="I171" s="497">
        <f>+[2]เม.ย.60!$I$63/10^6</f>
        <v>5.2842623200000007</v>
      </c>
      <c r="J171" s="497">
        <f>+[2]พ.ค.60!$I$63/10^6</f>
        <v>5.197847069999999</v>
      </c>
      <c r="K171" s="497">
        <f>+[2]มิ.ย.60!$I$63/10^6</f>
        <v>4.6310531999999993</v>
      </c>
      <c r="L171" s="497">
        <f>+[2]ก.ค.60!$I$63/10^6</f>
        <v>4.4721192900000011</v>
      </c>
      <c r="M171" s="497">
        <f>+[2]ส.ค.60!$I$63/10^6</f>
        <v>4.4510568800000003</v>
      </c>
      <c r="N171" s="497">
        <f>+[2]ก.ย.60!$I$63/10^6</f>
        <v>4.4779702999999991</v>
      </c>
      <c r="O171" s="498">
        <f t="shared" si="19"/>
        <v>54.748672890000009</v>
      </c>
      <c r="P171" s="499"/>
      <c r="Q171" s="500">
        <v>1006</v>
      </c>
      <c r="R171" s="501" t="s">
        <v>45</v>
      </c>
      <c r="S171" s="502">
        <f>+[5]รายได้!C71/10^6</f>
        <v>4.3868780000000003</v>
      </c>
      <c r="T171" s="502">
        <f>+[5]รายได้!D71/10^6</f>
        <v>4.5928870000000002</v>
      </c>
      <c r="U171" s="502">
        <f>+[5]รายได้!E71/10^6</f>
        <v>4.7323230000000001</v>
      </c>
      <c r="V171" s="502">
        <f>+[5]รายได้!F71/10^6</f>
        <v>4.898695</v>
      </c>
      <c r="W171" s="502">
        <f>+[5]รายได้!G71/10^6</f>
        <v>5.0104300000000004</v>
      </c>
      <c r="X171" s="502">
        <f>+[5]รายได้!H71/10^6</f>
        <v>4.754308</v>
      </c>
      <c r="Y171" s="502">
        <f>+[5]รายได้!I71/10^6</f>
        <v>5.300802</v>
      </c>
      <c r="Z171" s="502">
        <f>+[5]รายได้!J71/10^6</f>
        <v>5.7184699999999999</v>
      </c>
      <c r="AA171" s="502">
        <f>+[5]รายได้!K71/10^6</f>
        <v>5.6907719999999999</v>
      </c>
      <c r="AB171" s="502">
        <f>+[5]รายได้!L71/10^6</f>
        <v>4.9597189999999998</v>
      </c>
      <c r="AC171" s="502">
        <f>+[5]รายได้!M71/10^6</f>
        <v>5.9437309999999997</v>
      </c>
      <c r="AD171" s="502">
        <f>+[5]รายได้!N71/10^6</f>
        <v>5.0662050000000001</v>
      </c>
      <c r="AE171" s="503">
        <f t="shared" si="20"/>
        <v>61.055219999999991</v>
      </c>
      <c r="AF171" s="504">
        <f>+[5]รายได้!AO71/10^6</f>
        <v>61.055219999999998</v>
      </c>
      <c r="AG171" s="505">
        <v>1006</v>
      </c>
      <c r="AH171" s="506" t="s">
        <v>45</v>
      </c>
      <c r="AI171" s="507">
        <f>+[4]ต.ค.58!$I$61/10^6</f>
        <v>4.0074368300000005</v>
      </c>
      <c r="AJ171" s="507">
        <f>+[4]พ.ย.58!$I$61/10^6</f>
        <v>4.0729213799999995</v>
      </c>
      <c r="AK171" s="507">
        <f>+[4]ธ.ค.58!$I$61/10^6</f>
        <v>4.4627544299999995</v>
      </c>
      <c r="AL171" s="507">
        <f>+[4]ม.ค.59!$I$61/10^6</f>
        <v>4.5249994000000004</v>
      </c>
      <c r="AM171" s="507">
        <f>+[4]ก.พ.59!$I$61/10^6</f>
        <v>4.3545422699999996</v>
      </c>
      <c r="AN171" s="507">
        <f>+[4]มี.ค.59!$I$61/10^6</f>
        <v>4.2241194699999998</v>
      </c>
      <c r="AO171" s="507">
        <f>+[4]เม.ย.59!$I$61/10^6</f>
        <v>4.7157204699999999</v>
      </c>
      <c r="AP171" s="507">
        <f>+[4]พ.ค.59!$I$61/10^6</f>
        <v>5.444936010000001</v>
      </c>
      <c r="AQ171" s="507">
        <f>+[4]มิ.ย.59!$I$61/10^6</f>
        <v>4.8950530700000003</v>
      </c>
      <c r="AR171" s="507">
        <f>+[4]ก.ค.59!$I$61/10^6</f>
        <v>4.10460811</v>
      </c>
      <c r="AS171" s="507">
        <f>+[4]ส.ค.59!$I$61/10^6</f>
        <v>4.2122091499999996</v>
      </c>
      <c r="AT171" s="507">
        <f>+[4]ก.ย.59!$I$61/10^6</f>
        <v>4.4569514100000003</v>
      </c>
      <c r="AU171" s="508">
        <f t="shared" si="21"/>
        <v>53.476252000000009</v>
      </c>
    </row>
    <row r="172" spans="1:55" s="509" customFormat="1" x14ac:dyDescent="0.2">
      <c r="A172" s="495">
        <v>1007</v>
      </c>
      <c r="B172" s="496" t="s">
        <v>46</v>
      </c>
      <c r="C172" s="497">
        <f>+[2]ต.ค.59!$J$63/10^6</f>
        <v>8.0680252299999999</v>
      </c>
      <c r="D172" s="497">
        <f>+[2]พ.ย.59!$J$63/10^6</f>
        <v>8.1125517299999998</v>
      </c>
      <c r="E172" s="497">
        <f>+[2]ธ.ค.59!$J$63/10^6</f>
        <v>8.1309493799999988</v>
      </c>
      <c r="F172" s="497">
        <f>+[2]ม.ค.60!$J$63/10^6</f>
        <v>8.31012123</v>
      </c>
      <c r="G172" s="497">
        <f>+[2]ก.พ.60!$J$63/10^6</f>
        <v>9.2361784200000017</v>
      </c>
      <c r="H172" s="497">
        <f>+[2]มี.ค.60!$J$63/10^6</f>
        <v>8.3939050799999997</v>
      </c>
      <c r="I172" s="497">
        <f>+[2]เม.ย.60!$J$63/10^6</f>
        <v>9.6922896200000004</v>
      </c>
      <c r="J172" s="497">
        <f>+[2]พ.ค.60!$J$63/10^6</f>
        <v>9.7105611099999987</v>
      </c>
      <c r="K172" s="497">
        <f>+[2]มิ.ย.60!$J$63/10^6</f>
        <v>8.9191697899999998</v>
      </c>
      <c r="L172" s="497">
        <f>+[2]ก.ค.60!$J$63/10^6</f>
        <v>8.3310734399999991</v>
      </c>
      <c r="M172" s="497">
        <f>+[2]ส.ค.60!$J$63/10^6</f>
        <v>8.9128980099999993</v>
      </c>
      <c r="N172" s="497">
        <f>+[2]ก.ย.60!$J$63/10^6</f>
        <v>8.4403754700000011</v>
      </c>
      <c r="O172" s="498">
        <f t="shared" si="19"/>
        <v>104.25809851000001</v>
      </c>
      <c r="P172" s="499"/>
      <c r="Q172" s="500">
        <v>1007</v>
      </c>
      <c r="R172" s="501" t="s">
        <v>46</v>
      </c>
      <c r="S172" s="502">
        <f>+[5]รายได้!C72/10^6</f>
        <v>8.5410389999999996</v>
      </c>
      <c r="T172" s="502">
        <f>+[5]รายได้!D72/10^6</f>
        <v>9.9776570000000007</v>
      </c>
      <c r="U172" s="502">
        <f>+[5]รายได้!E72/10^6</f>
        <v>8.9951799999999995</v>
      </c>
      <c r="V172" s="502">
        <f>+[5]รายได้!F72/10^6</f>
        <v>9.0408500000000007</v>
      </c>
      <c r="W172" s="502">
        <f>+[5]รายได้!G72/10^6</f>
        <v>8.6222539999999999</v>
      </c>
      <c r="X172" s="502">
        <f>+[5]รายได้!H72/10^6</f>
        <v>8.8016559999999995</v>
      </c>
      <c r="Y172" s="502">
        <f>+[5]รายได้!I72/10^6</f>
        <v>10.168262</v>
      </c>
      <c r="Z172" s="502">
        <f>+[5]รายได้!J72/10^6</f>
        <v>9.7644479999999998</v>
      </c>
      <c r="AA172" s="502">
        <f>+[5]รายได้!K72/10^6</f>
        <v>9.732742</v>
      </c>
      <c r="AB172" s="502">
        <f>+[5]รายได้!L72/10^6</f>
        <v>9.5269940000000002</v>
      </c>
      <c r="AC172" s="502">
        <f>+[5]รายได้!M72/10^6</f>
        <v>8.855105</v>
      </c>
      <c r="AD172" s="502">
        <f>+[5]รายได้!N72/10^6</f>
        <v>10.65137</v>
      </c>
      <c r="AE172" s="503">
        <f t="shared" si="20"/>
        <v>112.67755699999999</v>
      </c>
      <c r="AF172" s="504">
        <f>+[5]รายได้!AO72/10^6</f>
        <v>112.67756</v>
      </c>
      <c r="AG172" s="505">
        <v>1007</v>
      </c>
      <c r="AH172" s="506" t="s">
        <v>46</v>
      </c>
      <c r="AI172" s="507">
        <f>+[4]ต.ค.58!$J$61/10^6</f>
        <v>7.4560674799999997</v>
      </c>
      <c r="AJ172" s="507">
        <f>+[4]พ.ย.58!$J$61/10^6</f>
        <v>8.7829819199999992</v>
      </c>
      <c r="AK172" s="507">
        <f>+[4]ธ.ค.58!$J$61/10^6</f>
        <v>7.8804949000000004</v>
      </c>
      <c r="AL172" s="507">
        <f>+[4]ม.ค.59!$J$61/10^6</f>
        <v>8.3616838799999993</v>
      </c>
      <c r="AM172" s="507">
        <f>+[4]ก.พ.59!$J$61/10^6</f>
        <v>7.9255115500000004</v>
      </c>
      <c r="AN172" s="507">
        <f>+[4]มี.ค.59!$J$61/10^6</f>
        <v>7.8781358100000007</v>
      </c>
      <c r="AO172" s="507">
        <f>+[4]เม.ย.59!$J$61/10^6</f>
        <v>8.6558303500000005</v>
      </c>
      <c r="AP172" s="507">
        <f>+[4]พ.ค.59!$J$61/10^6</f>
        <v>9.1523136799999989</v>
      </c>
      <c r="AQ172" s="507">
        <f>+[4]มิ.ย.59!$J$61/10^6</f>
        <v>8.5747778199999996</v>
      </c>
      <c r="AR172" s="507">
        <f>+[4]ก.ค.59!$J$61/10^6</f>
        <v>8.3066584700000003</v>
      </c>
      <c r="AS172" s="507">
        <f>+[4]ส.ค.59!$J$61/10^6</f>
        <v>7.8305983899999996</v>
      </c>
      <c r="AT172" s="507">
        <f>+[4]ก.ย.59!$J$61/10^6</f>
        <v>8.6393313000000003</v>
      </c>
      <c r="AU172" s="508">
        <f t="shared" si="21"/>
        <v>99.444385550000007</v>
      </c>
    </row>
    <row r="173" spans="1:55" s="509" customFormat="1" x14ac:dyDescent="0.2">
      <c r="A173" s="495">
        <v>1008</v>
      </c>
      <c r="B173" s="496" t="s">
        <v>47</v>
      </c>
      <c r="C173" s="497">
        <f>+[2]ต.ค.59!$K$63/10^6</f>
        <v>2.1278294300000002</v>
      </c>
      <c r="D173" s="497">
        <f>+[2]พ.ย.59!$K$63/10^6</f>
        <v>2.1894062800000005</v>
      </c>
      <c r="E173" s="497">
        <f>+[2]ธ.ค.59!$K$63/10^6</f>
        <v>2.2736740600000007</v>
      </c>
      <c r="F173" s="497">
        <f>+[2]ม.ค.60!$K$63/10^6</f>
        <v>2.4346078499999999</v>
      </c>
      <c r="G173" s="497">
        <f>+[2]ก.พ.60!$K$63/10^6</f>
        <v>2.4422278900000003</v>
      </c>
      <c r="H173" s="497">
        <f>+[2]มี.ค.60!$K$63/10^6</f>
        <v>2.3095569</v>
      </c>
      <c r="I173" s="497">
        <f>+[2]เม.ย.60!$K$63/10^6</f>
        <v>2.6479307900000002</v>
      </c>
      <c r="J173" s="497">
        <f>+[2]พ.ค.60!$K$63/10^6</f>
        <v>2.5182723800000004</v>
      </c>
      <c r="K173" s="497">
        <f>+[2]มิ.ย.60!$K$63/10^6</f>
        <v>2.4169882800000009</v>
      </c>
      <c r="L173" s="497">
        <f>+[2]ก.ค.60!$K$63/10^6</f>
        <v>2.2074740900000003</v>
      </c>
      <c r="M173" s="497">
        <f>+[2]ส.ค.60!$K$63/10^6</f>
        <v>2.4367073099999996</v>
      </c>
      <c r="N173" s="497">
        <f>+[2]ก.ย.60!$K$63/10^6</f>
        <v>2.3950170700000002</v>
      </c>
      <c r="O173" s="498">
        <f t="shared" si="19"/>
        <v>28.399692330000004</v>
      </c>
      <c r="P173" s="499"/>
      <c r="Q173" s="500">
        <v>1008</v>
      </c>
      <c r="R173" s="501" t="s">
        <v>47</v>
      </c>
      <c r="S173" s="502">
        <f>+[5]รายได้!C73/10^6</f>
        <v>1.7470270000000001</v>
      </c>
      <c r="T173" s="502">
        <f>+[5]รายได้!D73/10^6</f>
        <v>1.784405</v>
      </c>
      <c r="U173" s="502">
        <f>+[5]รายได้!E73/10^6</f>
        <v>1.7945800000000001</v>
      </c>
      <c r="V173" s="502">
        <f>+[5]รายได้!F73/10^6</f>
        <v>1.935467</v>
      </c>
      <c r="W173" s="502">
        <f>+[5]รายได้!G73/10^6</f>
        <v>1.9624470000000001</v>
      </c>
      <c r="X173" s="502">
        <f>+[5]รายได้!H73/10^6</f>
        <v>1.899597</v>
      </c>
      <c r="Y173" s="502">
        <f>+[5]รายได้!I73/10^6</f>
        <v>2.1388210000000001</v>
      </c>
      <c r="Z173" s="502">
        <f>+[5]รายได้!J73/10^6</f>
        <v>2.36863</v>
      </c>
      <c r="AA173" s="502">
        <f>+[5]รายได้!K73/10^6</f>
        <v>2.1544400000000001</v>
      </c>
      <c r="AB173" s="502">
        <f>+[5]รายได้!L73/10^6</f>
        <v>2.1080610000000002</v>
      </c>
      <c r="AC173" s="502">
        <f>+[5]รายได้!M73/10^6</f>
        <v>2.1415389999999999</v>
      </c>
      <c r="AD173" s="502">
        <f>+[5]รายได้!N73/10^6</f>
        <v>2.0854140000000001</v>
      </c>
      <c r="AE173" s="503">
        <f t="shared" si="20"/>
        <v>24.120427999999997</v>
      </c>
      <c r="AF173" s="504">
        <f>+[5]รายได้!AO73/10^6</f>
        <v>24.120429999999999</v>
      </c>
      <c r="AG173" s="505">
        <v>1008</v>
      </c>
      <c r="AH173" s="506" t="s">
        <v>47</v>
      </c>
      <c r="AI173" s="507">
        <f>+[4]ต.ค.58!$K$61/10^6</f>
        <v>1.8526508000000004</v>
      </c>
      <c r="AJ173" s="507">
        <f>+[4]พ.ย.58!$K$61/10^6</f>
        <v>1.9554097199999998</v>
      </c>
      <c r="AK173" s="507">
        <f>+[4]ธ.ค.58!$K$61/10^6</f>
        <v>1.8985084100000003</v>
      </c>
      <c r="AL173" s="507">
        <f>+[4]ม.ค.59!$K$61/10^6</f>
        <v>2.1602298100000001</v>
      </c>
      <c r="AM173" s="507">
        <f>+[4]ก.พ.59!$K$61/10^6</f>
        <v>2.2579211200000002</v>
      </c>
      <c r="AN173" s="507">
        <f>+[4]มี.ค.59!$K$61/10^6</f>
        <v>2.1966791400000001</v>
      </c>
      <c r="AO173" s="507">
        <f>+[4]เม.ย.59!$K$61/10^6</f>
        <v>2.4000737999999999</v>
      </c>
      <c r="AP173" s="507">
        <f>+[4]พ.ค.59!$K$61/10^6</f>
        <v>2.7785699299999997</v>
      </c>
      <c r="AQ173" s="507">
        <f>+[4]มิ.ย.59!$K$61/10^6</f>
        <v>2.3127732999999999</v>
      </c>
      <c r="AR173" s="507">
        <f>+[4]ก.ค.59!$K$61/10^6</f>
        <v>2.2253382500000001</v>
      </c>
      <c r="AS173" s="507">
        <f>+[4]ส.ค.59!$K$61/10^6</f>
        <v>2.0617992600000004</v>
      </c>
      <c r="AT173" s="507">
        <f>+[4]ก.ย.59!$K$61/10^6</f>
        <v>2.2529813700000001</v>
      </c>
      <c r="AU173" s="508">
        <f t="shared" si="21"/>
        <v>26.352934910000002</v>
      </c>
    </row>
    <row r="174" spans="1:55" s="509" customFormat="1" x14ac:dyDescent="0.2">
      <c r="A174" s="495">
        <v>1009</v>
      </c>
      <c r="B174" s="496" t="s">
        <v>48</v>
      </c>
      <c r="C174" s="497">
        <f>+[2]ต.ค.59!$L$63/10^6</f>
        <v>2.7116601</v>
      </c>
      <c r="D174" s="497">
        <f>+[2]พ.ย.59!$L$63/10^6</f>
        <v>2.2000717599999997</v>
      </c>
      <c r="E174" s="497">
        <f>+[2]ธ.ค.59!$L$63/10^6</f>
        <v>2.0453417800000002</v>
      </c>
      <c r="F174" s="497">
        <f>+[2]ม.ค.60!$L$63/10^6</f>
        <v>2.07292589</v>
      </c>
      <c r="G174" s="497">
        <f>+[2]ก.พ.60!$L$63/10^6</f>
        <v>2.0984528900000003</v>
      </c>
      <c r="H174" s="497">
        <f>+[2]มี.ค.60!$L$63/10^6</f>
        <v>2.0092042299999999</v>
      </c>
      <c r="I174" s="497">
        <f>+[2]เม.ย.60!$L$63/10^6</f>
        <v>2.19898836</v>
      </c>
      <c r="J174" s="497">
        <f>+[2]พ.ค.60!$L$63/10^6</f>
        <v>2.29874321</v>
      </c>
      <c r="K174" s="497">
        <f>+[2]มิ.ย.60!$L$63/10^6</f>
        <v>2.2966512400000001</v>
      </c>
      <c r="L174" s="497">
        <f>+[2]ก.ค.60!$L$63/10^6</f>
        <v>2.19767351</v>
      </c>
      <c r="M174" s="497">
        <f>+[2]ส.ค.60!$L$63/10^6</f>
        <v>2.2707057199999996</v>
      </c>
      <c r="N174" s="497">
        <f>+[2]ก.ย.60!$L$63/10^6</f>
        <v>2.2741024400000001</v>
      </c>
      <c r="O174" s="498">
        <f t="shared" si="19"/>
        <v>26.674521129999999</v>
      </c>
      <c r="P174" s="499"/>
      <c r="Q174" s="500">
        <v>1009</v>
      </c>
      <c r="R174" s="501" t="s">
        <v>48</v>
      </c>
      <c r="S174" s="502">
        <f>+[5]รายได้!C74/10^6</f>
        <v>2.0980439999999998</v>
      </c>
      <c r="T174" s="502">
        <f>+[5]รายได้!D74/10^6</f>
        <v>2.4471289999999999</v>
      </c>
      <c r="U174" s="502">
        <f>+[5]รายได้!E74/10^6</f>
        <v>2.0913930000000001</v>
      </c>
      <c r="V174" s="502">
        <f>+[5]รายได้!F74/10^6</f>
        <v>2.2539470000000001</v>
      </c>
      <c r="W174" s="502">
        <f>+[5]รายได้!G74/10^6</f>
        <v>2.182299</v>
      </c>
      <c r="X174" s="502">
        <f>+[5]รายได้!H74/10^6</f>
        <v>2.1307939999999999</v>
      </c>
      <c r="Y174" s="502">
        <f>+[5]รายได้!I74/10^6</f>
        <v>2.410536</v>
      </c>
      <c r="Z174" s="502">
        <f>+[5]รายได้!J74/10^6</f>
        <v>2.4838149999999999</v>
      </c>
      <c r="AA174" s="502">
        <f>+[5]รายได้!K74/10^6</f>
        <v>2.4469449999999999</v>
      </c>
      <c r="AB174" s="502">
        <f>+[5]รายได้!L74/10^6</f>
        <v>2.3483909999999999</v>
      </c>
      <c r="AC174" s="502">
        <f>+[5]รายได้!M74/10^6</f>
        <v>2.335067</v>
      </c>
      <c r="AD174" s="502">
        <f>+[5]รายได้!N74/10^6</f>
        <v>2.3176190000000001</v>
      </c>
      <c r="AE174" s="503">
        <f t="shared" si="20"/>
        <v>27.545978999999999</v>
      </c>
      <c r="AF174" s="504">
        <f>+[5]รายได้!AO74/10^6</f>
        <v>27.54598</v>
      </c>
      <c r="AG174" s="505">
        <v>1009</v>
      </c>
      <c r="AH174" s="506" t="s">
        <v>48</v>
      </c>
      <c r="AI174" s="507">
        <f>+[4]ต.ค.58!$L$61/10^6</f>
        <v>2.0390309099999997</v>
      </c>
      <c r="AJ174" s="507">
        <f>+[4]พ.ย.58!$L$61/10^6</f>
        <v>2.09218057</v>
      </c>
      <c r="AK174" s="507">
        <f>+[4]ธ.ค.58!$L$61/10^6</f>
        <v>1.9879583799999998</v>
      </c>
      <c r="AL174" s="507">
        <f>+[4]ม.ค.59!$L$61/10^6</f>
        <v>2.0181679899999998</v>
      </c>
      <c r="AM174" s="507">
        <f>+[4]ก.พ.59!$L$61/10^6</f>
        <v>2.0153325300000002</v>
      </c>
      <c r="AN174" s="507">
        <f>+[4]มี.ค.59!$L$61/10^6</f>
        <v>1.96988875</v>
      </c>
      <c r="AO174" s="507">
        <f>+[4]เม.ย.59!$L$61/10^6</f>
        <v>2.2240766399999998</v>
      </c>
      <c r="AP174" s="507">
        <f>+[4]พ.ค.59!$L$61/10^6</f>
        <v>2.4746829300000002</v>
      </c>
      <c r="AQ174" s="507">
        <f>+[4]มิ.ย.59!$L$61/10^6</f>
        <v>2.2772406899999997</v>
      </c>
      <c r="AR174" s="507">
        <f>+[4]ก.ค.59!$L$61/10^6</f>
        <v>2.1449899699999997</v>
      </c>
      <c r="AS174" s="507">
        <f>+[4]ส.ค.59!$L$61/10^6</f>
        <v>2.1293243300000002</v>
      </c>
      <c r="AT174" s="507">
        <f>+[4]ก.ย.59!$L$61/10^6</f>
        <v>2.1785002400000004</v>
      </c>
      <c r="AU174" s="508">
        <f t="shared" si="21"/>
        <v>25.55137393</v>
      </c>
    </row>
    <row r="175" spans="1:55" s="509" customFormat="1" x14ac:dyDescent="0.2">
      <c r="A175" s="495">
        <v>1010</v>
      </c>
      <c r="B175" s="496" t="s">
        <v>49</v>
      </c>
      <c r="C175" s="497">
        <f>+[2]ต.ค.59!$M$63/10^6</f>
        <v>2.5373468000000003</v>
      </c>
      <c r="D175" s="497">
        <f>+[2]พ.ย.59!$M$63/10^6</f>
        <v>2.6764030999999999</v>
      </c>
      <c r="E175" s="497">
        <f>+[2]ธ.ค.59!$M$63/10^6</f>
        <v>2.6534143200000004</v>
      </c>
      <c r="F175" s="497">
        <f>+[2]ม.ค.60!$M$63/10^6</f>
        <v>2.8080429599999994</v>
      </c>
      <c r="G175" s="497">
        <f>+[2]ก.พ.60!$M$63/10^6</f>
        <v>2.6737650500000001</v>
      </c>
      <c r="H175" s="497">
        <f>+[2]มี.ค.60!$M$63/10^6</f>
        <v>2.7065404900000001</v>
      </c>
      <c r="I175" s="497">
        <f>+[2]เม.ย.60!$M$63/10^6</f>
        <v>3.2250485900000001</v>
      </c>
      <c r="J175" s="497">
        <f>+[2]พ.ค.60!$M$63/10^6</f>
        <v>2.9914798600000005</v>
      </c>
      <c r="K175" s="497">
        <f>+[2]มิ.ย.60!$M$63/10^6</f>
        <v>2.9518667400000003</v>
      </c>
      <c r="L175" s="497">
        <f>+[2]ก.ค.60!$M$63/10^6</f>
        <v>2.6520887700000002</v>
      </c>
      <c r="M175" s="497">
        <f>+[2]ส.ค.60!$M$63/10^6</f>
        <v>2.6933382399999997</v>
      </c>
      <c r="N175" s="497">
        <f>+[2]ก.ย.60!$M$63/10^6</f>
        <v>2.8416457300000002</v>
      </c>
      <c r="O175" s="498">
        <f t="shared" si="19"/>
        <v>33.410980649999999</v>
      </c>
      <c r="P175" s="499"/>
      <c r="Q175" s="500">
        <v>1010</v>
      </c>
      <c r="R175" s="501" t="s">
        <v>49</v>
      </c>
      <c r="S175" s="502">
        <f>+[5]รายได้!C75/10^6</f>
        <v>2.8248440000000001</v>
      </c>
      <c r="T175" s="502">
        <f>+[5]รายได้!D75/10^6</f>
        <v>2.8712810000000002</v>
      </c>
      <c r="U175" s="502">
        <f>+[5]รายได้!E75/10^6</f>
        <v>2.7664149999999998</v>
      </c>
      <c r="V175" s="502">
        <f>+[5]รายได้!F75/10^6</f>
        <v>2.9925899999999999</v>
      </c>
      <c r="W175" s="502">
        <f>+[5]รายได้!G75/10^6</f>
        <v>2.8559920000000001</v>
      </c>
      <c r="X175" s="502">
        <f>+[5]รายได้!H75/10^6</f>
        <v>2.788017</v>
      </c>
      <c r="Y175" s="502">
        <f>+[5]รายได้!I75/10^6</f>
        <v>3.1774140000000002</v>
      </c>
      <c r="Z175" s="502">
        <f>+[5]รายได้!J75/10^6</f>
        <v>3.4579650000000002</v>
      </c>
      <c r="AA175" s="502">
        <f>+[5]รายได้!K75/10^6</f>
        <v>3.2186210000000002</v>
      </c>
      <c r="AB175" s="502">
        <f>+[5]รายได้!L75/10^6</f>
        <v>2.8079480000000001</v>
      </c>
      <c r="AC175" s="502">
        <f>+[5]รายได้!M75/10^6</f>
        <v>2.7974350000000001</v>
      </c>
      <c r="AD175" s="502">
        <f>+[5]รายได้!N75/10^6</f>
        <v>2.8329490000000002</v>
      </c>
      <c r="AE175" s="503">
        <f t="shared" si="20"/>
        <v>35.391470999999996</v>
      </c>
      <c r="AF175" s="504">
        <f>+[5]รายได้!AO75/10^6</f>
        <v>35.391469999999998</v>
      </c>
      <c r="AG175" s="505">
        <v>1010</v>
      </c>
      <c r="AH175" s="506" t="s">
        <v>49</v>
      </c>
      <c r="AI175" s="507">
        <f>+[4]ต.ค.58!$M$61/10^6</f>
        <v>2.6536103600000001</v>
      </c>
      <c r="AJ175" s="507">
        <f>+[4]พ.ย.58!$M$61/10^6</f>
        <v>2.6618553500000002</v>
      </c>
      <c r="AK175" s="507">
        <f>+[4]ธ.ค.58!$M$61/10^6</f>
        <v>2.7800196100000001</v>
      </c>
      <c r="AL175" s="507">
        <f>+[4]ม.ค.59!$M$61/10^6</f>
        <v>2.7538604600000003</v>
      </c>
      <c r="AM175" s="507">
        <f>+[4]ก.พ.59!$M$61/10^6</f>
        <v>2.71495971</v>
      </c>
      <c r="AN175" s="507">
        <f>+[4]มี.ค.59!$M$61/10^6</f>
        <v>2.7072628400000003</v>
      </c>
      <c r="AO175" s="507">
        <f>+[4]เม.ย.59!$M$61/10^6</f>
        <v>3.1160572199999996</v>
      </c>
      <c r="AP175" s="507">
        <f>+[4]พ.ค.59!$M$61/10^6</f>
        <v>3.3927714</v>
      </c>
      <c r="AQ175" s="507">
        <f>+[4]มิ.ย.59!$M$61/10^6</f>
        <v>3.1424285399999996</v>
      </c>
      <c r="AR175" s="507">
        <f>+[4]ก.ค.59!$M$61/10^6</f>
        <v>2.62004489</v>
      </c>
      <c r="AS175" s="507">
        <f>+[4]ส.ค.59!$M$61/10^6</f>
        <v>2.6424983299999996</v>
      </c>
      <c r="AT175" s="507">
        <f>+[4]ก.ย.59!$M$61/10^6</f>
        <v>2.6730606100000003</v>
      </c>
      <c r="AU175" s="508">
        <f t="shared" si="21"/>
        <v>33.858429319999999</v>
      </c>
    </row>
    <row r="176" spans="1:55" s="509" customFormat="1" x14ac:dyDescent="0.2">
      <c r="A176" s="495">
        <v>1011</v>
      </c>
      <c r="B176" s="496" t="s">
        <v>50</v>
      </c>
      <c r="C176" s="497">
        <f>+[2]ต.ค.59!$N$63/10^6</f>
        <v>1.5857750700000002</v>
      </c>
      <c r="D176" s="497">
        <f>+[2]พ.ย.59!$N$63/10^6</f>
        <v>1.6465706099999999</v>
      </c>
      <c r="E176" s="497">
        <f>+[2]ธ.ค.59!$N$63/10^6</f>
        <v>1.6670553100000001</v>
      </c>
      <c r="F176" s="497">
        <f>+[2]ม.ค.60!$N$63/10^6</f>
        <v>1.7860938400000004</v>
      </c>
      <c r="G176" s="497">
        <f>+[2]ก.พ.60!$N$63/10^6</f>
        <v>1.7864424000000001</v>
      </c>
      <c r="H176" s="497">
        <f>+[2]มี.ค.60!$N$63/10^6</f>
        <v>1.80374977</v>
      </c>
      <c r="I176" s="497">
        <f>+[2]เม.ย.60!$N$63/10^6</f>
        <v>2.0868475499999999</v>
      </c>
      <c r="J176" s="497">
        <f>+[2]พ.ค.60!$N$63/10^6</f>
        <v>2.0510691599999999</v>
      </c>
      <c r="K176" s="497">
        <f>+[2]มิ.ย.60!$N$63/10^6</f>
        <v>1.9300947099999999</v>
      </c>
      <c r="L176" s="497">
        <f>+[2]ก.ค.60!$N$63/10^6</f>
        <v>1.6718734899999999</v>
      </c>
      <c r="M176" s="497">
        <f>+[2]ส.ค.60!$N$63/10^6</f>
        <v>1.7831772799999999</v>
      </c>
      <c r="N176" s="497">
        <f>+[2]ก.ย.60!$N$63/10^6</f>
        <v>1.69421519</v>
      </c>
      <c r="O176" s="498">
        <f t="shared" si="19"/>
        <v>21.49296438</v>
      </c>
      <c r="P176" s="499"/>
      <c r="Q176" s="500">
        <v>1011</v>
      </c>
      <c r="R176" s="501" t="s">
        <v>50</v>
      </c>
      <c r="S176" s="502">
        <f>+[5]รายได้!C76/10^6</f>
        <v>1.634428</v>
      </c>
      <c r="T176" s="502">
        <f>+[5]รายได้!D76/10^6</f>
        <v>1.7499910000000001</v>
      </c>
      <c r="U176" s="502">
        <f>+[5]รายได้!E76/10^6</f>
        <v>1.643092</v>
      </c>
      <c r="V176" s="502">
        <f>+[5]รายได้!F76/10^6</f>
        <v>1.6551450000000001</v>
      </c>
      <c r="W176" s="502">
        <f>+[5]รายได้!G76/10^6</f>
        <v>1.6613169999999999</v>
      </c>
      <c r="X176" s="502">
        <f>+[5]รายได้!H76/10^6</f>
        <v>1.662806</v>
      </c>
      <c r="Y176" s="502">
        <f>+[5]รายได้!I76/10^6</f>
        <v>1.944834</v>
      </c>
      <c r="Z176" s="502">
        <f>+[5]รายได้!J76/10^6</f>
        <v>2.1448610000000001</v>
      </c>
      <c r="AA176" s="502">
        <f>+[5]รายได้!K76/10^6</f>
        <v>1.9978149999999999</v>
      </c>
      <c r="AB176" s="502">
        <f>+[5]รายได้!L76/10^6</f>
        <v>1.774667</v>
      </c>
      <c r="AC176" s="502">
        <f>+[5]รายได้!M76/10^6</f>
        <v>1.702801</v>
      </c>
      <c r="AD176" s="502">
        <f>+[5]รายได้!N76/10^6</f>
        <v>1.688923</v>
      </c>
      <c r="AE176" s="503">
        <f t="shared" si="20"/>
        <v>21.260680000000001</v>
      </c>
      <c r="AF176" s="504">
        <f>+[5]รายได้!AO76/10^6</f>
        <v>21.260680000000001</v>
      </c>
      <c r="AG176" s="505">
        <v>1011</v>
      </c>
      <c r="AH176" s="506" t="s">
        <v>50</v>
      </c>
      <c r="AI176" s="507">
        <f>+[4]ต.ค.58!$N$61/10^6</f>
        <v>1.6183363799999999</v>
      </c>
      <c r="AJ176" s="507">
        <f>+[4]พ.ย.58!$N$61/10^6</f>
        <v>1.7661924199999999</v>
      </c>
      <c r="AK176" s="507">
        <f>+[4]ธ.ค.58!$N$61/10^6</f>
        <v>1.6871085599999998</v>
      </c>
      <c r="AL176" s="507">
        <f>+[4]ม.ค.59!$N$61/10^6</f>
        <v>1.6885543999999999</v>
      </c>
      <c r="AM176" s="507">
        <f>+[4]ก.พ.59!$N$61/10^6</f>
        <v>1.6155154599999999</v>
      </c>
      <c r="AN176" s="507">
        <f>+[4]มี.ค.59!$N$61/10^6</f>
        <v>1.6607153099999998</v>
      </c>
      <c r="AO176" s="507">
        <f>+[4]เม.ย.59!$N$61/10^6</f>
        <v>1.9586018700000001</v>
      </c>
      <c r="AP176" s="507">
        <f>+[4]พ.ค.59!$N$61/10^6</f>
        <v>2.3086107500000002</v>
      </c>
      <c r="AQ176" s="507">
        <f>+[4]มิ.ย.59!$N$61/10^6</f>
        <v>2.0244199200000006</v>
      </c>
      <c r="AR176" s="507">
        <f>+[4]ก.ค.59!$N$61/10^6</f>
        <v>1.7779652399999997</v>
      </c>
      <c r="AS176" s="507">
        <f>+[4]ส.ค.59!$N$61/10^6</f>
        <v>1.6780304699999999</v>
      </c>
      <c r="AT176" s="507">
        <f>+[4]ก.ย.59!$N$61/10^6</f>
        <v>1.5367543299999995</v>
      </c>
      <c r="AU176" s="508">
        <f t="shared" si="21"/>
        <v>21.320805110000002</v>
      </c>
    </row>
    <row r="177" spans="1:47" s="509" customFormat="1" x14ac:dyDescent="0.2">
      <c r="A177" s="495">
        <v>1012</v>
      </c>
      <c r="B177" s="496" t="s">
        <v>51</v>
      </c>
      <c r="C177" s="497">
        <f>+[2]ต.ค.59!$O$63/10^6</f>
        <v>5.4477426300000005</v>
      </c>
      <c r="D177" s="497">
        <f>+[2]พ.ย.59!$O$63/10^6</f>
        <v>5.4814596000000009</v>
      </c>
      <c r="E177" s="497">
        <f>+[2]ธ.ค.59!$O$63/10^6</f>
        <v>5.4408992399999994</v>
      </c>
      <c r="F177" s="497">
        <f>+[2]ม.ค.60!$O$63/10^6</f>
        <v>5.8138520499999995</v>
      </c>
      <c r="G177" s="497">
        <f>+[2]ก.พ.60!$O$63/10^6</f>
        <v>5.7922599999999997</v>
      </c>
      <c r="H177" s="497">
        <f>+[2]มี.ค.60!$O$63/10^6</f>
        <v>6.064232360000001</v>
      </c>
      <c r="I177" s="497">
        <f>+[2]เม.ย.60!$O$63/10^6</f>
        <v>6.3263233699999999</v>
      </c>
      <c r="J177" s="497">
        <f>+[2]พ.ค.60!$O$63/10^6</f>
        <v>6.6688039600000009</v>
      </c>
      <c r="K177" s="497">
        <f>+[2]มิ.ย.60!$O$63/10^6</f>
        <v>6.0644080699999989</v>
      </c>
      <c r="L177" s="497">
        <f>+[2]ก.ค.60!$O$63/10^6</f>
        <v>5.8135632400000006</v>
      </c>
      <c r="M177" s="497">
        <f>+[2]ส.ค.60!$O$63/10^6</f>
        <v>5.9992015300000006</v>
      </c>
      <c r="N177" s="497">
        <f>+[2]ก.ย.60!$O$63/10^6</f>
        <v>6.0802845999999997</v>
      </c>
      <c r="O177" s="498">
        <f t="shared" si="19"/>
        <v>70.993030649999994</v>
      </c>
      <c r="P177" s="499"/>
      <c r="Q177" s="500">
        <v>1012</v>
      </c>
      <c r="R177" s="501" t="s">
        <v>51</v>
      </c>
      <c r="S177" s="502">
        <f>+[5]รายได้!C77/10^6</f>
        <v>5.5014099999999999</v>
      </c>
      <c r="T177" s="502">
        <f>+[5]รายได้!D77/10^6</f>
        <v>5.6507250000000004</v>
      </c>
      <c r="U177" s="502">
        <f>+[5]รายได้!E77/10^6</f>
        <v>5.5749219999999999</v>
      </c>
      <c r="V177" s="502">
        <f>+[5]รายได้!F77/10^6</f>
        <v>5.4707869999999996</v>
      </c>
      <c r="W177" s="502">
        <f>+[5]รายได้!G77/10^6</f>
        <v>5.5895039999999998</v>
      </c>
      <c r="X177" s="502">
        <f>+[5]รายได้!H77/10^6</f>
        <v>5.4349100000000004</v>
      </c>
      <c r="Y177" s="502">
        <f>+[5]รายได้!I77/10^6</f>
        <v>6.0202689999999999</v>
      </c>
      <c r="Z177" s="502">
        <f>+[5]รายได้!J77/10^6</f>
        <v>6.777965</v>
      </c>
      <c r="AA177" s="502">
        <f>+[5]รายได้!K77/10^6</f>
        <v>6.4930690000000002</v>
      </c>
      <c r="AB177" s="502">
        <f>+[5]รายได้!L77/10^6</f>
        <v>6.0665620000000002</v>
      </c>
      <c r="AC177" s="502">
        <f>+[5]รายได้!M77/10^6</f>
        <v>5.9774039999999999</v>
      </c>
      <c r="AD177" s="502">
        <f>+[5]รายได้!N77/10^6</f>
        <v>6.1194269999999999</v>
      </c>
      <c r="AE177" s="503">
        <f t="shared" si="20"/>
        <v>70.676953999999995</v>
      </c>
      <c r="AF177" s="504">
        <f>+[5]รายได้!AO77/10^6</f>
        <v>70.676950000000005</v>
      </c>
      <c r="AG177" s="505">
        <v>1012</v>
      </c>
      <c r="AH177" s="506" t="s">
        <v>51</v>
      </c>
      <c r="AI177" s="507">
        <f>+[4]ต.ค.58!$O$61/10^6</f>
        <v>5.1921678699999996</v>
      </c>
      <c r="AJ177" s="507">
        <f>+[4]พ.ย.58!$O$61/10^6</f>
        <v>5.3375255100000008</v>
      </c>
      <c r="AK177" s="507">
        <f>+[4]ธ.ค.58!$O$61/10^6</f>
        <v>5.2917031099999994</v>
      </c>
      <c r="AL177" s="507">
        <f>+[4]ม.ค.59!$O$61/10^6</f>
        <v>5.1477178999999991</v>
      </c>
      <c r="AM177" s="507">
        <f>+[4]ก.พ.59!$O$61/10^6</f>
        <v>5.4986887600000003</v>
      </c>
      <c r="AN177" s="507">
        <f>+[4]มี.ค.59!$O$61/10^6</f>
        <v>5.0076202500000004</v>
      </c>
      <c r="AO177" s="507">
        <f>+[4]เม.ย.59!$O$61/10^6</f>
        <v>5.9326230299999994</v>
      </c>
      <c r="AP177" s="507">
        <f>+[4]พ.ค.59!$O$61/10^6</f>
        <v>6.6030480100000002</v>
      </c>
      <c r="AQ177" s="507">
        <f>+[4]มิ.ย.59!$O$61/10^6</f>
        <v>6.1734626899999991</v>
      </c>
      <c r="AR177" s="507">
        <f>+[4]ก.ค.59!$O$61/10^6</f>
        <v>5.5809518699999998</v>
      </c>
      <c r="AS177" s="507">
        <f>+[4]ส.ค.59!$O$61/10^6</f>
        <v>5.6301456999999999</v>
      </c>
      <c r="AT177" s="507">
        <f>+[4]ก.ย.59!$O$61/10^6</f>
        <v>5.7354674400000007</v>
      </c>
      <c r="AU177" s="508">
        <f t="shared" si="21"/>
        <v>67.131122140000002</v>
      </c>
    </row>
    <row r="178" spans="1:47" s="509" customFormat="1" x14ac:dyDescent="0.2">
      <c r="A178" s="495">
        <v>1013</v>
      </c>
      <c r="B178" s="496" t="s">
        <v>52</v>
      </c>
      <c r="C178" s="497">
        <f>+[2]ต.ค.59!$P$63/10^6</f>
        <v>0.32004014000000003</v>
      </c>
      <c r="D178" s="497">
        <f>+[2]พ.ย.59!$P$63/10^6</f>
        <v>0.31536668000000001</v>
      </c>
      <c r="E178" s="497">
        <f>+[2]ธ.ค.59!$P$63/10^6</f>
        <v>0.30585413</v>
      </c>
      <c r="F178" s="497">
        <f>+[2]ม.ค.60!$P$63/10^6</f>
        <v>0.34626844000000001</v>
      </c>
      <c r="G178" s="497">
        <f>+[2]ก.พ.60!$P$63/10^6</f>
        <v>0.33090036</v>
      </c>
      <c r="H178" s="497">
        <f>+[2]มี.ค.60!$P$63/10^6</f>
        <v>0.3305787</v>
      </c>
      <c r="I178" s="497">
        <f>+[2]เม.ย.60!$P$63/10^6</f>
        <v>0.42908170000000001</v>
      </c>
      <c r="J178" s="497">
        <f>+[2]พ.ค.60!$P$63/10^6</f>
        <v>0.38064826000000002</v>
      </c>
      <c r="K178" s="497">
        <f>+[2]มิ.ย.60!$P$63/10^6</f>
        <v>0.37470166000000005</v>
      </c>
      <c r="L178" s="497">
        <f>+[2]ก.ค.60!$P$63/10^6</f>
        <v>0.35006639000000001</v>
      </c>
      <c r="M178" s="497">
        <f>+[2]ส.ค.60!$P$63/10^6</f>
        <v>0.33752599</v>
      </c>
      <c r="N178" s="497">
        <f>+[2]ก.ย.60!$P$63/10^6</f>
        <v>0.35287771000000001</v>
      </c>
      <c r="O178" s="498">
        <f t="shared" si="19"/>
        <v>4.1739101600000001</v>
      </c>
      <c r="P178" s="499"/>
      <c r="Q178" s="500">
        <v>1013</v>
      </c>
      <c r="R178" s="501" t="s">
        <v>52</v>
      </c>
      <c r="S178" s="502">
        <f>+[5]รายได้!C78/10^6</f>
        <v>0.28898299999999999</v>
      </c>
      <c r="T178" s="502">
        <f>+[5]รายได้!D78/10^6</f>
        <v>0.31544699999999998</v>
      </c>
      <c r="U178" s="502">
        <f>+[5]รายได้!E78/10^6</f>
        <v>0.311722</v>
      </c>
      <c r="V178" s="502">
        <f>+[5]รายได้!F78/10^6</f>
        <v>0.31923099999999999</v>
      </c>
      <c r="W178" s="502">
        <f>+[5]รายได้!G78/10^6</f>
        <v>0.30587300000000001</v>
      </c>
      <c r="X178" s="502">
        <f>+[5]รายได้!H78/10^6</f>
        <v>0.31915300000000002</v>
      </c>
      <c r="Y178" s="502">
        <f>+[5]รายได้!I78/10^6</f>
        <v>0.40540199999999998</v>
      </c>
      <c r="Z178" s="502">
        <f>+[5]รายได้!J78/10^6</f>
        <v>0.39544200000000002</v>
      </c>
      <c r="AA178" s="502">
        <f>+[5]รายได้!K78/10^6</f>
        <v>0.39924599999999999</v>
      </c>
      <c r="AB178" s="502">
        <f>+[5]รายได้!L78/10^6</f>
        <v>0.35936400000000002</v>
      </c>
      <c r="AC178" s="502">
        <f>+[5]รายได้!M78/10^6</f>
        <v>0.34016099999999999</v>
      </c>
      <c r="AD178" s="502">
        <f>+[5]รายได้!N78/10^6</f>
        <v>0.34264600000000001</v>
      </c>
      <c r="AE178" s="503">
        <f t="shared" si="20"/>
        <v>4.1026700000000007</v>
      </c>
      <c r="AF178" s="504">
        <f>+[5]รายได้!AO78/10^6</f>
        <v>4.1026699999999998</v>
      </c>
      <c r="AG178" s="505">
        <v>1013</v>
      </c>
      <c r="AH178" s="506" t="s">
        <v>52</v>
      </c>
      <c r="AI178" s="507">
        <f>+[4]ต.ค.58!$P$61/10^6</f>
        <v>0.27400146000000003</v>
      </c>
      <c r="AJ178" s="507">
        <f>+[4]พ.ย.58!$P$61/10^6</f>
        <v>0.28583059999999999</v>
      </c>
      <c r="AK178" s="507">
        <f>+[4]ธ.ค.58!$P$61/10^6</f>
        <v>0.31488501999999996</v>
      </c>
      <c r="AL178" s="507">
        <f>+[4]ม.ค.59!$P$61/10^6</f>
        <v>0.29579028999999996</v>
      </c>
      <c r="AM178" s="507">
        <f>+[4]ก.พ.59!$P$61/10^6</f>
        <v>0.29470255000000006</v>
      </c>
      <c r="AN178" s="507">
        <f>+[4]มี.ค.59!$P$61/10^6</f>
        <v>0.31575351000000002</v>
      </c>
      <c r="AO178" s="507">
        <f>+[4]เม.ย.59!$P$61/10^6</f>
        <v>0.42450643999999993</v>
      </c>
      <c r="AP178" s="507">
        <f>+[4]พ.ค.59!$P$61/10^6</f>
        <v>0.45464505999999999</v>
      </c>
      <c r="AQ178" s="507">
        <f>+[4]มิ.ย.59!$P$61/10^6</f>
        <v>0.40904619999999997</v>
      </c>
      <c r="AR178" s="507">
        <f>+[4]ก.ค.59!$P$61/10^6</f>
        <v>0.30923938999999995</v>
      </c>
      <c r="AS178" s="507">
        <f>+[4]ส.ค.59!$P$61/10^6</f>
        <v>0.30254153</v>
      </c>
      <c r="AT178" s="507">
        <f>+[4]ก.ย.59!$P$61/10^6</f>
        <v>0.35749402999999991</v>
      </c>
      <c r="AU178" s="508">
        <f t="shared" si="21"/>
        <v>4.0384360800000003</v>
      </c>
    </row>
    <row r="179" spans="1:47" s="509" customFormat="1" x14ac:dyDescent="0.2">
      <c r="A179" s="495">
        <v>1014</v>
      </c>
      <c r="B179" s="496" t="s">
        <v>53</v>
      </c>
      <c r="C179" s="497">
        <f>+[2]ต.ค.59!$Q$63/10^6</f>
        <v>13.42803046</v>
      </c>
      <c r="D179" s="497">
        <f>+[2]พ.ย.59!$Q$63/10^6</f>
        <v>13.238157280000001</v>
      </c>
      <c r="E179" s="497">
        <f>+[2]ธ.ค.59!$Q$63/10^6</f>
        <v>13.643102019999999</v>
      </c>
      <c r="F179" s="497">
        <f>+[2]ม.ค.60!$Q$63/10^6</f>
        <v>14.161293969999999</v>
      </c>
      <c r="G179" s="497">
        <f>+[2]ก.พ.60!$Q$63/10^6</f>
        <v>13.726882790000001</v>
      </c>
      <c r="H179" s="497">
        <f>+[2]มี.ค.60!$Q$63/10^6</f>
        <v>13.413396649999997</v>
      </c>
      <c r="I179" s="497">
        <f>+[2]เม.ย.60!$Q$63/10^6</f>
        <v>15.38676141</v>
      </c>
      <c r="J179" s="497">
        <f>+[2]พ.ค.60!$Q$63/10^6</f>
        <v>15.11636566</v>
      </c>
      <c r="K179" s="497">
        <f>+[2]มิ.ย.60!$Q$63/10^6</f>
        <v>14.53106187</v>
      </c>
      <c r="L179" s="497">
        <f>+[2]ก.ค.60!$Q$63/10^6</f>
        <v>14.15525884</v>
      </c>
      <c r="M179" s="497">
        <f>+[2]ส.ค.60!$Q$63/10^6</f>
        <v>14.229535709999999</v>
      </c>
      <c r="N179" s="497">
        <f>+[2]ก.ย.60!$Q$63/10^6</f>
        <v>14.313302830000001</v>
      </c>
      <c r="O179" s="498">
        <f t="shared" si="19"/>
        <v>169.34314949</v>
      </c>
      <c r="P179" s="499"/>
      <c r="Q179" s="500">
        <v>1014</v>
      </c>
      <c r="R179" s="501" t="s">
        <v>53</v>
      </c>
      <c r="S179" s="502">
        <f>+[5]รายได้!C79/10^6</f>
        <v>14.048339</v>
      </c>
      <c r="T179" s="502">
        <f>+[5]รายได้!D79/10^6</f>
        <v>14.269311999999999</v>
      </c>
      <c r="U179" s="502">
        <f>+[5]รายได้!E79/10^6</f>
        <v>14.129918999999999</v>
      </c>
      <c r="V179" s="502">
        <f>+[5]รายได้!F79/10^6</f>
        <v>14.563200999999999</v>
      </c>
      <c r="W179" s="502">
        <f>+[5]รายได้!G79/10^6</f>
        <v>13.909411</v>
      </c>
      <c r="X179" s="502">
        <f>+[5]รายได้!H79/10^6</f>
        <v>13.874438</v>
      </c>
      <c r="Y179" s="502">
        <f>+[5]รายได้!I79/10^6</f>
        <v>15.825581</v>
      </c>
      <c r="Z179" s="502">
        <f>+[5]รายได้!J79/10^6</f>
        <v>16.649749</v>
      </c>
      <c r="AA179" s="502">
        <f>+[5]รายได้!K79/10^6</f>
        <v>16.238548000000002</v>
      </c>
      <c r="AB179" s="502">
        <f>+[5]รายได้!L79/10^6</f>
        <v>15.147479000000001</v>
      </c>
      <c r="AC179" s="502">
        <f>+[5]รายได้!M79/10^6</f>
        <v>14.178691000000001</v>
      </c>
      <c r="AD179" s="502">
        <f>+[5]รายได้!N79/10^6</f>
        <v>15.093411</v>
      </c>
      <c r="AE179" s="503">
        <f t="shared" si="20"/>
        <v>177.92807900000003</v>
      </c>
      <c r="AF179" s="504">
        <f>+[5]รายได้!AO79/10^6</f>
        <v>177.92807999999999</v>
      </c>
      <c r="AG179" s="505">
        <v>1014</v>
      </c>
      <c r="AH179" s="506" t="s">
        <v>53</v>
      </c>
      <c r="AI179" s="507">
        <f>+[4]ต.ค.58!$Q$61/10^6</f>
        <v>13.500048219999998</v>
      </c>
      <c r="AJ179" s="507">
        <f>+[4]พ.ย.58!$Q$61/10^6</f>
        <v>13.802768709999999</v>
      </c>
      <c r="AK179" s="507">
        <f>+[4]ธ.ค.58!$Q$61/10^6</f>
        <v>13.548706130000001</v>
      </c>
      <c r="AL179" s="507">
        <f>+[4]ม.ค.59!$Q$61/10^6</f>
        <v>14.051047810000002</v>
      </c>
      <c r="AM179" s="507">
        <f>+[4]ก.พ.59!$Q$61/10^6</f>
        <v>13.353594949999998</v>
      </c>
      <c r="AN179" s="507">
        <f>+[4]มี.ค.59!$Q$61/10^6</f>
        <v>13.23386285</v>
      </c>
      <c r="AO179" s="507">
        <f>+[4]เม.ย.59!$Q$61/10^6</f>
        <v>15.001764480000002</v>
      </c>
      <c r="AP179" s="507">
        <f>+[4]พ.ค.59!$Q$61/10^6</f>
        <v>16.619130039999998</v>
      </c>
      <c r="AQ179" s="507">
        <f>+[4]มิ.ย.59!$Q$61/10^6</f>
        <v>15.913152440000001</v>
      </c>
      <c r="AR179" s="507">
        <f>+[4]ก.ค.59!$Q$61/10^6</f>
        <v>14.894495350000001</v>
      </c>
      <c r="AS179" s="507">
        <f>+[4]ส.ค.59!$Q$61/10^6</f>
        <v>12.969354439999998</v>
      </c>
      <c r="AT179" s="507">
        <f>+[4]ก.ย.59!$Q$61/10^6</f>
        <v>14.854114859999999</v>
      </c>
      <c r="AU179" s="508">
        <f t="shared" si="21"/>
        <v>171.74204028</v>
      </c>
    </row>
    <row r="180" spans="1:47" s="509" customFormat="1" x14ac:dyDescent="0.2">
      <c r="A180" s="495">
        <v>1015</v>
      </c>
      <c r="B180" s="496" t="s">
        <v>54</v>
      </c>
      <c r="C180" s="497">
        <f>+[2]ต.ค.59!$R$63/10^6</f>
        <v>1.50610596</v>
      </c>
      <c r="D180" s="497">
        <f>+[2]พ.ย.59!$R$63/10^6</f>
        <v>1.5462564999999997</v>
      </c>
      <c r="E180" s="497">
        <f>+[2]ธ.ค.59!$R$63/10^6</f>
        <v>1.5058909899999999</v>
      </c>
      <c r="F180" s="497">
        <f>+[2]ม.ค.60!$R$63/10^6</f>
        <v>1.6323316400000001</v>
      </c>
      <c r="G180" s="497">
        <f>+[2]ก.พ.60!$R$63/10^6</f>
        <v>1.4961712999999999</v>
      </c>
      <c r="H180" s="497">
        <f>+[2]มี.ค.60!$R$63/10^6</f>
        <v>1.5415125400000003</v>
      </c>
      <c r="I180" s="497">
        <f>+[2]เม.ย.60!$R$63/10^6</f>
        <v>1.7174972199999998</v>
      </c>
      <c r="J180" s="497">
        <f>+[2]พ.ค.60!$R$63/10^6</f>
        <v>1.8140144200000001</v>
      </c>
      <c r="K180" s="497">
        <f>+[2]มิ.ย.60!$R$63/10^6</f>
        <v>1.5608875999999998</v>
      </c>
      <c r="L180" s="497">
        <f>+[2]ก.ค.60!$R$63/10^6</f>
        <v>1.6012599699999999</v>
      </c>
      <c r="M180" s="497">
        <f>+[2]ส.ค.60!$R$63/10^6</f>
        <v>1.5531453100000001</v>
      </c>
      <c r="N180" s="497">
        <f>+[2]ก.ย.60!$R$63/10^6</f>
        <v>1.8868518200000004</v>
      </c>
      <c r="O180" s="498">
        <f t="shared" si="19"/>
        <v>19.361925269999997</v>
      </c>
      <c r="P180" s="499"/>
      <c r="Q180" s="500">
        <v>1015</v>
      </c>
      <c r="R180" s="501" t="s">
        <v>54</v>
      </c>
      <c r="S180" s="502">
        <f>+[5]รายได้!C80/10^6</f>
        <v>1.4076900000000001</v>
      </c>
      <c r="T180" s="502">
        <f>+[5]รายได้!D80/10^6</f>
        <v>1.459759</v>
      </c>
      <c r="U180" s="502">
        <f>+[5]รายได้!E80/10^6</f>
        <v>1.465028</v>
      </c>
      <c r="V180" s="502">
        <f>+[5]รายได้!F80/10^6</f>
        <v>1.535005</v>
      </c>
      <c r="W180" s="502">
        <f>+[5]รายได้!G80/10^6</f>
        <v>1.472451</v>
      </c>
      <c r="X180" s="502">
        <f>+[5]รายได้!H80/10^6</f>
        <v>1.4382999999999999</v>
      </c>
      <c r="Y180" s="502">
        <f>+[5]รายได้!I80/10^6</f>
        <v>1.734029</v>
      </c>
      <c r="Z180" s="502">
        <f>+[5]รายได้!J80/10^6</f>
        <v>1.955554</v>
      </c>
      <c r="AA180" s="502">
        <f>+[5]รายได้!K80/10^6</f>
        <v>1.5739920000000001</v>
      </c>
      <c r="AB180" s="502">
        <f>+[5]รายได้!L80/10^6</f>
        <v>1.770019</v>
      </c>
      <c r="AC180" s="502">
        <f>+[5]รายได้!M80/10^6</f>
        <v>1.5657369999999999</v>
      </c>
      <c r="AD180" s="502">
        <f>+[5]รายได้!N80/10^6</f>
        <v>1.5313559999999999</v>
      </c>
      <c r="AE180" s="503">
        <f t="shared" si="20"/>
        <v>18.908919999999998</v>
      </c>
      <c r="AF180" s="504">
        <f>+[5]รายได้!AO80/10^6</f>
        <v>18.908919999999998</v>
      </c>
      <c r="AG180" s="505">
        <v>1015</v>
      </c>
      <c r="AH180" s="506" t="s">
        <v>54</v>
      </c>
      <c r="AI180" s="507">
        <f>+[4]ต.ค.58!$R$61/10^6</f>
        <v>1.3769927</v>
      </c>
      <c r="AJ180" s="507">
        <f>+[4]พ.ย.58!$R$61/10^6</f>
        <v>1.4672634099999999</v>
      </c>
      <c r="AK180" s="507">
        <f>+[4]ธ.ค.58!$R$61/10^6</f>
        <v>1.46277737</v>
      </c>
      <c r="AL180" s="507">
        <f>+[4]ม.ค.59!$R$61/10^6</f>
        <v>1.5011476400000001</v>
      </c>
      <c r="AM180" s="507">
        <f>+[4]ก.พ.59!$R$61/10^6</f>
        <v>1.4425546800000002</v>
      </c>
      <c r="AN180" s="507">
        <f>+[4]มี.ค.59!$R$61/10^6</f>
        <v>1.4455054199999999</v>
      </c>
      <c r="AO180" s="507">
        <f>+[4]เม.ย.59!$R$61/10^6</f>
        <v>1.7142277599999998</v>
      </c>
      <c r="AP180" s="507">
        <f>+[4]พ.ค.59!$R$61/10^6</f>
        <v>2.02175197</v>
      </c>
      <c r="AQ180" s="507">
        <f>+[4]มิ.ย.59!$R$61/10^6</f>
        <v>1.7688954699999997</v>
      </c>
      <c r="AR180" s="507">
        <f>+[4]ก.ค.59!$R$61/10^6</f>
        <v>1.7674973499999995</v>
      </c>
      <c r="AS180" s="507">
        <f>+[4]ส.ค.59!$R$61/10^6</f>
        <v>1.5659018599999999</v>
      </c>
      <c r="AT180" s="507">
        <f>+[4]ก.ย.59!$R$61/10^6</f>
        <v>1.4921622400000003</v>
      </c>
      <c r="AU180" s="508">
        <f t="shared" si="21"/>
        <v>19.026677869999997</v>
      </c>
    </row>
    <row r="181" spans="1:47" s="509" customFormat="1" x14ac:dyDescent="0.2">
      <c r="A181" s="495">
        <v>1016</v>
      </c>
      <c r="B181" s="496" t="s">
        <v>55</v>
      </c>
      <c r="C181" s="497">
        <f>+[2]ต.ค.59!$S$63/10^6</f>
        <v>1.95334312</v>
      </c>
      <c r="D181" s="497">
        <f>+[2]พ.ย.59!$S$63/10^6</f>
        <v>2.0001511500000002</v>
      </c>
      <c r="E181" s="497">
        <f>+[2]ธ.ค.59!$S$63/10^6</f>
        <v>1.9573718499999997</v>
      </c>
      <c r="F181" s="497">
        <f>+[2]ม.ค.60!$S$63/10^6</f>
        <v>2.2275514599999999</v>
      </c>
      <c r="G181" s="497">
        <f>+[2]ก.พ.60!$S$63/10^6</f>
        <v>2.09079324</v>
      </c>
      <c r="H181" s="497">
        <f>+[2]มี.ค.60!$S$63/10^6</f>
        <v>2.1596150599999997</v>
      </c>
      <c r="I181" s="497">
        <f>+[2]เม.ย.60!$S$63/10^6</f>
        <v>2.4720786400000008</v>
      </c>
      <c r="J181" s="497">
        <f>+[2]พ.ค.60!$S$63/10^6</f>
        <v>2.5599887099999998</v>
      </c>
      <c r="K181" s="497">
        <f>+[2]มิ.ย.60!$S$63/10^6</f>
        <v>2.1720234500000002</v>
      </c>
      <c r="L181" s="497">
        <f>+[2]ก.ค.60!$S$63/10^6</f>
        <v>2.0167714000000001</v>
      </c>
      <c r="M181" s="497">
        <f>+[2]ส.ค.60!$S$63/10^6</f>
        <v>2.0818417200000003</v>
      </c>
      <c r="N181" s="497">
        <f>+[2]ก.ย.60!$S$63/10^6</f>
        <v>2.0553469</v>
      </c>
      <c r="O181" s="498">
        <f t="shared" si="19"/>
        <v>25.746876700000001</v>
      </c>
      <c r="P181" s="499"/>
      <c r="Q181" s="500">
        <v>1016</v>
      </c>
      <c r="R181" s="501" t="s">
        <v>55</v>
      </c>
      <c r="S181" s="502">
        <f>+[5]รายได้!C81/10^6</f>
        <v>1.9691510000000001</v>
      </c>
      <c r="T181" s="502">
        <f>+[5]รายได้!D81/10^6</f>
        <v>2.072225</v>
      </c>
      <c r="U181" s="502">
        <f>+[5]รายได้!E81/10^6</f>
        <v>2.062211</v>
      </c>
      <c r="V181" s="502">
        <f>+[5]รายได้!F81/10^6</f>
        <v>2.1425239999999999</v>
      </c>
      <c r="W181" s="502">
        <f>+[5]รายได้!G81/10^6</f>
        <v>2.1056119999999998</v>
      </c>
      <c r="X181" s="502">
        <f>+[5]รายได้!H81/10^6</f>
        <v>2.146102</v>
      </c>
      <c r="Y181" s="502">
        <f>+[5]รายได้!I81/10^6</f>
        <v>2.5167459999999999</v>
      </c>
      <c r="Z181" s="502">
        <f>+[5]รายได้!J81/10^6</f>
        <v>2.7251319999999999</v>
      </c>
      <c r="AA181" s="502">
        <f>+[5]รายได้!K81/10^6</f>
        <v>2.4519690000000001</v>
      </c>
      <c r="AB181" s="502">
        <f>+[5]รายได้!L81/10^6</f>
        <v>2.15625</v>
      </c>
      <c r="AC181" s="502">
        <f>+[5]รายได้!M81/10^6</f>
        <v>2.147011</v>
      </c>
      <c r="AD181" s="502">
        <f>+[5]รายได้!N81/10^6</f>
        <v>2.1299199999999998</v>
      </c>
      <c r="AE181" s="503">
        <f t="shared" si="20"/>
        <v>26.624852999999995</v>
      </c>
      <c r="AF181" s="504">
        <f>+[5]รายได้!AO81/10^6</f>
        <v>26.624860000000002</v>
      </c>
      <c r="AG181" s="505">
        <v>1016</v>
      </c>
      <c r="AH181" s="506" t="s">
        <v>55</v>
      </c>
      <c r="AI181" s="507">
        <f>+[4]ต.ค.58!$S$61/10^6</f>
        <v>1.8968176500000005</v>
      </c>
      <c r="AJ181" s="507">
        <f>+[4]พ.ย.58!$S$61/10^6</f>
        <v>1.9957034199999999</v>
      </c>
      <c r="AK181" s="507">
        <f>+[4]ธ.ค.58!$S$61/10^6</f>
        <v>2.07742827</v>
      </c>
      <c r="AL181" s="507">
        <f>+[4]ม.ค.59!$S$61/10^6</f>
        <v>2.1144024899999998</v>
      </c>
      <c r="AM181" s="507">
        <f>+[4]ก.พ.59!$S$61/10^6</f>
        <v>2.0457638400000002</v>
      </c>
      <c r="AN181" s="507">
        <f>+[4]มี.ค.59!$S$61/10^6</f>
        <v>2.0827561999999995</v>
      </c>
      <c r="AO181" s="507">
        <f>+[4]เม.ย.59!$S$61/10^6</f>
        <v>2.4905568900000001</v>
      </c>
      <c r="AP181" s="507">
        <f>+[4]พ.ค.59!$S$61/10^6</f>
        <v>2.9521928100000001</v>
      </c>
      <c r="AQ181" s="507">
        <f>+[4]มิ.ย.59!$S$61/10^6</f>
        <v>2.5384037300000002</v>
      </c>
      <c r="AR181" s="507">
        <f>+[4]ก.ค.59!$S$61/10^6</f>
        <v>1.9994338200000001</v>
      </c>
      <c r="AS181" s="507">
        <f>+[4]ส.ค.59!$S$61/10^6</f>
        <v>1.9955393400000001</v>
      </c>
      <c r="AT181" s="507">
        <f>+[4]ก.ย.59!$S$61/10^6</f>
        <v>1.9777245400000001</v>
      </c>
      <c r="AU181" s="508">
        <f t="shared" si="21"/>
        <v>26.166722999999998</v>
      </c>
    </row>
    <row r="182" spans="1:47" s="509" customFormat="1" x14ac:dyDescent="0.2">
      <c r="A182" s="495">
        <v>1017</v>
      </c>
      <c r="B182" s="496" t="s">
        <v>56</v>
      </c>
      <c r="C182" s="497">
        <f>+[2]ต.ค.59!$T$63/10^6</f>
        <v>3.9965098500000003</v>
      </c>
      <c r="D182" s="497">
        <f>+[2]พ.ย.59!$T$63/10^6</f>
        <v>4.3513508900000009</v>
      </c>
      <c r="E182" s="497">
        <f>+[2]ธ.ค.59!$T$63/10^6</f>
        <v>4.2248911299999996</v>
      </c>
      <c r="F182" s="497">
        <f>+[2]ม.ค.60!$T$63/10^6</f>
        <v>4.3579736900000006</v>
      </c>
      <c r="G182" s="497">
        <f>+[2]ก.พ.60!$T$63/10^6</f>
        <v>4.1463875900000007</v>
      </c>
      <c r="H182" s="497">
        <f>+[2]มี.ค.60!$T$63/10^6</f>
        <v>3.9500426799999997</v>
      </c>
      <c r="I182" s="497">
        <f>+[2]เม.ย.60!$T$63/10^6</f>
        <v>4.6607865699999991</v>
      </c>
      <c r="J182" s="497">
        <f>+[2]พ.ค.60!$T$63/10^6</f>
        <v>4.564856540000001</v>
      </c>
      <c r="K182" s="497">
        <f>+[2]มิ.ย.60!$T$63/10^6</f>
        <v>4.4363012499999996</v>
      </c>
      <c r="L182" s="497">
        <f>+[2]ก.ค.60!$T$63/10^6</f>
        <v>4.1816743000000001</v>
      </c>
      <c r="M182" s="497">
        <f>+[2]ส.ค.60!$T$63/10^6</f>
        <v>4.2193662099999987</v>
      </c>
      <c r="N182" s="497">
        <f>+[2]ก.ย.60!$T$63/10^6</f>
        <v>4.2026507600000009</v>
      </c>
      <c r="O182" s="498">
        <f t="shared" si="19"/>
        <v>51.292791460000004</v>
      </c>
      <c r="P182" s="499"/>
      <c r="Q182" s="500">
        <v>1017</v>
      </c>
      <c r="R182" s="501" t="s">
        <v>56</v>
      </c>
      <c r="S182" s="502">
        <f>+[5]รายได้!C82/10^6</f>
        <v>4.254893</v>
      </c>
      <c r="T182" s="502">
        <f>+[5]รายได้!D82/10^6</f>
        <v>4.2878040000000004</v>
      </c>
      <c r="U182" s="502">
        <f>+[5]รายได้!E82/10^6</f>
        <v>4.3413950000000003</v>
      </c>
      <c r="V182" s="502">
        <f>+[5]รายได้!F82/10^6</f>
        <v>4.3570359999999999</v>
      </c>
      <c r="W182" s="502">
        <f>+[5]รายได้!G82/10^6</f>
        <v>4.3055750000000002</v>
      </c>
      <c r="X182" s="502">
        <f>+[5]รายได้!H82/10^6</f>
        <v>4.1683269999999997</v>
      </c>
      <c r="Y182" s="502">
        <f>+[5]รายได้!I82/10^6</f>
        <v>4.8491210000000002</v>
      </c>
      <c r="Z182" s="502">
        <f>+[5]รายได้!J82/10^6</f>
        <v>5.0602530000000003</v>
      </c>
      <c r="AA182" s="502">
        <f>+[5]รายได้!K82/10^6</f>
        <v>4.7785000000000002</v>
      </c>
      <c r="AB182" s="502">
        <f>+[5]รายได้!L82/10^6</f>
        <v>4.5592269999999999</v>
      </c>
      <c r="AC182" s="502">
        <f>+[5]รายได้!M82/10^6</f>
        <v>4.3436469999999998</v>
      </c>
      <c r="AD182" s="502">
        <f>+[5]รายได้!N82/10^6</f>
        <v>4.3633699999999997</v>
      </c>
      <c r="AE182" s="503">
        <f t="shared" si="20"/>
        <v>53.669147999999993</v>
      </c>
      <c r="AF182" s="504">
        <f>+[5]รายได้!AO82/10^6</f>
        <v>53.669150000000002</v>
      </c>
      <c r="AG182" s="505">
        <v>1017</v>
      </c>
      <c r="AH182" s="506" t="s">
        <v>56</v>
      </c>
      <c r="AI182" s="507">
        <f>+[4]ต.ค.58!$T$61/10^6</f>
        <v>4.1164567100000005</v>
      </c>
      <c r="AJ182" s="507">
        <f>+[4]พ.ย.58!$T$61/10^6</f>
        <v>4.1087737899999999</v>
      </c>
      <c r="AK182" s="507">
        <f>+[4]ธ.ค.58!$T$61/10^6</f>
        <v>4.2413433699999992</v>
      </c>
      <c r="AL182" s="507">
        <f>+[4]ม.ค.59!$T$61/10^6</f>
        <v>4.1729369699999994</v>
      </c>
      <c r="AM182" s="507">
        <f>+[4]ก.พ.59!$T$61/10^6</f>
        <v>4.2271200799999997</v>
      </c>
      <c r="AN182" s="507">
        <f>+[4]มี.ค.59!$T$61/10^6</f>
        <v>4.0136359400000003</v>
      </c>
      <c r="AO182" s="507">
        <f>+[4]เม.ย.59!$T$61/10^6</f>
        <v>4.8316802600000006</v>
      </c>
      <c r="AP182" s="507">
        <f>+[4]พ.ค.59!$T$61/10^6</f>
        <v>5.0401032199999989</v>
      </c>
      <c r="AQ182" s="507">
        <f>+[4]มิ.ย.59!$T$61/10^6</f>
        <v>4.6577129800000003</v>
      </c>
      <c r="AR182" s="507">
        <f>+[4]ก.ค.59!$T$61/10^6</f>
        <v>4.3660957200000006</v>
      </c>
      <c r="AS182" s="507">
        <f>+[4]ส.ค.59!$T$61/10^6</f>
        <v>3.9378858600000006</v>
      </c>
      <c r="AT182" s="507">
        <f>+[4]ก.ย.59!$T$61/10^6</f>
        <v>4.2183339499999999</v>
      </c>
      <c r="AU182" s="508">
        <f t="shared" si="21"/>
        <v>51.932078850000003</v>
      </c>
    </row>
    <row r="183" spans="1:47" s="509" customFormat="1" x14ac:dyDescent="0.2">
      <c r="A183" s="495">
        <v>1018</v>
      </c>
      <c r="B183" s="496" t="s">
        <v>57</v>
      </c>
      <c r="C183" s="497">
        <f>+[2]ต.ค.59!$U$63/10^6</f>
        <v>1.7056017699999997</v>
      </c>
      <c r="D183" s="497">
        <f>+[2]พ.ย.59!$U$63/10^6</f>
        <v>1.6885916400000001</v>
      </c>
      <c r="E183" s="497">
        <f>+[2]ธ.ค.59!$U$63/10^6</f>
        <v>1.7366860100000001</v>
      </c>
      <c r="F183" s="497">
        <f>+[2]ม.ค.60!$U$63/10^6</f>
        <v>1.7851330799999998</v>
      </c>
      <c r="G183" s="497">
        <f>+[2]ก.พ.60!$U$63/10^6</f>
        <v>1.63219899</v>
      </c>
      <c r="H183" s="497">
        <f>+[2]มี.ค.60!$U$63/10^6</f>
        <v>1.7058585000000002</v>
      </c>
      <c r="I183" s="497">
        <f>+[2]เม.ย.60!$U$63/10^6</f>
        <v>2.0680051399999999</v>
      </c>
      <c r="J183" s="497">
        <f>+[2]พ.ค.60!$U$63/10^6</f>
        <v>2.0189154500000002</v>
      </c>
      <c r="K183" s="497">
        <f>+[2]มิ.ย.60!$U$63/10^6</f>
        <v>1.8525821999999998</v>
      </c>
      <c r="L183" s="497">
        <f>+[2]ก.ค.60!$U$63/10^6</f>
        <v>1.79656777</v>
      </c>
      <c r="M183" s="497">
        <f>+[2]ส.ค.60!$U$63/10^6</f>
        <v>1.7767175800000001</v>
      </c>
      <c r="N183" s="497">
        <f>+[2]ก.ย.60!$U$63/10^6</f>
        <v>1.75057558</v>
      </c>
      <c r="O183" s="498">
        <f t="shared" si="19"/>
        <v>21.517433709999999</v>
      </c>
      <c r="P183" s="499"/>
      <c r="Q183" s="500">
        <v>1018</v>
      </c>
      <c r="R183" s="501" t="s">
        <v>57</v>
      </c>
      <c r="S183" s="502">
        <f>+[5]รายได้!C83/10^6</f>
        <v>1.6994089999999999</v>
      </c>
      <c r="T183" s="502">
        <f>+[5]รายได้!D83/10^6</f>
        <v>1.708725</v>
      </c>
      <c r="U183" s="502">
        <f>+[5]รายได้!E83/10^6</f>
        <v>1.7531650000000001</v>
      </c>
      <c r="V183" s="502">
        <f>+[5]รายได้!F83/10^6</f>
        <v>1.7765919999999999</v>
      </c>
      <c r="W183" s="502">
        <f>+[5]รายได้!G83/10^6</f>
        <v>1.7220340000000001</v>
      </c>
      <c r="X183" s="502">
        <f>+[5]รายได้!H83/10^6</f>
        <v>1.6908719999999999</v>
      </c>
      <c r="Y183" s="502">
        <f>+[5]รายได้!I83/10^6</f>
        <v>1.9920659999999999</v>
      </c>
      <c r="Z183" s="502">
        <f>+[5]รายได้!J83/10^6</f>
        <v>2.1896789999999999</v>
      </c>
      <c r="AA183" s="502">
        <f>+[5]รายได้!K83/10^6</f>
        <v>2.0536660000000002</v>
      </c>
      <c r="AB183" s="502">
        <f>+[5]รายได้!L83/10^6</f>
        <v>1.904506</v>
      </c>
      <c r="AC183" s="502">
        <f>+[5]รายได้!M83/10^6</f>
        <v>1.73363</v>
      </c>
      <c r="AD183" s="502">
        <f>+[5]รายได้!N83/10^6</f>
        <v>1.689066</v>
      </c>
      <c r="AE183" s="503">
        <f t="shared" si="20"/>
        <v>21.913410000000002</v>
      </c>
      <c r="AF183" s="504">
        <f>+[5]รายได้!AO83/10^6</f>
        <v>21.913409999999999</v>
      </c>
      <c r="AG183" s="505">
        <v>1018</v>
      </c>
      <c r="AH183" s="506" t="s">
        <v>57</v>
      </c>
      <c r="AI183" s="507">
        <f>+[4]ต.ค.58!$U$61/10^6</f>
        <v>1.6610829599999999</v>
      </c>
      <c r="AJ183" s="507">
        <f>+[4]พ.ย.58!$U$61/10^6</f>
        <v>1.7732985700000004</v>
      </c>
      <c r="AK183" s="507">
        <f>+[4]ธ.ค.58!$U$61/10^6</f>
        <v>1.6419844099999998</v>
      </c>
      <c r="AL183" s="507">
        <f>+[4]ม.ค.59!$U$61/10^6</f>
        <v>1.6436389200000001</v>
      </c>
      <c r="AM183" s="507">
        <f>+[4]ก.พ.59!$U$61/10^6</f>
        <v>1.58896495</v>
      </c>
      <c r="AN183" s="507">
        <f>+[4]มี.ค.59!$U$61/10^6</f>
        <v>1.6671736000000001</v>
      </c>
      <c r="AO183" s="507">
        <f>+[4]เม.ย.59!$U$61/10^6</f>
        <v>1.9903363000000003</v>
      </c>
      <c r="AP183" s="507">
        <f>+[4]พ.ค.59!$U$61/10^6</f>
        <v>2.15296631</v>
      </c>
      <c r="AQ183" s="507">
        <f>+[4]มิ.ย.59!$U$61/10^6</f>
        <v>1.9378325700000001</v>
      </c>
      <c r="AR183" s="507">
        <f>+[4]ก.ค.59!$U$61/10^6</f>
        <v>1.8284105400000004</v>
      </c>
      <c r="AS183" s="507">
        <f>+[4]ส.ค.59!$U$61/10^6</f>
        <v>1.6113109499999998</v>
      </c>
      <c r="AT183" s="507">
        <f>+[4]ก.ย.59!$U$61/10^6</f>
        <v>1.6306309800000001</v>
      </c>
      <c r="AU183" s="508">
        <f t="shared" si="21"/>
        <v>21.127631060000002</v>
      </c>
    </row>
    <row r="184" spans="1:47" s="509" customFormat="1" x14ac:dyDescent="0.2">
      <c r="A184" s="495">
        <v>1019</v>
      </c>
      <c r="B184" s="496" t="s">
        <v>58</v>
      </c>
      <c r="C184" s="497">
        <f>+[2]ต.ค.59!$V$63/10^6</f>
        <v>1.0657702900000001</v>
      </c>
      <c r="D184" s="497">
        <f>+[2]พ.ย.59!$V$63/10^6</f>
        <v>1.05765672</v>
      </c>
      <c r="E184" s="497">
        <f>+[2]ธ.ค.59!$V$63/10^6</f>
        <v>1.07138658</v>
      </c>
      <c r="F184" s="497">
        <f>+[2]ม.ค.60!$V$63/10^6</f>
        <v>1.0999972600000001</v>
      </c>
      <c r="G184" s="497">
        <f>+[2]ก.พ.60!$V$63/10^6</f>
        <v>1.0663239199999999</v>
      </c>
      <c r="H184" s="497">
        <f>+[2]มี.ค.60!$V$63/10^6</f>
        <v>1.0860890299999999</v>
      </c>
      <c r="I184" s="497">
        <f>+[2]เม.ย.60!$V$63/10^6</f>
        <v>1.2427711099999998</v>
      </c>
      <c r="J184" s="497">
        <f>+[2]พ.ค.60!$V$63/10^6</f>
        <v>1.2327057800000001</v>
      </c>
      <c r="K184" s="497">
        <f>+[2]มิ.ย.60!$V$63/10^6</f>
        <v>1.1599712200000001</v>
      </c>
      <c r="L184" s="497">
        <f>+[2]ก.ค.60!$V$63/10^6</f>
        <v>1.0996330599999997</v>
      </c>
      <c r="M184" s="497">
        <f>+[2]ส.ค.60!$V$63/10^6</f>
        <v>1.0905798800000002</v>
      </c>
      <c r="N184" s="497">
        <f>+[2]ก.ย.60!$V$63/10^6</f>
        <v>1.1309693399999998</v>
      </c>
      <c r="O184" s="498">
        <f t="shared" si="19"/>
        <v>13.403854189999999</v>
      </c>
      <c r="P184" s="499"/>
      <c r="Q184" s="500">
        <v>1019</v>
      </c>
      <c r="R184" s="501" t="s">
        <v>58</v>
      </c>
      <c r="S184" s="502">
        <f>+[5]รายได้!C84/10^6</f>
        <v>1.101672</v>
      </c>
      <c r="T184" s="502">
        <f>+[5]รายได้!D84/10^6</f>
        <v>1.0858129999999999</v>
      </c>
      <c r="U184" s="502">
        <f>+[5]รายได้!E84/10^6</f>
        <v>1.1140490000000001</v>
      </c>
      <c r="V184" s="502">
        <f>+[5]รายได้!F84/10^6</f>
        <v>1.097458</v>
      </c>
      <c r="W184" s="502">
        <f>+[5]รายได้!G84/10^6</f>
        <v>1.0101279999999999</v>
      </c>
      <c r="X184" s="502">
        <f>+[5]รายได้!H84/10^6</f>
        <v>1.0970949999999999</v>
      </c>
      <c r="Y184" s="502">
        <f>+[5]รายได้!I84/10^6</f>
        <v>1.2503439999999999</v>
      </c>
      <c r="Z184" s="502">
        <f>+[5]รายได้!J84/10^6</f>
        <v>1.2999639999999999</v>
      </c>
      <c r="AA184" s="502">
        <f>+[5]รายได้!K84/10^6</f>
        <v>1.18912</v>
      </c>
      <c r="AB184" s="502">
        <f>+[5]รายได้!L84/10^6</f>
        <v>1.0795589999999999</v>
      </c>
      <c r="AC184" s="502">
        <f>+[5]รายได้!M84/10^6</f>
        <v>1.0354730000000001</v>
      </c>
      <c r="AD184" s="502">
        <f>+[5]รายได้!N84/10^6</f>
        <v>1.1716409999999999</v>
      </c>
      <c r="AE184" s="503">
        <f t="shared" si="20"/>
        <v>13.532315999999996</v>
      </c>
      <c r="AF184" s="504">
        <f>+[5]รายได้!AO84/10^6</f>
        <v>13.53232</v>
      </c>
      <c r="AG184" s="505">
        <v>1019</v>
      </c>
      <c r="AH184" s="506" t="s">
        <v>58</v>
      </c>
      <c r="AI184" s="507">
        <f>+[4]ต.ค.58!$V$61/10^6</f>
        <v>1.0360903000000001</v>
      </c>
      <c r="AJ184" s="507">
        <f>+[4]พ.ย.58!$V$61/10^6</f>
        <v>1.0424068599999998</v>
      </c>
      <c r="AK184" s="507">
        <f>+[4]ธ.ค.58!$V$61/10^6</f>
        <v>1.1125242300000002</v>
      </c>
      <c r="AL184" s="507">
        <f>+[4]ม.ค.59!$V$61/10^6</f>
        <v>1.0100822</v>
      </c>
      <c r="AM184" s="507">
        <f>+[4]ก.พ.59!$V$61/10^6</f>
        <v>1.00976829</v>
      </c>
      <c r="AN184" s="507">
        <f>+[4]มี.ค.59!$V$61/10^6</f>
        <v>1.0836684599999999</v>
      </c>
      <c r="AO184" s="507">
        <f>+[4]เม.ย.59!$V$61/10^6</f>
        <v>1.2415762100000003</v>
      </c>
      <c r="AP184" s="507">
        <f>+[4]พ.ค.59!$V$61/10^6</f>
        <v>1.46313541</v>
      </c>
      <c r="AQ184" s="507">
        <f>+[4]มิ.ย.59!$V$61/10^6</f>
        <v>1.17295353</v>
      </c>
      <c r="AR184" s="507">
        <f>+[4]ก.ค.59!$V$61/10^6</f>
        <v>1.08237932</v>
      </c>
      <c r="AS184" s="507">
        <f>+[4]ส.ค.59!$V$61/10^6</f>
        <v>0.90714958000000012</v>
      </c>
      <c r="AT184" s="507">
        <f>+[4]ก.ย.59!$V$61/10^6</f>
        <v>1.1045703899999999</v>
      </c>
      <c r="AU184" s="508">
        <f t="shared" si="21"/>
        <v>13.266304779999999</v>
      </c>
    </row>
    <row r="185" spans="1:47" s="509" customFormat="1" x14ac:dyDescent="0.2">
      <c r="A185" s="495">
        <v>1020</v>
      </c>
      <c r="B185" s="496" t="s">
        <v>59</v>
      </c>
      <c r="C185" s="497">
        <f>+[2]ต.ค.59!$W$63/10^6</f>
        <v>5.6590439799999999</v>
      </c>
      <c r="D185" s="497">
        <f>+[2]พ.ย.59!$W$63/10^6</f>
        <v>5.5927753899999999</v>
      </c>
      <c r="E185" s="497">
        <f>+[2]ธ.ค.59!$W$63/10^6</f>
        <v>5.8245519000000003</v>
      </c>
      <c r="F185" s="497">
        <f>+[2]ม.ค.60!$W$63/10^6</f>
        <v>6.2463134399999998</v>
      </c>
      <c r="G185" s="497">
        <f>+[2]ก.พ.60!$W$63/10^6</f>
        <v>5.7224228899999998</v>
      </c>
      <c r="H185" s="497">
        <f>+[2]มี.ค.60!$W$63/10^6</f>
        <v>5.65644847</v>
      </c>
      <c r="I185" s="497">
        <f>+[2]เม.ย.60!$W$63/10^6</f>
        <v>6.5354260199999992</v>
      </c>
      <c r="J185" s="497">
        <f>+[2]พ.ค.60!$W$63/10^6</f>
        <v>6.0171656100000002</v>
      </c>
      <c r="K185" s="497">
        <f>+[2]มิ.ย.60!$W$63/10^6</f>
        <v>6.1476030999999995</v>
      </c>
      <c r="L185" s="497">
        <f>+[2]ก.ค.60!$W$63/10^6</f>
        <v>6.0317262399999994</v>
      </c>
      <c r="M185" s="497">
        <f>+[2]ส.ค.60!$W$63/10^6</f>
        <v>5.8863720100000005</v>
      </c>
      <c r="N185" s="497">
        <f>+[2]ก.ย.60!$W$63/10^6</f>
        <v>5.8860886399999996</v>
      </c>
      <c r="O185" s="498">
        <f t="shared" si="19"/>
        <v>71.205937689999985</v>
      </c>
      <c r="P185" s="499"/>
      <c r="Q185" s="500">
        <v>1020</v>
      </c>
      <c r="R185" s="501" t="s">
        <v>59</v>
      </c>
      <c r="S185" s="502">
        <f>+[5]รายได้!C85/10^6</f>
        <v>5.6393649999999997</v>
      </c>
      <c r="T185" s="502">
        <f>+[5]รายได้!D85/10^6</f>
        <v>5.9350779999999999</v>
      </c>
      <c r="U185" s="502">
        <f>+[5]รายได้!E85/10^6</f>
        <v>5.8351430000000004</v>
      </c>
      <c r="V185" s="502">
        <f>+[5]รายได้!F85/10^6</f>
        <v>6.2293200000000004</v>
      </c>
      <c r="W185" s="502">
        <f>+[5]รายได้!G85/10^6</f>
        <v>5.4240560000000002</v>
      </c>
      <c r="X185" s="502">
        <f>+[5]รายได้!H85/10^6</f>
        <v>5.7695869999999996</v>
      </c>
      <c r="Y185" s="502">
        <f>+[5]รายได้!I85/10^6</f>
        <v>6.3258239999999999</v>
      </c>
      <c r="Z185" s="502">
        <f>+[5]รายได้!J85/10^6</f>
        <v>6.335159</v>
      </c>
      <c r="AA185" s="502">
        <f>+[5]รายได้!K85/10^6</f>
        <v>6.29183</v>
      </c>
      <c r="AB185" s="502">
        <f>+[5]รายได้!L85/10^6</f>
        <v>6.1689879999999997</v>
      </c>
      <c r="AC185" s="502">
        <f>+[5]รายได้!M85/10^6</f>
        <v>5.6782760000000003</v>
      </c>
      <c r="AD185" s="502">
        <f>+[5]รายได้!N85/10^6</f>
        <v>6.2264239999999997</v>
      </c>
      <c r="AE185" s="503">
        <f t="shared" si="20"/>
        <v>71.859049999999982</v>
      </c>
      <c r="AF185" s="504">
        <f>+[5]รายได้!AO85/10^6</f>
        <v>71.859049999999996</v>
      </c>
      <c r="AG185" s="505">
        <v>1020</v>
      </c>
      <c r="AH185" s="506" t="s">
        <v>59</v>
      </c>
      <c r="AI185" s="507">
        <f>+[4]ต.ค.58!$W$61/10^6</f>
        <v>5.3074076900000007</v>
      </c>
      <c r="AJ185" s="507">
        <f>+[4]พ.ย.58!$W$61/10^6</f>
        <v>5.8192314100000004</v>
      </c>
      <c r="AK185" s="507">
        <f>+[4]ธ.ค.58!$W$61/10^6</f>
        <v>5.65595553</v>
      </c>
      <c r="AL185" s="507">
        <f>+[4]ม.ค.59!$W$61/10^6</f>
        <v>5.81297687</v>
      </c>
      <c r="AM185" s="507">
        <f>+[4]ก.พ.59!$W$61/10^6</f>
        <v>5.4576230099999998</v>
      </c>
      <c r="AN185" s="507">
        <f>+[4]มี.ค.59!$W$61/10^6</f>
        <v>5.3736207199999999</v>
      </c>
      <c r="AO185" s="507">
        <f>+[4]เม.ย.59!$W$61/10^6</f>
        <v>6.1873442000000001</v>
      </c>
      <c r="AP185" s="507">
        <f>+[4]พ.ค.59!$W$61/10^6</f>
        <v>6.2527159900000013</v>
      </c>
      <c r="AQ185" s="507">
        <f>+[4]มิ.ย.59!$W$61/10^6</f>
        <v>6.2264257999999995</v>
      </c>
      <c r="AR185" s="507">
        <f>+[4]ก.ค.59!$W$61/10^6</f>
        <v>6.0169982600000003</v>
      </c>
      <c r="AS185" s="507">
        <f>+[4]ส.ค.59!$W$61/10^6</f>
        <v>5.2366614800000004</v>
      </c>
      <c r="AT185" s="507">
        <f>+[4]ก.ย.59!$W$61/10^6</f>
        <v>5.9802108699999996</v>
      </c>
      <c r="AU185" s="508">
        <f t="shared" si="21"/>
        <v>69.327171829999997</v>
      </c>
    </row>
    <row r="186" spans="1:47" s="509" customFormat="1" x14ac:dyDescent="0.2">
      <c r="A186" s="495">
        <v>1021</v>
      </c>
      <c r="B186" s="496" t="s">
        <v>60</v>
      </c>
      <c r="C186" s="497">
        <f>+[2]ต.ค.59!$X$63/10^6</f>
        <v>1.5451455799999998</v>
      </c>
      <c r="D186" s="497">
        <f>+[2]พ.ย.59!$X$63/10^6</f>
        <v>1.5535927</v>
      </c>
      <c r="E186" s="497">
        <f>+[2]ธ.ค.59!$X$63/10^6</f>
        <v>1.5177580299999998</v>
      </c>
      <c r="F186" s="497">
        <f>+[2]ม.ค.60!$X$63/10^6</f>
        <v>1.74326146</v>
      </c>
      <c r="G186" s="497">
        <f>+[2]ก.พ.60!$X$63/10^6</f>
        <v>1.4809601400000001</v>
      </c>
      <c r="H186" s="497">
        <f>+[2]มี.ค.60!$X$63/10^6</f>
        <v>1.5434863300000001</v>
      </c>
      <c r="I186" s="497">
        <f>+[2]เม.ย.60!$X$63/10^6</f>
        <v>1.70054561</v>
      </c>
      <c r="J186" s="497">
        <f>+[2]พ.ค.60!$X$63/10^6</f>
        <v>1.6597763099999998</v>
      </c>
      <c r="K186" s="497">
        <f>+[2]มิ.ย.60!$X$63/10^6</f>
        <v>1.7382859099999999</v>
      </c>
      <c r="L186" s="497">
        <f>+[2]ก.ค.60!$X$63/10^6</f>
        <v>1.6475979600000001</v>
      </c>
      <c r="M186" s="497">
        <f>+[2]ส.ค.60!$X$63/10^6</f>
        <v>1.6199209999999999</v>
      </c>
      <c r="N186" s="497">
        <f>+[2]ก.ย.60!$X$63/10^6</f>
        <v>1.6292241599999997</v>
      </c>
      <c r="O186" s="498">
        <f t="shared" si="19"/>
        <v>19.379555190000001</v>
      </c>
      <c r="P186" s="499"/>
      <c r="Q186" s="500">
        <v>1021</v>
      </c>
      <c r="R186" s="501" t="s">
        <v>60</v>
      </c>
      <c r="S186" s="502">
        <f>+[5]รายได้!C86/10^6</f>
        <v>1.544548</v>
      </c>
      <c r="T186" s="502">
        <f>+[5]รายได้!D86/10^6</f>
        <v>1.569113</v>
      </c>
      <c r="U186" s="502">
        <f>+[5]รายได้!E86/10^6</f>
        <v>1.5393129999999999</v>
      </c>
      <c r="V186" s="502">
        <f>+[5]รายได้!F86/10^6</f>
        <v>1.7139390000000001</v>
      </c>
      <c r="W186" s="502">
        <f>+[5]รายได้!G86/10^6</f>
        <v>1.5024420000000001</v>
      </c>
      <c r="X186" s="502">
        <f>+[5]รายได้!H86/10^6</f>
        <v>1.5162960000000001</v>
      </c>
      <c r="Y186" s="502">
        <f>+[5]รายได้!I86/10^6</f>
        <v>1.6873199999999999</v>
      </c>
      <c r="Z186" s="502">
        <f>+[5]รายได้!J86/10^6</f>
        <v>1.6888810000000001</v>
      </c>
      <c r="AA186" s="502">
        <f>+[5]รายได้!K86/10^6</f>
        <v>1.713069</v>
      </c>
      <c r="AB186" s="502">
        <f>+[5]รายได้!L86/10^6</f>
        <v>1.693292</v>
      </c>
      <c r="AC186" s="502">
        <f>+[5]รายได้!M86/10^6</f>
        <v>1.562613</v>
      </c>
      <c r="AD186" s="502">
        <f>+[5]รายได้!N86/10^6</f>
        <v>1.6414329999999999</v>
      </c>
      <c r="AE186" s="503">
        <f t="shared" si="20"/>
        <v>19.372259</v>
      </c>
      <c r="AF186" s="504">
        <f>+[5]รายได้!AO86/10^6</f>
        <v>19.372260000000001</v>
      </c>
      <c r="AG186" s="505">
        <v>1021</v>
      </c>
      <c r="AH186" s="506" t="s">
        <v>60</v>
      </c>
      <c r="AI186" s="507">
        <f>+[4]ต.ค.58!$X$61/10^6</f>
        <v>1.4698253600000004</v>
      </c>
      <c r="AJ186" s="507">
        <f>+[4]พ.ย.58!$X$61/10^6</f>
        <v>1.53859346</v>
      </c>
      <c r="AK186" s="507">
        <f>+[4]ธ.ค.58!$X$61/10^6</f>
        <v>1.4658808499999998</v>
      </c>
      <c r="AL186" s="507">
        <f>+[4]ม.ค.59!$X$61/10^6</f>
        <v>1.5725406</v>
      </c>
      <c r="AM186" s="507">
        <f>+[4]ก.พ.59!$X$61/10^6</f>
        <v>1.4677709899999998</v>
      </c>
      <c r="AN186" s="507">
        <f>+[4]มี.ค.59!$X$61/10^6</f>
        <v>1.5214286499999998</v>
      </c>
      <c r="AO186" s="507">
        <f>+[4]เม.ย.59!$X$61/10^6</f>
        <v>1.68893479</v>
      </c>
      <c r="AP186" s="507">
        <f>+[4]พ.ค.59!$X$61/10^6</f>
        <v>1.6949025200000001</v>
      </c>
      <c r="AQ186" s="507">
        <f>+[4]มิ.ย.59!$X$61/10^6</f>
        <v>1.6939389499999999</v>
      </c>
      <c r="AR186" s="507">
        <f>+[4]ก.ค.59!$X$61/10^6</f>
        <v>1.7406487999999998</v>
      </c>
      <c r="AS186" s="507">
        <f>+[4]ส.ค.59!$X$61/10^6</f>
        <v>1.41316946</v>
      </c>
      <c r="AT186" s="507">
        <f>+[4]ก.ย.59!$X$61/10^6</f>
        <v>1.6935075400000001</v>
      </c>
      <c r="AU186" s="508">
        <f t="shared" si="21"/>
        <v>18.961141969999996</v>
      </c>
    </row>
    <row r="187" spans="1:47" s="509" customFormat="1" x14ac:dyDescent="0.2">
      <c r="A187" s="495">
        <v>1022</v>
      </c>
      <c r="B187" s="496" t="s">
        <v>61</v>
      </c>
      <c r="C187" s="497">
        <f>+[2]ต.ค.59!$Y$63/10^6</f>
        <v>7.3426620800000011</v>
      </c>
      <c r="D187" s="497">
        <f>+[2]พ.ย.59!$Y$63/10^6</f>
        <v>7.730755470000001</v>
      </c>
      <c r="E187" s="497">
        <f>+[2]ธ.ค.59!$Y$63/10^6</f>
        <v>7.2604511699999996</v>
      </c>
      <c r="F187" s="497">
        <f>+[2]ม.ค.60!$Y$63/10^6</f>
        <v>8.0811979800000007</v>
      </c>
      <c r="G187" s="497">
        <f>+[2]ก.พ.60!$Y$63/10^6</f>
        <v>7.1307086599999989</v>
      </c>
      <c r="H187" s="497">
        <f>+[2]มี.ค.60!$Y$63/10^6</f>
        <v>8.0365754499999991</v>
      </c>
      <c r="I187" s="497">
        <f>+[2]เม.ย.60!$Y$63/10^6</f>
        <v>8.8858583000000007</v>
      </c>
      <c r="J187" s="497">
        <f>+[2]พ.ค.60!$Y$63/10^6</f>
        <v>8.1038040200000001</v>
      </c>
      <c r="K187" s="497">
        <f>+[2]มิ.ย.60!$Y$63/10^6</f>
        <v>8.1048670000000005</v>
      </c>
      <c r="L187" s="497">
        <f>+[2]ก.ค.60!$Y$63/10^6</f>
        <v>7.74243185</v>
      </c>
      <c r="M187" s="497">
        <f>+[2]ส.ค.60!$Y$63/10^6</f>
        <v>7.9098970200000016</v>
      </c>
      <c r="N187" s="497">
        <f>+[2]ก.ย.60!$Y$63/10^6</f>
        <v>7.9590564500000003</v>
      </c>
      <c r="O187" s="498">
        <f t="shared" si="19"/>
        <v>94.288265450000011</v>
      </c>
      <c r="P187" s="499"/>
      <c r="Q187" s="500">
        <v>1022</v>
      </c>
      <c r="R187" s="501" t="s">
        <v>61</v>
      </c>
      <c r="S187" s="502">
        <f>+[5]รายได้!C87/10^6</f>
        <v>7.2393489999999998</v>
      </c>
      <c r="T187" s="502">
        <f>+[5]รายได้!D87/10^6</f>
        <v>8.0945280000000004</v>
      </c>
      <c r="U187" s="502">
        <f>+[5]รายได้!E87/10^6</f>
        <v>7.2434789999999998</v>
      </c>
      <c r="V187" s="502">
        <f>+[5]รายได้!F87/10^6</f>
        <v>7.6456160000000004</v>
      </c>
      <c r="W187" s="502">
        <f>+[5]รายได้!G87/10^6</f>
        <v>7.1823889999999997</v>
      </c>
      <c r="X187" s="502">
        <f>+[5]รายได้!H87/10^6</f>
        <v>7.0529200000000003</v>
      </c>
      <c r="Y187" s="502">
        <f>+[5]รายได้!I87/10^6</f>
        <v>8.3806700000000003</v>
      </c>
      <c r="Z187" s="502">
        <f>+[5]รายได้!J87/10^6</f>
        <v>8.4418290000000002</v>
      </c>
      <c r="AA187" s="502">
        <f>+[5]รายได้!K87/10^6</f>
        <v>8.4204129999999999</v>
      </c>
      <c r="AB187" s="502">
        <f>+[5]รายได้!L87/10^6</f>
        <v>8.1189660000000003</v>
      </c>
      <c r="AC187" s="502">
        <f>+[5]รายได้!M87/10^6</f>
        <v>7.5853809999999999</v>
      </c>
      <c r="AD187" s="502">
        <f>+[5]รายได้!N87/10^6</f>
        <v>7.8998020000000002</v>
      </c>
      <c r="AE187" s="503">
        <f t="shared" si="20"/>
        <v>93.305341999999996</v>
      </c>
      <c r="AF187" s="504">
        <f>+[5]รายได้!AO87/10^6</f>
        <v>93.305340000000001</v>
      </c>
      <c r="AG187" s="505">
        <v>1022</v>
      </c>
      <c r="AH187" s="506" t="s">
        <v>61</v>
      </c>
      <c r="AI187" s="507">
        <f>+[4]ต.ค.58!$Y$61/10^6</f>
        <v>7.2342956799999998</v>
      </c>
      <c r="AJ187" s="507">
        <f>+[4]พ.ย.58!$Y$61/10^6</f>
        <v>8.8343267300000008</v>
      </c>
      <c r="AK187" s="507">
        <f>+[4]ธ.ค.58!$Y$61/10^6</f>
        <v>7.1062332700000006</v>
      </c>
      <c r="AL187" s="507">
        <f>+[4]ม.ค.59!$Y$61/10^6</f>
        <v>7.4633507799999999</v>
      </c>
      <c r="AM187" s="507">
        <f>+[4]ก.พ.59!$Y$61/10^6</f>
        <v>7.0978042099999996</v>
      </c>
      <c r="AN187" s="507">
        <f>+[4]มี.ค.59!$Y$61/10^6</f>
        <v>7.0084158299999997</v>
      </c>
      <c r="AO187" s="507">
        <f>+[4]เม.ย.59!$Y$61/10^6</f>
        <v>8.2400433599999996</v>
      </c>
      <c r="AP187" s="507">
        <f>+[4]พ.ค.59!$Y$61/10^6</f>
        <v>8.3095590900000005</v>
      </c>
      <c r="AQ187" s="507">
        <f>+[4]มิ.ย.59!$Y$61/10^6</f>
        <v>8.0670844900000009</v>
      </c>
      <c r="AR187" s="507">
        <f>+[4]ก.ค.59!$Y$61/10^6</f>
        <v>7.9333437200000008</v>
      </c>
      <c r="AS187" s="507">
        <f>+[4]ส.ค.59!$Y$61/10^6</f>
        <v>6.7620922899999991</v>
      </c>
      <c r="AT187" s="507">
        <f>+[4]ก.ย.59!$Y$61/10^6</f>
        <v>7.7535651699999981</v>
      </c>
      <c r="AU187" s="508">
        <f t="shared" si="21"/>
        <v>91.810114619999993</v>
      </c>
    </row>
    <row r="188" spans="1:47" s="509" customFormat="1" x14ac:dyDescent="0.2">
      <c r="A188" s="495">
        <v>1023</v>
      </c>
      <c r="B188" s="496" t="s">
        <v>62</v>
      </c>
      <c r="C188" s="497">
        <f>+[2]ต.ค.59!$Z$63/10^6</f>
        <v>1.5286465499999997</v>
      </c>
      <c r="D188" s="497">
        <f>+[2]พ.ย.59!$Z$63/10^6</f>
        <v>1.7626718699999999</v>
      </c>
      <c r="E188" s="497">
        <f>+[2]ธ.ค.59!$Z$63/10^6</f>
        <v>1.4978346</v>
      </c>
      <c r="F188" s="497">
        <f>+[2]ม.ค.60!$Z$63/10^6</f>
        <v>1.8120254099999997</v>
      </c>
      <c r="G188" s="497">
        <f>+[2]ก.พ.60!$Z$63/10^6</f>
        <v>1.5968586999999999</v>
      </c>
      <c r="H188" s="497">
        <f>+[2]มี.ค.60!$Z$63/10^6</f>
        <v>1.6659454599999999</v>
      </c>
      <c r="I188" s="497">
        <f>+[2]เม.ย.60!$Z$63/10^6</f>
        <v>1.7672540000000001</v>
      </c>
      <c r="J188" s="497">
        <f>+[2]พ.ค.60!$Z$63/10^6</f>
        <v>1.9467876099999999</v>
      </c>
      <c r="K188" s="497">
        <f>+[2]มิ.ย.60!$Z$63/10^6</f>
        <v>1.8160616199999997</v>
      </c>
      <c r="L188" s="497">
        <f>+[2]ก.ค.60!$Z$63/10^6</f>
        <v>1.7519119599999997</v>
      </c>
      <c r="M188" s="497">
        <f>+[2]ส.ค.60!$Z$63/10^6</f>
        <v>1.7342902599999999</v>
      </c>
      <c r="N188" s="497">
        <f>+[2]ก.ย.60!$Z$63/10^6</f>
        <v>1.7190327499999998</v>
      </c>
      <c r="O188" s="498">
        <f t="shared" si="19"/>
        <v>20.599320789999997</v>
      </c>
      <c r="P188" s="499"/>
      <c r="Q188" s="500">
        <v>1023</v>
      </c>
      <c r="R188" s="501" t="s">
        <v>62</v>
      </c>
      <c r="S188" s="502">
        <f>+[5]รายได้!C88/10^6</f>
        <v>1.6412260000000001</v>
      </c>
      <c r="T188" s="502">
        <f>+[5]รายได้!D88/10^6</f>
        <v>1.6233219999999999</v>
      </c>
      <c r="U188" s="502">
        <f>+[5]รายได้!E88/10^6</f>
        <v>1.5995159999999999</v>
      </c>
      <c r="V188" s="502">
        <f>+[5]รายได้!F88/10^6</f>
        <v>1.7578769999999999</v>
      </c>
      <c r="W188" s="502">
        <f>+[5]รายได้!G88/10^6</f>
        <v>1.619</v>
      </c>
      <c r="X188" s="502">
        <f>+[5]รายได้!H88/10^6</f>
        <v>1.5891630000000001</v>
      </c>
      <c r="Y188" s="502">
        <f>+[5]รายได้!I88/10^6</f>
        <v>1.85554</v>
      </c>
      <c r="Z188" s="502">
        <f>+[5]รายได้!J88/10^6</f>
        <v>1.8894899999999999</v>
      </c>
      <c r="AA188" s="502">
        <f>+[5]รายได้!K88/10^6</f>
        <v>1.845237</v>
      </c>
      <c r="AB188" s="502">
        <f>+[5]รายได้!L88/10^6</f>
        <v>1.7995920000000001</v>
      </c>
      <c r="AC188" s="502">
        <f>+[5]รายได้!M88/10^6</f>
        <v>1.6975519999999999</v>
      </c>
      <c r="AD188" s="502">
        <f>+[5]รายได้!N88/10^6</f>
        <v>1.818783</v>
      </c>
      <c r="AE188" s="503">
        <f t="shared" si="20"/>
        <v>20.736298000000001</v>
      </c>
      <c r="AF188" s="504">
        <f>+[5]รายได้!AO88/10^6</f>
        <v>20.7363</v>
      </c>
      <c r="AG188" s="505">
        <v>1023</v>
      </c>
      <c r="AH188" s="506" t="s">
        <v>62</v>
      </c>
      <c r="AI188" s="507">
        <f>+[4]ต.ค.58!$Z$61/10^6</f>
        <v>1.6146182</v>
      </c>
      <c r="AJ188" s="507">
        <f>+[4]พ.ย.58!$Z$61/10^6</f>
        <v>1.5869468200000003</v>
      </c>
      <c r="AK188" s="507">
        <f>+[4]ธ.ค.58!$Z$61/10^6</f>
        <v>1.5571132400000001</v>
      </c>
      <c r="AL188" s="507">
        <f>+[4]ม.ค.59!$Z$61/10^6</f>
        <v>1.6949538200000001</v>
      </c>
      <c r="AM188" s="507">
        <f>+[4]ก.พ.59!$Z$61/10^6</f>
        <v>1.57991953</v>
      </c>
      <c r="AN188" s="507">
        <f>+[4]มี.ค.59!$Z$61/10^6</f>
        <v>1.5238516599999998</v>
      </c>
      <c r="AO188" s="507">
        <f>+[4]เม.ย.59!$Z$61/10^6</f>
        <v>1.7990466800000002</v>
      </c>
      <c r="AP188" s="507">
        <f>+[4]พ.ค.59!$Z$61/10^6</f>
        <v>1.9355603700000001</v>
      </c>
      <c r="AQ188" s="507">
        <f>+[4]มิ.ย.59!$Z$61/10^6</f>
        <v>1.7763559199999999</v>
      </c>
      <c r="AR188" s="507">
        <f>+[4]ก.ค.59!$Z$61/10^6</f>
        <v>1.7472453600000002</v>
      </c>
      <c r="AS188" s="507">
        <f>+[4]ส.ค.59!$Z$61/10^6</f>
        <v>1.52429356</v>
      </c>
      <c r="AT188" s="507">
        <f>+[4]ก.ย.59!$Z$61/10^6</f>
        <v>1.6399771699999999</v>
      </c>
      <c r="AU188" s="508">
        <f t="shared" si="21"/>
        <v>19.979882330000002</v>
      </c>
    </row>
    <row r="189" spans="1:47" s="509" customFormat="1" x14ac:dyDescent="0.2">
      <c r="A189" s="495">
        <v>1024</v>
      </c>
      <c r="B189" s="496" t="s">
        <v>63</v>
      </c>
      <c r="C189" s="497">
        <f>+[2]ต.ค.59!$AA$63/10^6</f>
        <v>11.91824113</v>
      </c>
      <c r="D189" s="497">
        <f>+[2]พ.ย.59!$AA$63/10^6</f>
        <v>12.952982430000002</v>
      </c>
      <c r="E189" s="497">
        <f>+[2]ธ.ค.59!$AA$63/10^6</f>
        <v>12.78155844</v>
      </c>
      <c r="F189" s="497">
        <f>+[2]ม.ค.60!$AA$63/10^6</f>
        <v>13.18934812</v>
      </c>
      <c r="G189" s="497">
        <f>+[2]ก.พ.60!$AA$63/10^6</f>
        <v>12.777997339999999</v>
      </c>
      <c r="H189" s="497">
        <f>+[2]มี.ค.60!$AA$63/10^6</f>
        <v>12.1493269</v>
      </c>
      <c r="I189" s="497">
        <f>+[2]เม.ย.60!$AA$63/10^6</f>
        <v>13.75972515</v>
      </c>
      <c r="J189" s="497">
        <f>+[2]พ.ค.60!$AA$63/10^6</f>
        <v>12.969646769999999</v>
      </c>
      <c r="K189" s="497">
        <f>+[2]มิ.ย.60!$AA$63/10^6</f>
        <v>13.51408309</v>
      </c>
      <c r="L189" s="497">
        <f>+[2]ก.ค.60!$AA$63/10^6</f>
        <v>12.846805659999999</v>
      </c>
      <c r="M189" s="497">
        <f>+[2]ส.ค.60!$AA$63/10^6</f>
        <v>13.05338409</v>
      </c>
      <c r="N189" s="497">
        <f>+[2]ก.ย.60!$AA$63/10^6</f>
        <v>13.566393340000001</v>
      </c>
      <c r="O189" s="498">
        <f t="shared" si="19"/>
        <v>155.47949245999999</v>
      </c>
      <c r="P189" s="499"/>
      <c r="Q189" s="500">
        <v>1024</v>
      </c>
      <c r="R189" s="501" t="s">
        <v>63</v>
      </c>
      <c r="S189" s="502">
        <f>+[5]รายได้!C89/10^6</f>
        <v>13.350443</v>
      </c>
      <c r="T189" s="502">
        <f>+[5]รายได้!D89/10^6</f>
        <v>13.254683999999999</v>
      </c>
      <c r="U189" s="502">
        <f>+[5]รายได้!E89/10^6</f>
        <v>13.021140000000001</v>
      </c>
      <c r="V189" s="502">
        <f>+[5]รายได้!F89/10^6</f>
        <v>14.106705</v>
      </c>
      <c r="W189" s="502">
        <f>+[5]รายได้!G89/10^6</f>
        <v>13.434366000000001</v>
      </c>
      <c r="X189" s="502">
        <f>+[5]รายได้!H89/10^6</f>
        <v>12.975846000000001</v>
      </c>
      <c r="Y189" s="502">
        <f>+[5]รายได้!I89/10^6</f>
        <v>14.267351</v>
      </c>
      <c r="Z189" s="502">
        <f>+[5]รายได้!J89/10^6</f>
        <v>14.186472999999999</v>
      </c>
      <c r="AA189" s="502">
        <f>+[5]รายได้!K89/10^6</f>
        <v>14.504638</v>
      </c>
      <c r="AB189" s="502">
        <f>+[5]รายได้!L89/10^6</f>
        <v>14.526795</v>
      </c>
      <c r="AC189" s="502">
        <f>+[5]รายได้!M89/10^6</f>
        <v>13.433007</v>
      </c>
      <c r="AD189" s="502">
        <f>+[5]รายได้!N89/10^6</f>
        <v>14.170565</v>
      </c>
      <c r="AE189" s="503">
        <f t="shared" si="20"/>
        <v>165.23201300000002</v>
      </c>
      <c r="AF189" s="504">
        <f>+[5]รายได้!AO89/10^6</f>
        <v>165.23201</v>
      </c>
      <c r="AG189" s="505">
        <v>1024</v>
      </c>
      <c r="AH189" s="506" t="s">
        <v>63</v>
      </c>
      <c r="AI189" s="507">
        <f>+[4]ต.ค.58!$AA$61/10^6</f>
        <v>11.853536809999998</v>
      </c>
      <c r="AJ189" s="507">
        <f>+[4]พ.ย.58!$AA$61/10^6</f>
        <v>12.21297627</v>
      </c>
      <c r="AK189" s="507">
        <f>+[4]ธ.ค.58!$AA$61/10^6</f>
        <v>11.520040490000001</v>
      </c>
      <c r="AL189" s="507">
        <f>+[4]ม.ค.59!$AA$61/10^6</f>
        <v>12.350906009999997</v>
      </c>
      <c r="AM189" s="507">
        <f>+[4]ก.พ.59!$AA$61/10^6</f>
        <v>12.29662491</v>
      </c>
      <c r="AN189" s="507">
        <f>+[4]มี.ค.59!$AA$61/10^6</f>
        <v>11.740008920000001</v>
      </c>
      <c r="AO189" s="507">
        <f>+[4]เม.ย.59!$AA$61/10^6</f>
        <v>13.55899267</v>
      </c>
      <c r="AP189" s="507">
        <f>+[4]พ.ค.59!$AA$61/10^6</f>
        <v>13.208351240000002</v>
      </c>
      <c r="AQ189" s="507">
        <f>+[4]มิ.ย.59!$AA$61/10^6</f>
        <v>13.48645711</v>
      </c>
      <c r="AR189" s="507">
        <f>+[4]ก.ค.59!$AA$61/10^6</f>
        <v>13.334589790000001</v>
      </c>
      <c r="AS189" s="507">
        <f>+[4]ส.ค.59!$AA$61/10^6</f>
        <v>11.47105269</v>
      </c>
      <c r="AT189" s="507">
        <f>+[4]ก.ย.59!$AA$61/10^6</f>
        <v>13.222121710000001</v>
      </c>
      <c r="AU189" s="508">
        <f t="shared" si="21"/>
        <v>150.25565861999999</v>
      </c>
    </row>
    <row r="190" spans="1:47" s="509" customFormat="1" x14ac:dyDescent="0.2">
      <c r="A190" s="495">
        <v>1025</v>
      </c>
      <c r="B190" s="496" t="s">
        <v>64</v>
      </c>
      <c r="C190" s="497">
        <f>+[2]ต.ค.59!$AB$63/10^6</f>
        <v>1.7400232499999999</v>
      </c>
      <c r="D190" s="497">
        <f>+[2]พ.ย.59!$AB$63/10^6</f>
        <v>1.7510754499999996</v>
      </c>
      <c r="E190" s="497">
        <f>+[2]ธ.ค.59!$AB$63/10^6</f>
        <v>1.7087324700000002</v>
      </c>
      <c r="F190" s="497">
        <f>+[2]ม.ค.60!$AB$63/10^6</f>
        <v>1.6996047899999998</v>
      </c>
      <c r="G190" s="497">
        <f>+[2]ก.พ.60!$AB$63/10^6</f>
        <v>1.7906440700000001</v>
      </c>
      <c r="H190" s="497">
        <f>+[2]มี.ค.60!$AB$63/10^6</f>
        <v>1.78800297</v>
      </c>
      <c r="I190" s="497">
        <f>+[2]เม.ย.60!$AB$63/10^6</f>
        <v>2.0537876000000002</v>
      </c>
      <c r="J190" s="497">
        <f>+[2]พ.ค.60!$AB$63/10^6</f>
        <v>2.0100690299999999</v>
      </c>
      <c r="K190" s="497">
        <f>+[2]มิ.ย.60!$AB$63/10^6</f>
        <v>1.8977047499999999</v>
      </c>
      <c r="L190" s="497">
        <f>+[2]ก.ค.60!$AB$63/10^6</f>
        <v>1.7703941000000001</v>
      </c>
      <c r="M190" s="497">
        <f>+[2]ส.ค.60!$AB$63/10^6</f>
        <v>1.7549579600000005</v>
      </c>
      <c r="N190" s="497">
        <f>+[2]ก.ย.60!$AB$63/10^6</f>
        <v>1.8203418</v>
      </c>
      <c r="O190" s="498">
        <f t="shared" si="19"/>
        <v>21.785338240000002</v>
      </c>
      <c r="P190" s="499"/>
      <c r="Q190" s="500">
        <v>1025</v>
      </c>
      <c r="R190" s="501" t="s">
        <v>64</v>
      </c>
      <c r="S190" s="502">
        <f>+[5]รายได้!C90/10^6</f>
        <v>1.9006460000000001</v>
      </c>
      <c r="T190" s="502">
        <f>+[5]รายได้!D90/10^6</f>
        <v>1.8990009999999999</v>
      </c>
      <c r="U190" s="502">
        <f>+[5]รายได้!E90/10^6</f>
        <v>1.838295</v>
      </c>
      <c r="V190" s="502">
        <f>+[5]รายได้!F90/10^6</f>
        <v>1.9979910000000001</v>
      </c>
      <c r="W190" s="502">
        <f>+[5]รายได้!G90/10^6</f>
        <v>1.8588519999999999</v>
      </c>
      <c r="X190" s="502">
        <f>+[5]รายได้!H90/10^6</f>
        <v>1.8635429999999999</v>
      </c>
      <c r="Y190" s="502">
        <f>+[5]รายได้!I90/10^6</f>
        <v>2.1747640000000001</v>
      </c>
      <c r="Z190" s="502">
        <f>+[5]รายได้!J90/10^6</f>
        <v>2.2698809999999998</v>
      </c>
      <c r="AA190" s="502">
        <f>+[5]รายได้!K90/10^6</f>
        <v>2.214712</v>
      </c>
      <c r="AB190" s="502">
        <f>+[5]รายได้!L90/10^6</f>
        <v>2.0853869999999999</v>
      </c>
      <c r="AC190" s="502">
        <f>+[5]รายได้!M90/10^6</f>
        <v>2.0042789999999999</v>
      </c>
      <c r="AD190" s="502">
        <f>+[5]รายได้!N90/10^6</f>
        <v>2.0247310000000001</v>
      </c>
      <c r="AE190" s="503">
        <f t="shared" si="20"/>
        <v>24.132082</v>
      </c>
      <c r="AF190" s="504">
        <f>+[5]รายได้!AO90/10^6</f>
        <v>24.132079999999998</v>
      </c>
      <c r="AG190" s="505">
        <v>1025</v>
      </c>
      <c r="AH190" s="506" t="s">
        <v>64</v>
      </c>
      <c r="AI190" s="507">
        <f>+[4]ต.ค.58!$AB$61/10^6</f>
        <v>1.7289321599999998</v>
      </c>
      <c r="AJ190" s="507">
        <f>+[4]พ.ย.58!$AB$61/10^6</f>
        <v>1.8144108199999998</v>
      </c>
      <c r="AK190" s="507">
        <f>+[4]ธ.ค.58!$AB$61/10^6</f>
        <v>1.6506387799999998</v>
      </c>
      <c r="AL190" s="507">
        <f>+[4]ม.ค.59!$AB$61/10^6</f>
        <v>1.7741932900000001</v>
      </c>
      <c r="AM190" s="507">
        <f>+[4]ก.พ.59!$AB$61/10^6</f>
        <v>1.6153326000000001</v>
      </c>
      <c r="AN190" s="507">
        <f>+[4]มี.ค.59!$AB$61/10^6</f>
        <v>1.7010641899999999</v>
      </c>
      <c r="AO190" s="507">
        <f>+[4]เม.ย.59!$AB$61/10^6</f>
        <v>2.0491885699999997</v>
      </c>
      <c r="AP190" s="507">
        <f>+[4]พ.ค.59!$AB$61/10^6</f>
        <v>2.1095685499999997</v>
      </c>
      <c r="AQ190" s="507">
        <f>+[4]มิ.ย.59!$AB$61/10^6</f>
        <v>2.0306756400000001</v>
      </c>
      <c r="AR190" s="507">
        <f>+[4]ก.ค.59!$AB$61/10^6</f>
        <v>1.9415133900000001</v>
      </c>
      <c r="AS190" s="507">
        <f>+[4]ส.ค.59!$AB$61/10^6</f>
        <v>1.6616304200000001</v>
      </c>
      <c r="AT190" s="507">
        <f>+[4]ก.ย.59!$AB$61/10^6</f>
        <v>1.7284072099999999</v>
      </c>
      <c r="AU190" s="508">
        <f t="shared" si="21"/>
        <v>21.805555620000003</v>
      </c>
    </row>
    <row r="191" spans="1:47" s="509" customFormat="1" x14ac:dyDescent="0.2">
      <c r="A191" s="495">
        <v>1026</v>
      </c>
      <c r="B191" s="496" t="s">
        <v>65</v>
      </c>
      <c r="C191" s="497">
        <f>+[2]ต.ค.59!$AC$63/10^6</f>
        <v>0.78665992000000007</v>
      </c>
      <c r="D191" s="497">
        <f>+[2]พ.ย.59!$AC$63/10^6</f>
        <v>0.87760472999999994</v>
      </c>
      <c r="E191" s="497">
        <f>+[2]ธ.ค.59!$AC$63/10^6</f>
        <v>0.84214292000000002</v>
      </c>
      <c r="F191" s="497">
        <f>+[2]ม.ค.60!$AC$63/10^6</f>
        <v>0.83639374000000011</v>
      </c>
      <c r="G191" s="497">
        <f>+[2]ก.พ.60!$AC$63/10^6</f>
        <v>0.80546753999999998</v>
      </c>
      <c r="H191" s="497">
        <f>+[2]มี.ค.60!$AC$63/10^6</f>
        <v>0.80404901999999989</v>
      </c>
      <c r="I191" s="497">
        <f>+[2]เม.ย.60!$AC$63/10^6</f>
        <v>0.90934134999999983</v>
      </c>
      <c r="J191" s="497">
        <f>+[2]พ.ค.60!$AC$63/10^6</f>
        <v>0.87150003000000009</v>
      </c>
      <c r="K191" s="497">
        <f>+[2]มิ.ย.60!$AC$63/10^6</f>
        <v>0.89707545999999994</v>
      </c>
      <c r="L191" s="497">
        <f>+[2]ก.ค.60!$AC$63/10^6</f>
        <v>0.86263353999999992</v>
      </c>
      <c r="M191" s="497">
        <f>+[2]ส.ค.60!$AC$63/10^6</f>
        <v>0.84272538000000008</v>
      </c>
      <c r="N191" s="497">
        <f>+[2]ก.ย.60!$AC$63/10^6</f>
        <v>0.89024938000000009</v>
      </c>
      <c r="O191" s="498">
        <f t="shared" si="19"/>
        <v>10.225843009999998</v>
      </c>
      <c r="P191" s="499"/>
      <c r="Q191" s="500">
        <v>1026</v>
      </c>
      <c r="R191" s="501" t="s">
        <v>65</v>
      </c>
      <c r="S191" s="502">
        <f>+[5]รายได้!C91/10^6</f>
        <v>0.83139200000000002</v>
      </c>
      <c r="T191" s="502">
        <f>+[5]รายได้!D91/10^6</f>
        <v>0.82060299999999997</v>
      </c>
      <c r="U191" s="502">
        <f>+[5]รายได้!E91/10^6</f>
        <v>0.84350499999999995</v>
      </c>
      <c r="V191" s="502">
        <f>+[5]รายได้!F91/10^6</f>
        <v>0.84294599999999997</v>
      </c>
      <c r="W191" s="502">
        <f>+[5]รายได้!G91/10^6</f>
        <v>0.814855</v>
      </c>
      <c r="X191" s="502">
        <f>+[5]รายได้!H91/10^6</f>
        <v>0.79030599999999995</v>
      </c>
      <c r="Y191" s="502">
        <f>+[5]รายได้!I91/10^6</f>
        <v>0.92537700000000001</v>
      </c>
      <c r="Z191" s="502">
        <f>+[5]รายได้!J91/10^6</f>
        <v>0.92009300000000005</v>
      </c>
      <c r="AA191" s="502">
        <f>+[5]รายได้!K91/10^6</f>
        <v>0.91295899999999996</v>
      </c>
      <c r="AB191" s="502">
        <f>+[5]รายได้!L91/10^6</f>
        <v>0.89177899999999999</v>
      </c>
      <c r="AC191" s="502">
        <f>+[5]รายได้!M91/10^6</f>
        <v>0.84072400000000003</v>
      </c>
      <c r="AD191" s="502">
        <f>+[5]รายได้!N91/10^6</f>
        <v>0.86636899999999994</v>
      </c>
      <c r="AE191" s="503">
        <f t="shared" si="20"/>
        <v>10.300908000000002</v>
      </c>
      <c r="AF191" s="504">
        <f>+[5]รายได้!AO91/10^6</f>
        <v>10.30091</v>
      </c>
      <c r="AG191" s="505">
        <v>1026</v>
      </c>
      <c r="AH191" s="506" t="s">
        <v>65</v>
      </c>
      <c r="AI191" s="507">
        <f>+[4]ต.ค.58!$AC$61/10^6</f>
        <v>0.80377647000000008</v>
      </c>
      <c r="AJ191" s="507">
        <f>+[4]พ.ย.58!$AC$61/10^6</f>
        <v>0.76283986999999998</v>
      </c>
      <c r="AK191" s="507">
        <f>+[4]ธ.ค.58!$AC$61/10^6</f>
        <v>0.81992573999999996</v>
      </c>
      <c r="AL191" s="507">
        <f>+[4]ม.ค.59!$AC$61/10^6</f>
        <v>0.78744349000000002</v>
      </c>
      <c r="AM191" s="507">
        <f>+[4]ก.พ.59!$AC$61/10^6</f>
        <v>0.76789496000000002</v>
      </c>
      <c r="AN191" s="507">
        <f>+[4]มี.ค.59!$AC$61/10^6</f>
        <v>0.72086961000000005</v>
      </c>
      <c r="AO191" s="507">
        <f>+[4]เม.ย.59!$AC$61/10^6</f>
        <v>0.94467551999999988</v>
      </c>
      <c r="AP191" s="507">
        <f>+[4]พ.ค.59!$AC$61/10^6</f>
        <v>0.89262179000000008</v>
      </c>
      <c r="AQ191" s="507">
        <f>+[4]มิ.ย.59!$AC$61/10^6</f>
        <v>0.83761999999999992</v>
      </c>
      <c r="AR191" s="507">
        <f>+[4]ก.ค.59!$AC$61/10^6</f>
        <v>0.84418013999999997</v>
      </c>
      <c r="AS191" s="507">
        <f>+[4]ส.ค.59!$AC$61/10^6</f>
        <v>0.76887536999999995</v>
      </c>
      <c r="AT191" s="507">
        <f>+[4]ก.ย.59!$AC$61/10^6</f>
        <v>0.88997210999999987</v>
      </c>
      <c r="AU191" s="508">
        <f t="shared" si="21"/>
        <v>9.8406950700000007</v>
      </c>
    </row>
    <row r="192" spans="1:47" s="509" customFormat="1" x14ac:dyDescent="0.2">
      <c r="A192" s="495">
        <v>1027</v>
      </c>
      <c r="B192" s="496" t="s">
        <v>66</v>
      </c>
      <c r="C192" s="497">
        <f>+[2]ต.ค.59!$AD$63/10^6</f>
        <v>1.1602624699999999</v>
      </c>
      <c r="D192" s="497">
        <f>+[2]พ.ย.59!$AD$63/10^6</f>
        <v>1.2017104400000003</v>
      </c>
      <c r="E192" s="497">
        <f>+[2]ธ.ค.59!$AD$63/10^6</f>
        <v>1.20768056</v>
      </c>
      <c r="F192" s="497">
        <f>+[2]ม.ค.60!$AD$63/10^6</f>
        <v>1.2148501099999998</v>
      </c>
      <c r="G192" s="497">
        <f>+[2]ก.พ.60!$AD$63/10^6</f>
        <v>1.2531841000000001</v>
      </c>
      <c r="H192" s="497">
        <f>+[2]มี.ค.60!$AD$63/10^6</f>
        <v>1.144876</v>
      </c>
      <c r="I192" s="497">
        <f>+[2]เม.ย.60!$AD$63/10^6</f>
        <v>1.3521062099999999</v>
      </c>
      <c r="J192" s="497">
        <f>+[2]พ.ค.60!$AD$63/10^6</f>
        <v>1.31186253</v>
      </c>
      <c r="K192" s="497">
        <f>+[2]มิ.ย.60!$AD$63/10^6</f>
        <v>1.2465926700000001</v>
      </c>
      <c r="L192" s="497">
        <f>+[2]ก.ค.60!$AD$63/10^6</f>
        <v>1.22580895</v>
      </c>
      <c r="M192" s="497">
        <f>+[2]ส.ค.60!$AD$63/10^6</f>
        <v>1.1701610399999998</v>
      </c>
      <c r="N192" s="497">
        <f>+[2]ก.ย.60!$AD$63/10^6</f>
        <v>1.1711310399999999</v>
      </c>
      <c r="O192" s="498">
        <f t="shared" si="19"/>
        <v>14.660226119999999</v>
      </c>
      <c r="P192" s="499"/>
      <c r="Q192" s="500">
        <v>1027</v>
      </c>
      <c r="R192" s="501" t="s">
        <v>66</v>
      </c>
      <c r="S192" s="502">
        <f>+[5]รายได้!C92/10^6</f>
        <v>1.186202</v>
      </c>
      <c r="T192" s="502">
        <f>+[5]รายได้!D92/10^6</f>
        <v>1.239433</v>
      </c>
      <c r="U192" s="502">
        <f>+[5]รายได้!E92/10^6</f>
        <v>1.1570400000000001</v>
      </c>
      <c r="V192" s="502">
        <f>+[5]รายได้!F92/10^6</f>
        <v>1.2130669999999999</v>
      </c>
      <c r="W192" s="502">
        <f>+[5]รายได้!G92/10^6</f>
        <v>1.127213</v>
      </c>
      <c r="X192" s="502">
        <f>+[5]รายได้!H92/10^6</f>
        <v>1.1989460000000001</v>
      </c>
      <c r="Y192" s="502">
        <f>+[5]รายได้!I92/10^6</f>
        <v>1.378225</v>
      </c>
      <c r="Z192" s="502">
        <f>+[5]รายได้!J92/10^6</f>
        <v>1.404566</v>
      </c>
      <c r="AA192" s="502">
        <f>+[5]รายได้!K92/10^6</f>
        <v>1.3329599999999999</v>
      </c>
      <c r="AB192" s="502">
        <f>+[5]รายได้!L92/10^6</f>
        <v>1.2608969999999999</v>
      </c>
      <c r="AC192" s="502">
        <f>+[5]รายได้!M92/10^6</f>
        <v>1.2580629999999999</v>
      </c>
      <c r="AD192" s="502">
        <f>+[5]รายได้!N92/10^6</f>
        <v>1.1756249999999999</v>
      </c>
      <c r="AE192" s="503">
        <f t="shared" si="20"/>
        <v>14.932237000000001</v>
      </c>
      <c r="AF192" s="504">
        <f>+[5]รายได้!AO92/10^6</f>
        <v>14.93224</v>
      </c>
      <c r="AG192" s="505">
        <v>1027</v>
      </c>
      <c r="AH192" s="506" t="s">
        <v>66</v>
      </c>
      <c r="AI192" s="507">
        <f>+[4]ต.ค.58!$AD$61/10^6</f>
        <v>1.09001733</v>
      </c>
      <c r="AJ192" s="507">
        <f>+[4]พ.ย.58!$AD$61/10^6</f>
        <v>1.1159008400000001</v>
      </c>
      <c r="AK192" s="507">
        <f>+[4]ธ.ค.58!$AD$61/10^6</f>
        <v>1.03175668</v>
      </c>
      <c r="AL192" s="507">
        <f>+[4]ม.ค.59!$AD$61/10^6</f>
        <v>1.10431649</v>
      </c>
      <c r="AM192" s="507">
        <f>+[4]ก.พ.59!$AD$61/10^6</f>
        <v>1.0547825300000002</v>
      </c>
      <c r="AN192" s="507">
        <f>+[4]มี.ค.59!$AD$61/10^6</f>
        <v>1.1315320800000002</v>
      </c>
      <c r="AO192" s="507">
        <f>+[4]เม.ย.59!$AD$61/10^6</f>
        <v>1.30956122</v>
      </c>
      <c r="AP192" s="507">
        <f>+[4]พ.ค.59!$AD$61/10^6</f>
        <v>1.4310829600000001</v>
      </c>
      <c r="AQ192" s="507">
        <f>+[4]มิ.ย.59!$AD$61/10^6</f>
        <v>1.2309922200000003</v>
      </c>
      <c r="AR192" s="507">
        <f>+[4]ก.ค.59!$AD$61/10^6</f>
        <v>1.2169715300000004</v>
      </c>
      <c r="AS192" s="507">
        <f>+[4]ส.ค.59!$AD$61/10^6</f>
        <v>1.1762607199999999</v>
      </c>
      <c r="AT192" s="507">
        <f>+[4]ก.ย.59!$AD$61/10^6</f>
        <v>1.1775671300000001</v>
      </c>
      <c r="AU192" s="508">
        <f t="shared" si="21"/>
        <v>14.070741730000002</v>
      </c>
    </row>
    <row r="193" spans="1:47" s="509" customFormat="1" x14ac:dyDescent="0.2">
      <c r="A193" s="495">
        <v>1028</v>
      </c>
      <c r="B193" s="496" t="s">
        <v>67</v>
      </c>
      <c r="C193" s="497">
        <f>+[2]ต.ค.59!$AE$63/10^6</f>
        <v>6.2666068099999999</v>
      </c>
      <c r="D193" s="497">
        <f>+[2]พ.ย.59!$AE$63/10^6</f>
        <v>6.4368367800000001</v>
      </c>
      <c r="E193" s="497">
        <f>+[2]ธ.ค.59!$AE$63/10^6</f>
        <v>6.3015887400000006</v>
      </c>
      <c r="F193" s="497">
        <f>+[2]ม.ค.60!$AE$63/10^6</f>
        <v>6.5727728600000006</v>
      </c>
      <c r="G193" s="497">
        <f>+[2]ก.พ.60!$AE$63/10^6</f>
        <v>6.4775464100000004</v>
      </c>
      <c r="H193" s="497">
        <f>+[2]มี.ค.60!$AE$63/10^6</f>
        <v>6.0488582699999993</v>
      </c>
      <c r="I193" s="497">
        <f>+[2]เม.ย.60!$AE$63/10^6</f>
        <v>6.95033543</v>
      </c>
      <c r="J193" s="497">
        <f>+[2]พ.ค.60!$AE$63/10^6</f>
        <v>6.575162559999999</v>
      </c>
      <c r="K193" s="497">
        <f>+[2]มิ.ย.60!$AE$63/10^6</f>
        <v>6.9156557899999997</v>
      </c>
      <c r="L193" s="497">
        <f>+[2]ก.ค.60!$AE$63/10^6</f>
        <v>6.4411986199999998</v>
      </c>
      <c r="M193" s="497">
        <f>+[2]ส.ค.60!$AE$63/10^6</f>
        <v>6.5578075</v>
      </c>
      <c r="N193" s="497">
        <f>+[2]ก.ย.60!$AE$63/10^6</f>
        <v>6.5821645500000008</v>
      </c>
      <c r="O193" s="498">
        <f t="shared" si="19"/>
        <v>78.12653431999999</v>
      </c>
      <c r="P193" s="499"/>
      <c r="Q193" s="500">
        <v>1028</v>
      </c>
      <c r="R193" s="501" t="s">
        <v>67</v>
      </c>
      <c r="S193" s="502">
        <f>+[5]รายได้!C93/10^6</f>
        <v>6.5662219999999998</v>
      </c>
      <c r="T193" s="502">
        <f>+[5]รายได้!D93/10^6</f>
        <v>6.647589</v>
      </c>
      <c r="U193" s="502">
        <f>+[5]รายได้!E93/10^6</f>
        <v>6.4575100000000001</v>
      </c>
      <c r="V193" s="502">
        <f>+[5]รายได้!F93/10^6</f>
        <v>6.8448209999999996</v>
      </c>
      <c r="W193" s="502">
        <f>+[5]รายได้!G93/10^6</f>
        <v>6.6635260000000001</v>
      </c>
      <c r="X193" s="502">
        <f>+[5]รายได้!H93/10^6</f>
        <v>6.1750360000000004</v>
      </c>
      <c r="Y193" s="502">
        <f>+[5]รายได้!I93/10^6</f>
        <v>7.3456849999999996</v>
      </c>
      <c r="Z193" s="502">
        <f>+[5]รายได้!J93/10^6</f>
        <v>7.3763730000000001</v>
      </c>
      <c r="AA193" s="502">
        <f>+[5]รายได้!K93/10^6</f>
        <v>7.4424919999999997</v>
      </c>
      <c r="AB193" s="502">
        <f>+[5]รายได้!L93/10^6</f>
        <v>7.2283970000000002</v>
      </c>
      <c r="AC193" s="502">
        <f>+[5]รายได้!M93/10^6</f>
        <v>6.8390649999999997</v>
      </c>
      <c r="AD193" s="502">
        <f>+[5]รายได้!N93/10^6</f>
        <v>7.8744300000000003</v>
      </c>
      <c r="AE193" s="503">
        <f t="shared" si="20"/>
        <v>83.461146000000014</v>
      </c>
      <c r="AF193" s="504">
        <f>+[5]รายได้!AO93/10^6</f>
        <v>83.461150000000004</v>
      </c>
      <c r="AG193" s="505">
        <v>1028</v>
      </c>
      <c r="AH193" s="506" t="s">
        <v>67</v>
      </c>
      <c r="AI193" s="507">
        <f>+[4]ต.ค.58!$AE$61/10^6</f>
        <v>6.1699700700000006</v>
      </c>
      <c r="AJ193" s="507">
        <f>+[4]พ.ย.58!$AE$61/10^6</f>
        <v>5.9513336900000002</v>
      </c>
      <c r="AK193" s="507">
        <f>+[4]ธ.ค.58!$AE$61/10^6</f>
        <v>6.1019199899999998</v>
      </c>
      <c r="AL193" s="507">
        <f>+[4]ม.ค.59!$AE$61/10^6</f>
        <v>6.3922443399999995</v>
      </c>
      <c r="AM193" s="507">
        <f>+[4]ก.พ.59!$AE$61/10^6</f>
        <v>6.1947703199999991</v>
      </c>
      <c r="AN193" s="507">
        <f>+[4]มี.ค.59!$AE$61/10^6</f>
        <v>5.9817239200000003</v>
      </c>
      <c r="AO193" s="507">
        <f>+[4]เม.ย.59!$AE$61/10^6</f>
        <v>6.8303121300000003</v>
      </c>
      <c r="AP193" s="507">
        <f>+[4]พ.ค.59!$AE$61/10^6</f>
        <v>7.08202979</v>
      </c>
      <c r="AQ193" s="507">
        <f>+[4]มิ.ย.59!$AE$61/10^6</f>
        <v>6.7698114799999995</v>
      </c>
      <c r="AR193" s="507">
        <f>+[4]ก.ค.59!$AE$61/10^6</f>
        <v>6.887954109999999</v>
      </c>
      <c r="AS193" s="507">
        <f>+[4]ส.ค.59!$AE$61/10^6</f>
        <v>5.9803616699999997</v>
      </c>
      <c r="AT193" s="507">
        <f>+[4]ก.ย.59!$AE$61/10^6</f>
        <v>6.4828872100000003</v>
      </c>
      <c r="AU193" s="508">
        <f t="shared" si="21"/>
        <v>76.825318719999999</v>
      </c>
    </row>
    <row r="194" spans="1:47" s="509" customFormat="1" x14ac:dyDescent="0.2">
      <c r="A194" s="495">
        <v>1029</v>
      </c>
      <c r="B194" s="496" t="s">
        <v>68</v>
      </c>
      <c r="C194" s="497">
        <f>+[2]ต.ค.59!$AF$63/10^6</f>
        <v>0.89837222999999999</v>
      </c>
      <c r="D194" s="497">
        <f>+[2]พ.ย.59!$AF$63/10^6</f>
        <v>0.91629751000000004</v>
      </c>
      <c r="E194" s="497">
        <f>+[2]ธ.ค.59!$AF$63/10^6</f>
        <v>0.91252739000000005</v>
      </c>
      <c r="F194" s="497">
        <f>+[2]ม.ค.60!$AF$63/10^6</f>
        <v>0.95132040000000007</v>
      </c>
      <c r="G194" s="497">
        <f>+[2]ก.พ.60!$AF$63/10^6</f>
        <v>0.91251804000000003</v>
      </c>
      <c r="H194" s="497">
        <f>+[2]มี.ค.60!$AF$63/10^6</f>
        <v>0.97814657000000005</v>
      </c>
      <c r="I194" s="497">
        <f>+[2]เม.ย.60!$AF$63/10^6</f>
        <v>1.0679179999999999</v>
      </c>
      <c r="J194" s="497">
        <f>+[2]พ.ค.60!$AF$63/10^6</f>
        <v>1.00035254</v>
      </c>
      <c r="K194" s="497">
        <f>+[2]มิ.ย.60!$AF$63/10^6</f>
        <v>1.0495050500000001</v>
      </c>
      <c r="L194" s="497">
        <f>+[2]ก.ค.60!$AF$63/10^6</f>
        <v>0.93953369999999992</v>
      </c>
      <c r="M194" s="497">
        <f>+[2]ส.ค.60!$AF$63/10^6</f>
        <v>0.99885525000000008</v>
      </c>
      <c r="N194" s="497">
        <f>+[2]ก.ย.60!$AF$63/10^6</f>
        <v>0.9927545000000001</v>
      </c>
      <c r="O194" s="498">
        <f t="shared" si="19"/>
        <v>11.61810118</v>
      </c>
      <c r="P194" s="499"/>
      <c r="Q194" s="500">
        <v>1029</v>
      </c>
      <c r="R194" s="501" t="s">
        <v>68</v>
      </c>
      <c r="S194" s="502">
        <f>+[5]รายได้!C94/10^6</f>
        <v>0.94276700000000002</v>
      </c>
      <c r="T194" s="502">
        <f>+[5]รายได้!D94/10^6</f>
        <v>0.98713700000000004</v>
      </c>
      <c r="U194" s="502">
        <f>+[5]รายได้!E94/10^6</f>
        <v>0.96543699999999999</v>
      </c>
      <c r="V194" s="502">
        <f>+[5]รายได้!F94/10^6</f>
        <v>1.0684499999999999</v>
      </c>
      <c r="W194" s="502">
        <f>+[5]รายได้!G94/10^6</f>
        <v>1.0047159999999999</v>
      </c>
      <c r="X194" s="502">
        <f>+[5]รายได้!H94/10^6</f>
        <v>0.99354600000000004</v>
      </c>
      <c r="Y194" s="502">
        <f>+[5]รายได้!I94/10^6</f>
        <v>1.1089020000000001</v>
      </c>
      <c r="Z194" s="502">
        <f>+[5]รายได้!J94/10^6</f>
        <v>1.246299</v>
      </c>
      <c r="AA194" s="502">
        <f>+[5]รายได้!K94/10^6</f>
        <v>1.120827</v>
      </c>
      <c r="AB194" s="502">
        <f>+[5]รายได้!L94/10^6</f>
        <v>1.0715859999999999</v>
      </c>
      <c r="AC194" s="502">
        <f>+[5]รายได้!M94/10^6</f>
        <v>0.97662700000000002</v>
      </c>
      <c r="AD194" s="502">
        <f>+[5]รายได้!N94/10^6</f>
        <v>1.0756680000000001</v>
      </c>
      <c r="AE194" s="503">
        <f t="shared" si="20"/>
        <v>12.561962000000001</v>
      </c>
      <c r="AF194" s="504">
        <f>+[5]รายได้!AO94/10^6</f>
        <v>12.561959999999999</v>
      </c>
      <c r="AG194" s="505">
        <v>1029</v>
      </c>
      <c r="AH194" s="506" t="s">
        <v>68</v>
      </c>
      <c r="AI194" s="507">
        <f>+[4]ต.ค.58!$AF$61/10^6</f>
        <v>0.83627439999999997</v>
      </c>
      <c r="AJ194" s="507">
        <f>+[4]พ.ย.58!$AF$61/10^6</f>
        <v>0.86292234000000001</v>
      </c>
      <c r="AK194" s="507">
        <f>+[4]ธ.ค.58!$AF$61/10^6</f>
        <v>0.84952759999999983</v>
      </c>
      <c r="AL194" s="507">
        <f>+[4]ม.ค.59!$AF$61/10^6</f>
        <v>0.94664265000000014</v>
      </c>
      <c r="AM194" s="507">
        <f>+[4]ก.พ.59!$AF$61/10^6</f>
        <v>0.93348014000000001</v>
      </c>
      <c r="AN194" s="507">
        <f>+[4]มี.ค.59!$AF$61/10^6</f>
        <v>0.88062568000000008</v>
      </c>
      <c r="AO194" s="507">
        <f>+[4]เม.ย.59!$AF$61/10^6</f>
        <v>0.96248876000000005</v>
      </c>
      <c r="AP194" s="507">
        <f>+[4]พ.ค.59!$AF$61/10^6</f>
        <v>1.2062065699999998</v>
      </c>
      <c r="AQ194" s="507">
        <f>+[4]มิ.ย.59!$AF$61/10^6</f>
        <v>0.98475374000000004</v>
      </c>
      <c r="AR194" s="507">
        <f>+[4]ก.ค.59!$AF$61/10^6</f>
        <v>0.95820801000000011</v>
      </c>
      <c r="AS194" s="507">
        <f>+[4]ส.ค.59!$AF$61/10^6</f>
        <v>0.75525033000000008</v>
      </c>
      <c r="AT194" s="507">
        <f>+[4]ก.ย.59!$AF$61/10^6</f>
        <v>0.9693543</v>
      </c>
      <c r="AU194" s="508">
        <f t="shared" si="21"/>
        <v>11.145734520000001</v>
      </c>
    </row>
    <row r="195" spans="1:47" s="509" customFormat="1" ht="15" thickBot="1" x14ac:dyDescent="0.25">
      <c r="A195" s="510">
        <v>1030</v>
      </c>
      <c r="B195" s="511" t="s">
        <v>69</v>
      </c>
      <c r="C195" s="512">
        <f>+[2]ต.ค.59!$AG$63/10^6</f>
        <v>1.2450876499999999</v>
      </c>
      <c r="D195" s="512">
        <f>+[2]พ.ย.59!$AG$63/10^6</f>
        <v>1.33576329</v>
      </c>
      <c r="E195" s="512">
        <f>+[2]ธ.ค.59!$AG$63/10^6</f>
        <v>1.2821997400000003</v>
      </c>
      <c r="F195" s="512">
        <f>+[2]ม.ค.60!$AG$63/10^6</f>
        <v>1.3514508200000002</v>
      </c>
      <c r="G195" s="512">
        <f>+[2]ก.พ.60!$AG$63/10^6</f>
        <v>1.3680583499999999</v>
      </c>
      <c r="H195" s="512">
        <f>+[2]มี.ค.60!$AG$63/10^6</f>
        <v>1.3624666900000002</v>
      </c>
      <c r="I195" s="512">
        <f>+[2]เม.ย.60!$AG$63/10^6</f>
        <v>1.54579106</v>
      </c>
      <c r="J195" s="512">
        <f>+[2]พ.ค.60!$AG$63/10^6</f>
        <v>1.4177516200000002</v>
      </c>
      <c r="K195" s="512">
        <f>+[2]มิ.ย.60!$AG$63/10^6</f>
        <v>1.3792901500000003</v>
      </c>
      <c r="L195" s="512">
        <f>+[2]ก.ค.60!$AG$63/10^6</f>
        <v>1.36048261</v>
      </c>
      <c r="M195" s="512">
        <f>+[2]ส.ค.60!$AG$63/10^6</f>
        <v>1.34149824</v>
      </c>
      <c r="N195" s="512">
        <f>+[2]ก.ย.60!$AG$63/10^6</f>
        <v>1.3536772300000004</v>
      </c>
      <c r="O195" s="513">
        <f t="shared" si="19"/>
        <v>16.34351745</v>
      </c>
      <c r="P195" s="499"/>
      <c r="Q195" s="514">
        <v>1030</v>
      </c>
      <c r="R195" s="515" t="s">
        <v>69</v>
      </c>
      <c r="S195" s="516">
        <f>+[5]รายได้!C95/10^6</f>
        <v>1.192226</v>
      </c>
      <c r="T195" s="516">
        <f>+[5]รายได้!D95/10^6</f>
        <v>1.204366</v>
      </c>
      <c r="U195" s="516">
        <f>+[5]รายได้!E95/10^6</f>
        <v>1.206771</v>
      </c>
      <c r="V195" s="516">
        <f>+[5]รายได้!F95/10^6</f>
        <v>1.2950079999999999</v>
      </c>
      <c r="W195" s="516">
        <f>+[5]รายได้!G95/10^6</f>
        <v>1.2050160000000001</v>
      </c>
      <c r="X195" s="516">
        <f>+[5]รายได้!H95/10^6</f>
        <v>1.211014</v>
      </c>
      <c r="Y195" s="516">
        <f>+[5]รายได้!I95/10^6</f>
        <v>1.4339280000000001</v>
      </c>
      <c r="Z195" s="516">
        <f>+[5]รายได้!J95/10^6</f>
        <v>1.4564950000000001</v>
      </c>
      <c r="AA195" s="516">
        <f>+[5]รายได้!K95/10^6</f>
        <v>1.4380109999999999</v>
      </c>
      <c r="AB195" s="516">
        <f>+[5]รายได้!L95/10^6</f>
        <v>1.2597959999999999</v>
      </c>
      <c r="AC195" s="516">
        <f>+[5]รายได้!M95/10^6</f>
        <v>1.2932049999999999</v>
      </c>
      <c r="AD195" s="516">
        <f>+[5]รายได้!N95/10^6</f>
        <v>1.337286</v>
      </c>
      <c r="AE195" s="517">
        <f t="shared" si="20"/>
        <v>15.533122000000001</v>
      </c>
      <c r="AF195" s="504">
        <f>+[5]รายได้!AO95/10^6</f>
        <v>15.53312</v>
      </c>
      <c r="AG195" s="518">
        <v>1030</v>
      </c>
      <c r="AH195" s="519" t="s">
        <v>69</v>
      </c>
      <c r="AI195" s="520">
        <f>+[4]ต.ค.58!$AG$61/10^6</f>
        <v>1.2271628799999998</v>
      </c>
      <c r="AJ195" s="520">
        <f>+[4]พ.ย.58!$AG$61/10^6</f>
        <v>1.2345315399999999</v>
      </c>
      <c r="AK195" s="520">
        <f>+[4]ธ.ค.58!$AG$61/10^6</f>
        <v>1.2159976399999999</v>
      </c>
      <c r="AL195" s="520">
        <f>+[4]ม.ค.59!$AG$61/10^6</f>
        <v>1.3377285299999997</v>
      </c>
      <c r="AM195" s="520">
        <f>+[4]ก.พ.59!$AG$61/10^6</f>
        <v>1.25842177</v>
      </c>
      <c r="AN195" s="520">
        <f>+[4]มี.ค.59!$AG$61/10^6</f>
        <v>1.2424862299999999</v>
      </c>
      <c r="AO195" s="520">
        <f>+[4]เม.ย.59!$AG$61/10^6</f>
        <v>1.5283720900000002</v>
      </c>
      <c r="AP195" s="520">
        <f>+[4]พ.ค.59!$AG$61/10^6</f>
        <v>1.67358016</v>
      </c>
      <c r="AQ195" s="520">
        <f>+[4]มิ.ย.59!$AG$61/10^6</f>
        <v>1.5190028999999998</v>
      </c>
      <c r="AR195" s="520">
        <f>+[4]ก.ค.59!$AG$61/10^6</f>
        <v>1.21385308</v>
      </c>
      <c r="AS195" s="520">
        <f>+[4]ส.ค.59!$AG$61/10^6</f>
        <v>1.1986551300000001</v>
      </c>
      <c r="AT195" s="520">
        <f>+[4]ก.ย.59!$AG$61/10^6</f>
        <v>1.2834313199999996</v>
      </c>
      <c r="AU195" s="521">
        <f t="shared" si="21"/>
        <v>15.933223270000001</v>
      </c>
    </row>
    <row r="196" spans="1:47" ht="15" thickBot="1" x14ac:dyDescent="0.25"/>
    <row r="197" spans="1:47" x14ac:dyDescent="0.2">
      <c r="A197" s="205">
        <v>1</v>
      </c>
      <c r="B197" s="206">
        <v>2</v>
      </c>
      <c r="C197" s="206">
        <v>3</v>
      </c>
      <c r="D197" s="206">
        <v>4</v>
      </c>
      <c r="E197" s="206">
        <v>5</v>
      </c>
      <c r="F197" s="206">
        <v>6</v>
      </c>
      <c r="G197" s="206">
        <v>7</v>
      </c>
      <c r="H197" s="206">
        <v>8</v>
      </c>
      <c r="I197" s="206">
        <v>9</v>
      </c>
      <c r="J197" s="206">
        <v>10</v>
      </c>
      <c r="K197" s="206">
        <v>11</v>
      </c>
      <c r="L197" s="206">
        <v>12</v>
      </c>
      <c r="M197" s="206">
        <v>13</v>
      </c>
      <c r="N197" s="206">
        <v>14</v>
      </c>
      <c r="O197" s="207">
        <v>15</v>
      </c>
      <c r="P197" s="209">
        <v>16</v>
      </c>
      <c r="Q197" s="220">
        <v>17</v>
      </c>
      <c r="R197" s="221">
        <v>18</v>
      </c>
      <c r="S197" s="221">
        <v>19</v>
      </c>
      <c r="T197" s="221">
        <v>20</v>
      </c>
      <c r="U197" s="221">
        <v>21</v>
      </c>
      <c r="V197" s="221">
        <v>22</v>
      </c>
      <c r="W197" s="221">
        <v>23</v>
      </c>
      <c r="X197" s="221">
        <v>24</v>
      </c>
      <c r="Y197" s="221">
        <v>25</v>
      </c>
      <c r="Z197" s="221">
        <v>26</v>
      </c>
      <c r="AA197" s="221">
        <v>27</v>
      </c>
      <c r="AB197" s="221">
        <v>28</v>
      </c>
      <c r="AC197" s="221">
        <v>29</v>
      </c>
      <c r="AD197" s="221">
        <v>30</v>
      </c>
      <c r="AE197" s="222">
        <v>31</v>
      </c>
      <c r="AF197" s="219">
        <v>32</v>
      </c>
      <c r="AG197" s="233">
        <v>33</v>
      </c>
      <c r="AH197" s="234">
        <v>34</v>
      </c>
      <c r="AI197" s="234">
        <v>35</v>
      </c>
      <c r="AJ197" s="234">
        <v>36</v>
      </c>
      <c r="AK197" s="234">
        <v>37</v>
      </c>
      <c r="AL197" s="234">
        <v>38</v>
      </c>
      <c r="AM197" s="234">
        <v>39</v>
      </c>
      <c r="AN197" s="234">
        <v>40</v>
      </c>
      <c r="AO197" s="234">
        <v>41</v>
      </c>
      <c r="AP197" s="234">
        <v>42</v>
      </c>
      <c r="AQ197" s="234">
        <v>43</v>
      </c>
      <c r="AR197" s="234">
        <v>44</v>
      </c>
      <c r="AS197" s="234">
        <v>45</v>
      </c>
      <c r="AT197" s="234">
        <v>46</v>
      </c>
      <c r="AU197" s="235">
        <v>47</v>
      </c>
    </row>
    <row r="198" spans="1:47" s="196" customFormat="1" x14ac:dyDescent="0.2">
      <c r="A198" s="214" t="s">
        <v>131</v>
      </c>
      <c r="B198" s="208"/>
      <c r="C198" s="209"/>
      <c r="D198" s="209"/>
      <c r="E198" s="209"/>
      <c r="F198" s="209"/>
      <c r="G198" s="209"/>
      <c r="H198" s="209"/>
      <c r="I198" s="209"/>
      <c r="J198" s="209"/>
      <c r="K198" s="209"/>
      <c r="L198" s="209"/>
      <c r="M198" s="209"/>
      <c r="N198" s="209"/>
      <c r="O198" s="210"/>
      <c r="P198" s="209"/>
      <c r="Q198" s="223" t="s">
        <v>88</v>
      </c>
      <c r="R198" s="224"/>
      <c r="S198" s="225"/>
      <c r="T198" s="225"/>
      <c r="U198" s="225"/>
      <c r="V198" s="225"/>
      <c r="W198" s="225"/>
      <c r="X198" s="225"/>
      <c r="Y198" s="225"/>
      <c r="Z198" s="225"/>
      <c r="AA198" s="225"/>
      <c r="AB198" s="225"/>
      <c r="AC198" s="225"/>
      <c r="AD198" s="225"/>
      <c r="AE198" s="226"/>
      <c r="AG198" s="236" t="s">
        <v>130</v>
      </c>
      <c r="AH198" s="237"/>
      <c r="AI198" s="238"/>
      <c r="AJ198" s="238"/>
      <c r="AK198" s="238"/>
      <c r="AL198" s="238"/>
      <c r="AM198" s="238"/>
      <c r="AN198" s="238"/>
      <c r="AO198" s="238"/>
      <c r="AP198" s="238"/>
      <c r="AQ198" s="238"/>
      <c r="AR198" s="238"/>
      <c r="AS198" s="238"/>
      <c r="AT198" s="238"/>
      <c r="AU198" s="239"/>
    </row>
    <row r="199" spans="1:47" s="560" customFormat="1" x14ac:dyDescent="0.2">
      <c r="A199" s="551" t="s">
        <v>40</v>
      </c>
      <c r="B199" s="552" t="s">
        <v>41</v>
      </c>
      <c r="C199" s="553" t="s">
        <v>74</v>
      </c>
      <c r="D199" s="553" t="s">
        <v>75</v>
      </c>
      <c r="E199" s="553" t="s">
        <v>76</v>
      </c>
      <c r="F199" s="553" t="s">
        <v>77</v>
      </c>
      <c r="G199" s="553" t="s">
        <v>78</v>
      </c>
      <c r="H199" s="553" t="s">
        <v>79</v>
      </c>
      <c r="I199" s="553" t="s">
        <v>80</v>
      </c>
      <c r="J199" s="553" t="s">
        <v>81</v>
      </c>
      <c r="K199" s="553" t="s">
        <v>82</v>
      </c>
      <c r="L199" s="553" t="s">
        <v>83</v>
      </c>
      <c r="M199" s="553" t="s">
        <v>84</v>
      </c>
      <c r="N199" s="553" t="s">
        <v>85</v>
      </c>
      <c r="O199" s="554" t="s">
        <v>21</v>
      </c>
      <c r="P199" s="555"/>
      <c r="Q199" s="556" t="s">
        <v>40</v>
      </c>
      <c r="R199" s="557" t="s">
        <v>41</v>
      </c>
      <c r="S199" s="558" t="s">
        <v>74</v>
      </c>
      <c r="T199" s="558" t="s">
        <v>75</v>
      </c>
      <c r="U199" s="558" t="s">
        <v>76</v>
      </c>
      <c r="V199" s="558" t="s">
        <v>77</v>
      </c>
      <c r="W199" s="558" t="s">
        <v>78</v>
      </c>
      <c r="X199" s="558" t="s">
        <v>79</v>
      </c>
      <c r="Y199" s="558" t="s">
        <v>80</v>
      </c>
      <c r="Z199" s="558" t="s">
        <v>81</v>
      </c>
      <c r="AA199" s="558" t="s">
        <v>82</v>
      </c>
      <c r="AB199" s="558" t="s">
        <v>83</v>
      </c>
      <c r="AC199" s="558" t="s">
        <v>84</v>
      </c>
      <c r="AD199" s="558" t="s">
        <v>85</v>
      </c>
      <c r="AE199" s="559" t="s">
        <v>21</v>
      </c>
      <c r="AG199" s="561" t="s">
        <v>40</v>
      </c>
      <c r="AH199" s="562" t="s">
        <v>41</v>
      </c>
      <c r="AI199" s="563" t="s">
        <v>74</v>
      </c>
      <c r="AJ199" s="563" t="s">
        <v>75</v>
      </c>
      <c r="AK199" s="563" t="s">
        <v>76</v>
      </c>
      <c r="AL199" s="563" t="s">
        <v>77</v>
      </c>
      <c r="AM199" s="563" t="s">
        <v>78</v>
      </c>
      <c r="AN199" s="563" t="s">
        <v>79</v>
      </c>
      <c r="AO199" s="563" t="s">
        <v>80</v>
      </c>
      <c r="AP199" s="563" t="s">
        <v>81</v>
      </c>
      <c r="AQ199" s="563" t="s">
        <v>82</v>
      </c>
      <c r="AR199" s="563" t="s">
        <v>83</v>
      </c>
      <c r="AS199" s="563" t="s">
        <v>84</v>
      </c>
      <c r="AT199" s="563" t="s">
        <v>85</v>
      </c>
      <c r="AU199" s="564" t="s">
        <v>21</v>
      </c>
    </row>
    <row r="200" spans="1:47" s="574" customFormat="1" x14ac:dyDescent="0.2">
      <c r="A200" s="565">
        <v>1003</v>
      </c>
      <c r="B200" s="566" t="s">
        <v>42</v>
      </c>
      <c r="C200" s="567">
        <f>+[2]ต.ค.59!$E$423/10^6</f>
        <v>54.857293530000007</v>
      </c>
      <c r="D200" s="567">
        <f>+[2]พ.ย.59!$E$423/10^6</f>
        <v>58.375268370000001</v>
      </c>
      <c r="E200" s="567">
        <f>+[2]ธ.ค.59!$E$423/10^6</f>
        <v>63.855236190000014</v>
      </c>
      <c r="F200" s="567">
        <f>+[2]ม.ค.60!$E$423/10^6</f>
        <v>53.902692039999991</v>
      </c>
      <c r="G200" s="567">
        <f>+[2]ก.พ.60!$E$423/10^6</f>
        <v>57.264715680000009</v>
      </c>
      <c r="H200" s="567">
        <f>+[2]มี.ค.60!$E$423/10^6</f>
        <v>65.633323109999992</v>
      </c>
      <c r="I200" s="567">
        <f>+[2]เม.ย.60!$E$423/10^6</f>
        <v>62.240433230000001</v>
      </c>
      <c r="J200" s="567">
        <f>+[2]พ.ค.60!$E$423/10^6</f>
        <v>63.485998989999992</v>
      </c>
      <c r="K200" s="567">
        <f>+[2]มิ.ย.60!$E$423/10^6</f>
        <v>64.510846870000009</v>
      </c>
      <c r="L200" s="567">
        <f>+[2]ก.ค.60!$E$423/10^6</f>
        <v>62.648606740000005</v>
      </c>
      <c r="M200" s="567">
        <f>+[2]ส.ค.60!$E$423/10^6</f>
        <v>63.058667619999987</v>
      </c>
      <c r="N200" s="567">
        <f>+[2]ก.ย.60!$E$423/10^6</f>
        <v>68.456848719999996</v>
      </c>
      <c r="O200" s="568">
        <f>SUM(C200:N200)</f>
        <v>738.28993108999998</v>
      </c>
      <c r="P200" s="569"/>
      <c r="Q200" s="570">
        <v>1003</v>
      </c>
      <c r="R200" s="571" t="s">
        <v>42</v>
      </c>
      <c r="S200" s="572">
        <f>+[5]ค่าใช้จ่ายดำเนินงาน!B96/10^6</f>
        <v>59.806723666666663</v>
      </c>
      <c r="T200" s="572">
        <f>+[5]ค่าใช้จ่ายดำเนินงาน!C96/10^6</f>
        <v>57.213983666666664</v>
      </c>
      <c r="U200" s="572">
        <f>+[5]ค่าใช้จ่ายดำเนินงาน!D96/10^6</f>
        <v>55.983475666666664</v>
      </c>
      <c r="V200" s="572">
        <f>+[5]ค่าใช้จ่ายดำเนินงาน!E96/10^6</f>
        <v>58.720351666666666</v>
      </c>
      <c r="W200" s="572">
        <f>+[5]ค่าใช้จ่ายดำเนินงาน!F96/10^6</f>
        <v>58.609980666666665</v>
      </c>
      <c r="X200" s="572">
        <f>+[5]ค่าใช้จ่ายดำเนินงาน!G96/10^6</f>
        <v>62.200185666666663</v>
      </c>
      <c r="Y200" s="572">
        <f>+[5]ค่าใช้จ่ายดำเนินงาน!H96/10^6</f>
        <v>57.733091666666667</v>
      </c>
      <c r="Z200" s="572">
        <f>+[5]ค่าใช้จ่ายดำเนินงาน!I96/10^6</f>
        <v>60.862501666666667</v>
      </c>
      <c r="AA200" s="572">
        <f>+[5]ค่าใช้จ่ายดำเนินงาน!J96/10^6</f>
        <v>62.900047666666666</v>
      </c>
      <c r="AB200" s="572">
        <f>+[5]ค่าใช้จ่ายดำเนินงาน!K96/10^6</f>
        <v>60.133230666666663</v>
      </c>
      <c r="AC200" s="572">
        <f>+[5]ค่าใช้จ่ายดำเนินงาน!L96/10^6</f>
        <v>62.006472666666674</v>
      </c>
      <c r="AD200" s="572">
        <f>+[5]ค่าใช้จ่ายดำเนินงาน!M96/10^6</f>
        <v>70.935200666666674</v>
      </c>
      <c r="AE200" s="573">
        <f>SUM(S200:AD200)</f>
        <v>727.10524599999997</v>
      </c>
      <c r="AG200" s="575">
        <v>1003</v>
      </c>
      <c r="AH200" s="576" t="s">
        <v>42</v>
      </c>
      <c r="AI200" s="577">
        <f>+[6]ต.ค.58!$E$416/10^6</f>
        <v>58.505708139999996</v>
      </c>
      <c r="AJ200" s="577">
        <f>+[6]พ.ย.58!$E$416/10^6</f>
        <v>58.624295100000005</v>
      </c>
      <c r="AK200" s="577">
        <f>+[6]ธ.ค.58!$E$416/10^6</f>
        <v>62.89150759999999</v>
      </c>
      <c r="AL200" s="577">
        <f>+[6]ม.ค.59!$E$416/10^6</f>
        <v>58.598791789999986</v>
      </c>
      <c r="AM200" s="577">
        <f>+[6]ก.พ.59!$E$416/10^6</f>
        <v>56.557732799999997</v>
      </c>
      <c r="AN200" s="577">
        <f>+[6]มี.ค.59!$E$416/10^6</f>
        <v>64.308429230000002</v>
      </c>
      <c r="AO200" s="577">
        <f>+[6]เม.ย.59!$E$416/10^6</f>
        <v>58.665271540000013</v>
      </c>
      <c r="AP200" s="577">
        <f>+[6]พ.ค.59!$E$416/10^6</f>
        <v>61.485977399999975</v>
      </c>
      <c r="AQ200" s="577">
        <f>+[6]มิ.ย.59!$E$416/10^6</f>
        <v>65.496684599999995</v>
      </c>
      <c r="AR200" s="577">
        <f>+[6]ก.ค.59!$E$416/10^6</f>
        <v>59.10537639999999</v>
      </c>
      <c r="AS200" s="577">
        <f>+[6]ส.ค.59!$E$416/10^6</f>
        <v>63.663244879999986</v>
      </c>
      <c r="AT200" s="577">
        <f>+[6]ก.ย.59!$E$416/10^6</f>
        <v>63.637480920000002</v>
      </c>
      <c r="AU200" s="578">
        <f>SUM(AI200:AT200)</f>
        <v>731.54050039999993</v>
      </c>
    </row>
    <row r="201" spans="1:47" s="478" customFormat="1" x14ac:dyDescent="0.2">
      <c r="A201" s="474">
        <v>1004</v>
      </c>
      <c r="B201" s="475" t="s">
        <v>43</v>
      </c>
      <c r="C201" s="579">
        <f>+[2]ต.ค.59!$G$423/10^6</f>
        <v>15.907794939999997</v>
      </c>
      <c r="D201" s="579">
        <f>+[2]พ.ย.59!$G$423/10^6</f>
        <v>16.720712429999999</v>
      </c>
      <c r="E201" s="579">
        <f>+[2]ธ.ค.59!$G$423/10^6</f>
        <v>16.179007349999999</v>
      </c>
      <c r="F201" s="579">
        <f>+[2]ม.ค.60!$G$423/10^6</f>
        <v>14.9006124</v>
      </c>
      <c r="G201" s="579">
        <f>+[2]ก.พ.60!$G$423/10^6</f>
        <v>15.695040839999999</v>
      </c>
      <c r="H201" s="579">
        <f>+[2]มี.ค.60!$G$423/10^6</f>
        <v>17.560883739999998</v>
      </c>
      <c r="I201" s="579">
        <f>+[2]เม.ย.60!$G$423/10^6</f>
        <v>18.600374229999996</v>
      </c>
      <c r="J201" s="579">
        <f>+[2]พ.ค.60!$G$423/10^6</f>
        <v>17.160971989999997</v>
      </c>
      <c r="K201" s="579">
        <f>+[2]มิ.ย.60!$G$423/10^6</f>
        <v>18.564110630000002</v>
      </c>
      <c r="L201" s="579">
        <f>+[2]ก.ค.60!$G$423/10^6</f>
        <v>16.904590210000006</v>
      </c>
      <c r="M201" s="579">
        <f>+[2]ส.ค.60!$G$423/10^6</f>
        <v>16.582067989999999</v>
      </c>
      <c r="N201" s="579">
        <f>+[2]ก.ย.60!$G$423/10^6</f>
        <v>17.45608043</v>
      </c>
      <c r="O201" s="580">
        <f t="shared" ref="O201:O227" si="22">SUM(C201:N201)</f>
        <v>202.23224718</v>
      </c>
      <c r="P201" s="581"/>
      <c r="Q201" s="476">
        <v>1004</v>
      </c>
      <c r="R201" s="477" t="s">
        <v>43</v>
      </c>
      <c r="S201" s="582">
        <f>+[5]ค่าใช้จ่ายดำเนินงาน!B69/10^6</f>
        <v>16.807950000000002</v>
      </c>
      <c r="T201" s="582">
        <f>+[5]ค่าใช้จ่ายดำเนินงาน!C69/10^6</f>
        <v>14.8302</v>
      </c>
      <c r="U201" s="582">
        <f>+[5]ค่าใช้จ่ายดำเนินงาน!D69/10^6</f>
        <v>13.822838000000001</v>
      </c>
      <c r="V201" s="582">
        <f>+[5]ค่าใช้จ่ายดำเนินงาน!E69/10^6</f>
        <v>14.711186</v>
      </c>
      <c r="W201" s="582">
        <f>+[5]ค่าใช้จ่ายดำเนินงาน!F69/10^6</f>
        <v>14.698128000000001</v>
      </c>
      <c r="X201" s="582">
        <f>+[5]ค่าใช้จ่ายดำเนินงาน!G69/10^6</f>
        <v>16.071891999999998</v>
      </c>
      <c r="Y201" s="582">
        <f>+[5]ค่าใช้จ่ายดำเนินงาน!H69/10^6</f>
        <v>15.57152</v>
      </c>
      <c r="Z201" s="582">
        <f>+[5]ค่าใช้จ่ายดำเนินงาน!I69/10^6</f>
        <v>15.661652999999999</v>
      </c>
      <c r="AA201" s="582">
        <f>+[5]ค่าใช้จ่ายดำเนินงาน!J69/10^6</f>
        <v>16.426074</v>
      </c>
      <c r="AB201" s="582">
        <f>+[5]ค่าใช้จ่ายดำเนินงาน!K69/10^6</f>
        <v>16.090738999999999</v>
      </c>
      <c r="AC201" s="582">
        <f>+[5]ค่าใช้จ่ายดำเนินงาน!L69/10^6</f>
        <v>16.464739999999999</v>
      </c>
      <c r="AD201" s="582">
        <f>+[5]ค่าใช้จ่ายดำเนินงาน!M69/10^6</f>
        <v>17.571155999999998</v>
      </c>
      <c r="AE201" s="583">
        <f t="shared" ref="AE201:AE227" si="23">SUM(S201:AD201)</f>
        <v>188.72807600000002</v>
      </c>
      <c r="AF201" s="584">
        <f>+[5]ค่าใช้จ่ายดำเนินงาน!AO69/10^6</f>
        <v>188.72807</v>
      </c>
      <c r="AG201" s="479">
        <v>1004</v>
      </c>
      <c r="AH201" s="480" t="s">
        <v>43</v>
      </c>
      <c r="AI201" s="585">
        <f>+[6]ต.ค.58!$G$416/10^6</f>
        <v>13.660655689999997</v>
      </c>
      <c r="AJ201" s="585">
        <f>+[6]พ.ย.58!$G$416/10^6</f>
        <v>14.204273490000002</v>
      </c>
      <c r="AK201" s="585">
        <f>+[6]ธ.ค.58!$G$416/10^6</f>
        <v>17.06504734</v>
      </c>
      <c r="AL201" s="585">
        <f>+[6]ม.ค.59!$G$416/10^6</f>
        <v>13.687753359999999</v>
      </c>
      <c r="AM201" s="585">
        <f>+[6]ก.พ.59!$G$416/10^6</f>
        <v>15.332990579999999</v>
      </c>
      <c r="AN201" s="585">
        <f>+[6]มี.ค.59!$G$416/10^6</f>
        <v>16.680630230000002</v>
      </c>
      <c r="AO201" s="585">
        <f>+[6]เม.ย.59!$G$416/10^6</f>
        <v>15.27945594</v>
      </c>
      <c r="AP201" s="585">
        <f>+[6]พ.ค.59!$G$416/10^6</f>
        <v>15.117459050000001</v>
      </c>
      <c r="AQ201" s="585">
        <f>+[6]มิ.ย.59!$G$416/10^6</f>
        <v>18.711151300000004</v>
      </c>
      <c r="AR201" s="585">
        <f>+[6]ก.ค.59!$G$416/10^6</f>
        <v>14.928711220000002</v>
      </c>
      <c r="AS201" s="585">
        <f>+[6]ส.ค.59!$G$416/10^6</f>
        <v>17.163995829999998</v>
      </c>
      <c r="AT201" s="585">
        <f>+[6]ก.ย.59!$G$416/10^6</f>
        <v>17.340539060000001</v>
      </c>
      <c r="AU201" s="586">
        <f t="shared" ref="AU201:AU227" si="24">SUM(AI201:AT201)</f>
        <v>189.17266309000001</v>
      </c>
    </row>
    <row r="202" spans="1:47" s="478" customFormat="1" x14ac:dyDescent="0.2">
      <c r="A202" s="474">
        <v>1005</v>
      </c>
      <c r="B202" s="475" t="s">
        <v>44</v>
      </c>
      <c r="C202" s="579">
        <f>+[2]ต.ค.59!$H$423/10^6</f>
        <v>0.62415346999999999</v>
      </c>
      <c r="D202" s="579">
        <f>+[2]พ.ย.59!$H$423/10^6</f>
        <v>0.59669557000000006</v>
      </c>
      <c r="E202" s="579">
        <f>+[2]ธ.ค.59!$H$423/10^6</f>
        <v>0.75084705000000018</v>
      </c>
      <c r="F202" s="579">
        <f>+[2]ม.ค.60!$H$423/10^6</f>
        <v>0.51927781000000006</v>
      </c>
      <c r="G202" s="579">
        <f>+[2]ก.พ.60!$H$423/10^6</f>
        <v>0.55640186999999997</v>
      </c>
      <c r="H202" s="579">
        <f>+[2]มี.ค.60!$H$423/10^6</f>
        <v>0.65780601999999999</v>
      </c>
      <c r="I202" s="579">
        <f>+[2]เม.ย.60!$H$423/10^6</f>
        <v>0.60142024999999999</v>
      </c>
      <c r="J202" s="579">
        <f>+[2]พ.ค.60!$H$423/10^6</f>
        <v>0.6722536899999999</v>
      </c>
      <c r="K202" s="579">
        <f>+[2]มิ.ย.60!$H$423/10^6</f>
        <v>0.63715807000000002</v>
      </c>
      <c r="L202" s="579">
        <f>+[2]ก.ค.60!$H$423/10^6</f>
        <v>0.68052615000000016</v>
      </c>
      <c r="M202" s="579">
        <f>+[2]ส.ค.60!$H$423/10^6</f>
        <v>0.67011272999999993</v>
      </c>
      <c r="N202" s="579">
        <f>+[2]ก.ย.60!$H$423/10^6</f>
        <v>0.71643321000000026</v>
      </c>
      <c r="O202" s="580">
        <f t="shared" si="22"/>
        <v>7.6830858900000001</v>
      </c>
      <c r="P202" s="581"/>
      <c r="Q202" s="476">
        <v>1005</v>
      </c>
      <c r="R202" s="477" t="s">
        <v>44</v>
      </c>
      <c r="S202" s="582">
        <f>+[5]ค่าใช้จ่ายดำเนินงาน!B70/10^6</f>
        <v>0.65205400000000002</v>
      </c>
      <c r="T202" s="582">
        <f>+[5]ค่าใช้จ่ายดำเนินงาน!C70/10^6</f>
        <v>0.61351199999999995</v>
      </c>
      <c r="U202" s="582">
        <f>+[5]ค่าใช้จ่ายดำเนินงาน!D70/10^6</f>
        <v>0.62990800000000002</v>
      </c>
      <c r="V202" s="582">
        <f>+[5]ค่าใช้จ่ายดำเนินงาน!E70/10^6</f>
        <v>0.66400199999999998</v>
      </c>
      <c r="W202" s="582">
        <f>+[5]ค่าใช้จ่ายดำเนินงาน!F70/10^6</f>
        <v>0.64402400000000004</v>
      </c>
      <c r="X202" s="582">
        <f>+[5]ค่าใช้จ่ายดำเนินงาน!G70/10^6</f>
        <v>0.64905800000000002</v>
      </c>
      <c r="Y202" s="582">
        <f>+[5]ค่าใช้จ่ายดำเนินงาน!H70/10^6</f>
        <v>0.62721300000000002</v>
      </c>
      <c r="Z202" s="582">
        <f>+[5]ค่าใช้จ่ายดำเนินงาน!I70/10^6</f>
        <v>0.66271500000000005</v>
      </c>
      <c r="AA202" s="582">
        <f>+[5]ค่าใช้จ่ายดำเนินงาน!J70/10^6</f>
        <v>0.71152899999999997</v>
      </c>
      <c r="AB202" s="582">
        <f>+[5]ค่าใช้จ่ายดำเนินงาน!K70/10^6</f>
        <v>0.64721200000000001</v>
      </c>
      <c r="AC202" s="582">
        <f>+[5]ค่าใช้จ่ายดำเนินงาน!L70/10^6</f>
        <v>0.68115800000000004</v>
      </c>
      <c r="AD202" s="582">
        <f>+[5]ค่าใช้จ่ายดำเนินงาน!M70/10^6</f>
        <v>0.70391300000000001</v>
      </c>
      <c r="AE202" s="583">
        <f t="shared" si="23"/>
        <v>7.886298</v>
      </c>
      <c r="AF202" s="584">
        <f>+[5]ค่าใช้จ่ายดำเนินงาน!AO70/10^6</f>
        <v>7.8863000000000003</v>
      </c>
      <c r="AG202" s="479">
        <v>1005</v>
      </c>
      <c r="AH202" s="480" t="s">
        <v>44</v>
      </c>
      <c r="AI202" s="585">
        <f>+[6]ต.ค.58!$H$416/10^6</f>
        <v>0.69987651000000017</v>
      </c>
      <c r="AJ202" s="585">
        <f>+[6]พ.ย.58!$H$416/10^6</f>
        <v>0.60691975999999992</v>
      </c>
      <c r="AK202" s="585">
        <f>+[6]ธ.ค.58!$H$416/10^6</f>
        <v>0.62239031</v>
      </c>
      <c r="AL202" s="585">
        <f>+[6]ม.ค.59!$H$416/10^6</f>
        <v>0.63538026999999997</v>
      </c>
      <c r="AM202" s="585">
        <f>+[6]ก.พ.59!$H$416/10^6</f>
        <v>0.67113446000000021</v>
      </c>
      <c r="AN202" s="585">
        <f>+[6]มี.ค.59!$H$416/10^6</f>
        <v>0.62425334999999993</v>
      </c>
      <c r="AO202" s="585">
        <f>+[6]เม.ย.59!$H$416/10^6</f>
        <v>0.59724416999999996</v>
      </c>
      <c r="AP202" s="585">
        <f>+[6]พ.ค.59!$H$416/10^6</f>
        <v>0.62657979999999991</v>
      </c>
      <c r="AQ202" s="585">
        <f>+[6]มิ.ย.59!$H$416/10^6</f>
        <v>0.6911992600000002</v>
      </c>
      <c r="AR202" s="585">
        <f>+[6]ก.ค.59!$H$416/10^6</f>
        <v>0.59013888000000003</v>
      </c>
      <c r="AS202" s="585">
        <f>+[6]ส.ค.59!$H$416/10^6</f>
        <v>0.70407383999999995</v>
      </c>
      <c r="AT202" s="585">
        <f>+[6]ก.ย.59!$H$416/10^6</f>
        <v>0.61678058000000002</v>
      </c>
      <c r="AU202" s="586">
        <f t="shared" si="24"/>
        <v>7.6859711900000001</v>
      </c>
    </row>
    <row r="203" spans="1:47" s="478" customFormat="1" x14ac:dyDescent="0.2">
      <c r="A203" s="759">
        <v>1006</v>
      </c>
      <c r="B203" s="760" t="s">
        <v>45</v>
      </c>
      <c r="C203" s="761">
        <f>+[2]ต.ค.59!$I$423/10^6</f>
        <v>1.2972782499999997</v>
      </c>
      <c r="D203" s="761">
        <f>+[2]พ.ย.59!$I$423/10^6</f>
        <v>1.3633937199999999</v>
      </c>
      <c r="E203" s="761">
        <f>+[2]ธ.ค.59!$I$423/10^6</f>
        <v>1.44056257</v>
      </c>
      <c r="F203" s="761">
        <f>+[2]ม.ค.60!$I$423/10^6</f>
        <v>1.1626661999999999</v>
      </c>
      <c r="G203" s="761">
        <f>+[2]ก.พ.60!$I$423/10^6</f>
        <v>1.3532009599999999</v>
      </c>
      <c r="H203" s="761">
        <f>+[2]มี.ค.60!$I$423/10^6</f>
        <v>1.4895768400000002</v>
      </c>
      <c r="I203" s="761">
        <f>+[2]เม.ย.60!$I$423/10^6</f>
        <v>1.4305403800000001</v>
      </c>
      <c r="J203" s="761">
        <f>+[2]พ.ค.60!$I$423/10^6</f>
        <v>1.5020715500000001</v>
      </c>
      <c r="K203" s="761">
        <f>+[2]มิ.ย.60!$I$423/10^6</f>
        <v>1.5213069299999999</v>
      </c>
      <c r="L203" s="761">
        <f>+[2]ก.ค.60!$I$423/10^6</f>
        <v>1.6097509399999999</v>
      </c>
      <c r="M203" s="761">
        <f>+[2]ส.ค.60!$I$423/10^6</f>
        <v>1.4416112399999998</v>
      </c>
      <c r="N203" s="761">
        <f>+[2]ก.ย.60!$I$423/10^6</f>
        <v>1.6366616500000004</v>
      </c>
      <c r="O203" s="762">
        <f>SUM(C203:N203)</f>
        <v>17.248621230000001</v>
      </c>
      <c r="P203" s="581">
        <v>15666762.111999998</v>
      </c>
      <c r="Q203" s="476">
        <v>1006</v>
      </c>
      <c r="R203" s="477" t="s">
        <v>45</v>
      </c>
      <c r="S203" s="582">
        <f>+[5]ค่าใช้จ่ายดำเนินงาน!B71/10^6</f>
        <v>1.2811870000000001</v>
      </c>
      <c r="T203" s="582">
        <f>+[5]ค่าใช้จ่ายดำเนินงาน!C71/10^6</f>
        <v>1.320487</v>
      </c>
      <c r="U203" s="582">
        <f>+[5]ค่าใช้จ่ายดำเนินงาน!D71/10^6</f>
        <v>1.4652890000000001</v>
      </c>
      <c r="V203" s="582">
        <f>+[5]ค่าใช้จ่ายดำเนินงาน!E71/10^6</f>
        <v>1.410541</v>
      </c>
      <c r="W203" s="582">
        <f>+[5]ค่าใช้จ่ายดำเนินงาน!F71/10^6</f>
        <v>1.367097</v>
      </c>
      <c r="X203" s="582">
        <f>+[5]ค่าใช้จ่ายดำเนินงาน!G71/10^6</f>
        <v>1.5555859999999999</v>
      </c>
      <c r="Y203" s="582">
        <f>+[5]ค่าใช้จ่ายดำเนินงาน!H71/10^6</f>
        <v>1.401124</v>
      </c>
      <c r="Z203" s="582">
        <f>+[5]ค่าใช้จ่ายดำเนินงาน!I71/10^6</f>
        <v>1.3223149999999999</v>
      </c>
      <c r="AA203" s="582">
        <f>+[5]ค่าใช้จ่ายดำเนินงาน!J71/10^6</f>
        <v>1.538969</v>
      </c>
      <c r="AB203" s="582">
        <f>+[5]ค่าใช้จ่ายดำเนินงาน!K71/10^6</f>
        <v>1.375329</v>
      </c>
      <c r="AC203" s="582">
        <f>+[5]ค่าใช้จ่ายดำเนินงาน!L71/10^6</f>
        <v>1.333793</v>
      </c>
      <c r="AD203" s="582">
        <f>+[5]ค่าใช้จ่ายดำเนินงาน!M71/10^6</f>
        <v>1.4734050000000001</v>
      </c>
      <c r="AE203" s="583">
        <f t="shared" si="23"/>
        <v>16.845122</v>
      </c>
      <c r="AF203" s="584">
        <f>+[5]ค่าใช้จ่ายดำเนินงาน!AO71/10^6</f>
        <v>16.845120000000001</v>
      </c>
      <c r="AG203" s="479">
        <v>1006</v>
      </c>
      <c r="AH203" s="480" t="s">
        <v>45</v>
      </c>
      <c r="AI203" s="585">
        <f>+[6]ต.ค.58!$I$416/10^6</f>
        <v>1.2778683100000001</v>
      </c>
      <c r="AJ203" s="585">
        <f>+[6]พ.ย.58!$I$416/10^6</f>
        <v>1.2595106899999999</v>
      </c>
      <c r="AK203" s="585">
        <f>+[6]ธ.ค.58!$I$416/10^6</f>
        <v>1.4703663000000002</v>
      </c>
      <c r="AL203" s="585">
        <f>+[6]ม.ค.59!$I$416/10^6</f>
        <v>1.2595571799999996</v>
      </c>
      <c r="AM203" s="585">
        <f>+[6]ก.พ.59!$I$416/10^6</f>
        <v>1.2467415599999998</v>
      </c>
      <c r="AN203" s="585">
        <f>+[6]มี.ค.59!$I$416/10^6</f>
        <v>1.3604910000000003</v>
      </c>
      <c r="AO203" s="585">
        <f>+[6]เม.ย.59!$I$416/10^6</f>
        <v>1.3919225099999997</v>
      </c>
      <c r="AP203" s="585">
        <f>+[6]พ.ค.59!$I$416/10^6</f>
        <v>1.2591531499999999</v>
      </c>
      <c r="AQ203" s="585">
        <f>+[6]มิ.ย.59!$I$416/10^6</f>
        <v>1.5448210000000004</v>
      </c>
      <c r="AR203" s="585">
        <f>+[6]ก.ค.59!$I$416/10^6</f>
        <v>1.3582965399999998</v>
      </c>
      <c r="AS203" s="585">
        <f>+[6]ส.ค.59!$I$416/10^6</f>
        <v>1.3096528399999998</v>
      </c>
      <c r="AT203" s="585">
        <f>+[6]ก.ย.59!$I$416/10^6</f>
        <v>1.3770874500000001</v>
      </c>
      <c r="AU203" s="586">
        <f t="shared" si="24"/>
        <v>16.115468530000001</v>
      </c>
    </row>
    <row r="204" spans="1:47" s="478" customFormat="1" x14ac:dyDescent="0.2">
      <c r="A204" s="474">
        <v>1007</v>
      </c>
      <c r="B204" s="475" t="s">
        <v>46</v>
      </c>
      <c r="C204" s="579">
        <f>+[2]ต.ค.59!$J$423/10^6</f>
        <v>2.2633878000000003</v>
      </c>
      <c r="D204" s="579">
        <f>+[2]พ.ย.59!$J$423/10^6</f>
        <v>2.2324988100000001</v>
      </c>
      <c r="E204" s="579">
        <f>+[2]ธ.ค.59!$J$423/10^6</f>
        <v>2.4619962000000002</v>
      </c>
      <c r="F204" s="579">
        <f>+[2]ม.ค.60!$J$423/10^6</f>
        <v>2.1839093900000002</v>
      </c>
      <c r="G204" s="579">
        <f>+[2]ก.พ.60!$J$423/10^6</f>
        <v>2.3537584299999996</v>
      </c>
      <c r="H204" s="579">
        <f>+[2]มี.ค.60!$J$423/10^6</f>
        <v>2.4104416199999998</v>
      </c>
      <c r="I204" s="579">
        <f>+[2]เม.ย.60!$J$423/10^6</f>
        <v>2.6725193100000002</v>
      </c>
      <c r="J204" s="579">
        <f>+[2]พ.ค.60!$J$423/10^6</f>
        <v>2.3443180799999999</v>
      </c>
      <c r="K204" s="579">
        <f>+[2]มิ.ย.60!$J$423/10^6</f>
        <v>2.62284089</v>
      </c>
      <c r="L204" s="579">
        <f>+[2]ก.ค.60!$J$423/10^6</f>
        <v>2.4326527000000002</v>
      </c>
      <c r="M204" s="579">
        <f>+[2]ส.ค.60!$J$423/10^6</f>
        <v>2.3291832200000009</v>
      </c>
      <c r="N204" s="579">
        <f>+[2]ก.ย.60!$J$423/10^6</f>
        <v>2.5564844300000003</v>
      </c>
      <c r="O204" s="580">
        <f t="shared" si="22"/>
        <v>28.863990880000003</v>
      </c>
      <c r="P204" s="581">
        <v>26435399.370999996</v>
      </c>
      <c r="Q204" s="476">
        <v>1007</v>
      </c>
      <c r="R204" s="477" t="s">
        <v>46</v>
      </c>
      <c r="S204" s="582">
        <f>+[5]ค่าใช้จ่ายดำเนินงาน!B72/10^6</f>
        <v>2.8455569999999999</v>
      </c>
      <c r="T204" s="582">
        <f>+[5]ค่าใช้จ่ายดำเนินงาน!C72/10^6</f>
        <v>2.6263619999999999</v>
      </c>
      <c r="U204" s="582">
        <f>+[5]ค่าใช้จ่ายดำเนินงาน!D72/10^6</f>
        <v>2.6832829999999999</v>
      </c>
      <c r="V204" s="582">
        <f>+[5]ค่าใช้จ่ายดำเนินงาน!E72/10^6</f>
        <v>2.7409020000000002</v>
      </c>
      <c r="W204" s="582">
        <f>+[5]ค่าใช้จ่ายดำเนินงาน!F72/10^6</f>
        <v>2.5386540000000002</v>
      </c>
      <c r="X204" s="582">
        <f>+[5]ค่าใช้จ่ายดำเนินงาน!G72/10^6</f>
        <v>2.816071</v>
      </c>
      <c r="Y204" s="582">
        <f>+[5]ค่าใช้จ่ายดำเนินงาน!H72/10^6</f>
        <v>2.4099529999999998</v>
      </c>
      <c r="Z204" s="582">
        <f>+[5]ค่าใช้จ่ายดำเนินงาน!I72/10^6</f>
        <v>2.6509100000000001</v>
      </c>
      <c r="AA204" s="582">
        <f>+[5]ค่าใช้จ่ายดำเนินงาน!J72/10^6</f>
        <v>2.7615940000000001</v>
      </c>
      <c r="AB204" s="582">
        <f>+[5]ค่าใช้จ่ายดำเนินงาน!K72/10^6</f>
        <v>2.6864249999999998</v>
      </c>
      <c r="AC204" s="582">
        <f>+[5]ค่าใช้จ่ายดำเนินงาน!L72/10^6</f>
        <v>3.0131260000000002</v>
      </c>
      <c r="AD204" s="582">
        <f>+[5]ค่าใช้จ่ายดำเนินงาน!M72/10^6</f>
        <v>2.536934</v>
      </c>
      <c r="AE204" s="583">
        <f t="shared" si="23"/>
        <v>32.309770999999998</v>
      </c>
      <c r="AF204" s="584">
        <f>+[5]ค่าใช้จ่ายดำเนินงาน!AO72/10^6</f>
        <v>32.30977</v>
      </c>
      <c r="AG204" s="479">
        <v>1007</v>
      </c>
      <c r="AH204" s="480" t="s">
        <v>46</v>
      </c>
      <c r="AI204" s="585">
        <f>+[6]ต.ค.58!$J$416/10^6</f>
        <v>2.7660984800000001</v>
      </c>
      <c r="AJ204" s="585">
        <f>+[6]พ.ย.58!$J$416/10^6</f>
        <v>2.4039372700000006</v>
      </c>
      <c r="AK204" s="585">
        <f>+[6]ธ.ค.58!$J$416/10^6</f>
        <v>2.5002543000000004</v>
      </c>
      <c r="AL204" s="585">
        <f>+[6]ม.ค.59!$J$416/10^6</f>
        <v>2.6870617299999999</v>
      </c>
      <c r="AM204" s="585">
        <f>+[6]ก.พ.59!$J$416/10^6</f>
        <v>2.3411871699999995</v>
      </c>
      <c r="AN204" s="585">
        <f>+[6]มี.ค.59!$J$416/10^6</f>
        <v>2.6974091800000002</v>
      </c>
      <c r="AO204" s="585">
        <f>+[6]เม.ย.59!$J$416/10^6</f>
        <v>2.12491399</v>
      </c>
      <c r="AP204" s="585">
        <f>+[6]พ.ค.59!$J$416/10^6</f>
        <v>2.2592561699999996</v>
      </c>
      <c r="AQ204" s="585">
        <f>+[6]มิ.ย.59!$J$416/10^6</f>
        <v>2.5222010199999993</v>
      </c>
      <c r="AR204" s="585">
        <f>+[6]ก.ค.59!$J$416/10^6</f>
        <v>2.3482912799999998</v>
      </c>
      <c r="AS204" s="585">
        <f>+[6]ส.ค.59!$J$416/10^6</f>
        <v>3.1243384399999998</v>
      </c>
      <c r="AT204" s="585">
        <f>+[6]ก.ย.59!$J$416/10^6</f>
        <v>1.7924631299999991</v>
      </c>
      <c r="AU204" s="586">
        <f t="shared" si="24"/>
        <v>29.567412159999996</v>
      </c>
    </row>
    <row r="205" spans="1:47" s="478" customFormat="1" x14ac:dyDescent="0.2">
      <c r="A205" s="474">
        <v>1008</v>
      </c>
      <c r="B205" s="475" t="s">
        <v>47</v>
      </c>
      <c r="C205" s="579">
        <f>+[2]ต.ค.59!$K$423/10^6</f>
        <v>1.0540850500000001</v>
      </c>
      <c r="D205" s="579">
        <f>+[2]พ.ย.59!$K$423/10^6</f>
        <v>0.96969540999999981</v>
      </c>
      <c r="E205" s="579">
        <f>+[2]ธ.ค.59!$K$423/10^6</f>
        <v>1.1470850799999999</v>
      </c>
      <c r="F205" s="579">
        <f>+[2]ม.ค.60!$K$423/10^6</f>
        <v>0.86163213999999988</v>
      </c>
      <c r="G205" s="579">
        <f>+[2]ก.พ.60!$K$423/10^6</f>
        <v>0.93898509999999991</v>
      </c>
      <c r="H205" s="579">
        <f>+[2]มี.ค.60!$K$423/10^6</f>
        <v>1.0098317999999999</v>
      </c>
      <c r="I205" s="579">
        <f>+[2]เม.ย.60!$K$423/10^6</f>
        <v>0.97628800000000016</v>
      </c>
      <c r="J205" s="579">
        <f>+[2]พ.ค.60!$K$423/10^6</f>
        <v>0.93626854000000015</v>
      </c>
      <c r="K205" s="579">
        <f>+[2]มิ.ย.60!$K$423/10^6</f>
        <v>1.0179731700000001</v>
      </c>
      <c r="L205" s="579">
        <f>+[2]ก.ค.60!$K$423/10^6</f>
        <v>1.0407246000000001</v>
      </c>
      <c r="M205" s="579">
        <f>+[2]ส.ค.60!$K$423/10^6</f>
        <v>1.0676963999999998</v>
      </c>
      <c r="N205" s="579">
        <f>+[2]ก.ย.60!$K$423/10^6</f>
        <v>1.1101775200000004</v>
      </c>
      <c r="O205" s="580">
        <f t="shared" si="22"/>
        <v>12.13044281</v>
      </c>
      <c r="P205" s="581"/>
      <c r="Q205" s="476">
        <v>1008</v>
      </c>
      <c r="R205" s="477" t="s">
        <v>47</v>
      </c>
      <c r="S205" s="582">
        <f>+[5]ค่าใช้จ่ายดำเนินงาน!B73/10^6</f>
        <v>0.95327300000000004</v>
      </c>
      <c r="T205" s="582">
        <f>+[5]ค่าใช้จ่ายดำเนินงาน!C73/10^6</f>
        <v>1.079583</v>
      </c>
      <c r="U205" s="582">
        <f>+[5]ค่าใช้จ่ายดำเนินงาน!D73/10^6</f>
        <v>1.0757190000000001</v>
      </c>
      <c r="V205" s="582">
        <f>+[5]ค่าใช้จ่ายดำเนินงาน!E73/10^6</f>
        <v>1.0814649999999999</v>
      </c>
      <c r="W205" s="582">
        <f>+[5]ค่าใช้จ่ายดำเนินงาน!F73/10^6</f>
        <v>1.1032230000000001</v>
      </c>
      <c r="X205" s="582">
        <f>+[5]ค่าใช้จ่ายดำเนินงาน!G73/10^6</f>
        <v>1.214391</v>
      </c>
      <c r="Y205" s="582">
        <f>+[5]ค่าใช้จ่ายดำเนินงาน!H73/10^6</f>
        <v>1.1033010000000001</v>
      </c>
      <c r="Z205" s="582">
        <f>+[5]ค่าใช้จ่ายดำเนินงาน!I73/10^6</f>
        <v>1.135097</v>
      </c>
      <c r="AA205" s="582">
        <f>+[5]ค่าใช้จ่ายดำเนินงาน!J73/10^6</f>
        <v>1.1699740000000001</v>
      </c>
      <c r="AB205" s="582">
        <f>+[5]ค่าใช้จ่ายดำเนินงาน!K73/10^6</f>
        <v>1.1813990000000001</v>
      </c>
      <c r="AC205" s="582">
        <f>+[5]ค่าใช้จ่ายดำเนินงาน!L73/10^6</f>
        <v>1.1186780000000001</v>
      </c>
      <c r="AD205" s="582">
        <f>+[5]ค่าใช้จ่ายดำเนินงาน!M73/10^6</f>
        <v>1.2117739999999999</v>
      </c>
      <c r="AE205" s="583">
        <f t="shared" si="23"/>
        <v>13.427877000000001</v>
      </c>
      <c r="AF205" s="584">
        <f>+[5]ค่าใช้จ่ายดำเนินงาน!AO73/10^6</f>
        <v>13.42788</v>
      </c>
      <c r="AG205" s="479">
        <v>1008</v>
      </c>
      <c r="AH205" s="480" t="s">
        <v>47</v>
      </c>
      <c r="AI205" s="585">
        <f>+[6]ต.ค.58!$K$416/10^6</f>
        <v>0.88388347</v>
      </c>
      <c r="AJ205" s="585">
        <f>+[6]พ.ย.58!$K$416/10^6</f>
        <v>1.0645957899999998</v>
      </c>
      <c r="AK205" s="585">
        <f>+[6]ธ.ค.58!$K$416/10^6</f>
        <v>1.0092266399999998</v>
      </c>
      <c r="AL205" s="585">
        <f>+[6]ม.ค.59!$K$416/10^6</f>
        <v>1.0361366599999997</v>
      </c>
      <c r="AM205" s="585">
        <f>+[6]ก.พ.59!$K$416/10^6</f>
        <v>1.1049902700000001</v>
      </c>
      <c r="AN205" s="585">
        <f>+[6]มี.ค.59!$K$416/10^6</f>
        <v>1.2084945499999999</v>
      </c>
      <c r="AO205" s="585">
        <f>+[6]เม.ย.59!$K$416/10^6</f>
        <v>1.0760013799999999</v>
      </c>
      <c r="AP205" s="585">
        <f>+[6]พ.ค.59!$K$416/10^6</f>
        <v>1.0970516299999999</v>
      </c>
      <c r="AQ205" s="585">
        <f>+[6]มิ.ย.59!$K$416/10^6</f>
        <v>1.0747145300000003</v>
      </c>
      <c r="AR205" s="585">
        <f>+[6]ก.ค.59!$K$416/10^6</f>
        <v>0.99596702000000004</v>
      </c>
      <c r="AS205" s="585">
        <f>+[6]ส.ค.59!$K$416/10^6</f>
        <v>0.98055031000000004</v>
      </c>
      <c r="AT205" s="585">
        <f>+[6]ก.ย.59!$K$416/10^6</f>
        <v>1.2516732099999999</v>
      </c>
      <c r="AU205" s="586">
        <f t="shared" si="24"/>
        <v>12.783285459999998</v>
      </c>
    </row>
    <row r="206" spans="1:47" s="478" customFormat="1" x14ac:dyDescent="0.2">
      <c r="A206" s="474">
        <v>1009</v>
      </c>
      <c r="B206" s="475" t="s">
        <v>48</v>
      </c>
      <c r="C206" s="579">
        <f>+[2]ต.ค.59!$L$423/10^6</f>
        <v>0.87427484000000011</v>
      </c>
      <c r="D206" s="579">
        <f>+[2]พ.ย.59!$L$423/10^6</f>
        <v>0.89729745000000005</v>
      </c>
      <c r="E206" s="579">
        <f>+[2]ธ.ค.59!$L$423/10^6</f>
        <v>1.0894944700000002</v>
      </c>
      <c r="F206" s="579">
        <f>+[2]ม.ค.60!$L$423/10^6</f>
        <v>0.91024853000000006</v>
      </c>
      <c r="G206" s="579">
        <f>+[2]ก.พ.60!$L$423/10^6</f>
        <v>0.89768084999999997</v>
      </c>
      <c r="H206" s="579">
        <f>+[2]มี.ค.60!$L$423/10^6</f>
        <v>1.0020404499999997</v>
      </c>
      <c r="I206" s="579">
        <f>+[2]เม.ย.60!$L$423/10^6</f>
        <v>0.91356322999999995</v>
      </c>
      <c r="J206" s="579">
        <f>+[2]พ.ค.60!$L$423/10^6</f>
        <v>0.95168834999999985</v>
      </c>
      <c r="K206" s="579">
        <f>+[2]มิ.ย.60!$L$423/10^6</f>
        <v>0.93579648999999998</v>
      </c>
      <c r="L206" s="579">
        <f>+[2]ก.ค.60!$L$423/10^6</f>
        <v>0.91546402000000004</v>
      </c>
      <c r="M206" s="579">
        <f>+[2]ส.ค.60!$L$423/10^6</f>
        <v>0.90855110999999988</v>
      </c>
      <c r="N206" s="579">
        <f>+[2]ก.ย.60!$L$423/10^6</f>
        <v>1.0710437499999999</v>
      </c>
      <c r="O206" s="580">
        <f t="shared" si="22"/>
        <v>11.367143539999999</v>
      </c>
      <c r="P206" s="581"/>
      <c r="Q206" s="476">
        <v>1009</v>
      </c>
      <c r="R206" s="477" t="s">
        <v>48</v>
      </c>
      <c r="S206" s="582">
        <f>+[5]ค่าใช้จ่ายดำเนินงาน!B74/10^6</f>
        <v>1.004464</v>
      </c>
      <c r="T206" s="582">
        <f>+[5]ค่าใช้จ่ายดำเนินงาน!C74/10^6</f>
        <v>0.918435</v>
      </c>
      <c r="U206" s="582">
        <f>+[5]ค่าใช้จ่ายดำเนินงาน!D74/10^6</f>
        <v>0.96592</v>
      </c>
      <c r="V206" s="582">
        <f>+[5]ค่าใช้จ่ายดำเนินงาน!E74/10^6</f>
        <v>1.046217</v>
      </c>
      <c r="W206" s="582">
        <f>+[5]ค่าใช้จ่ายดำเนินงาน!F74/10^6</f>
        <v>0.99701799999999996</v>
      </c>
      <c r="X206" s="582">
        <f>+[5]ค่าใช้จ่ายดำเนินงาน!G74/10^6</f>
        <v>0.98669899999999999</v>
      </c>
      <c r="Y206" s="582">
        <f>+[5]ค่าใช้จ่ายดำเนินงาน!H74/10^6</f>
        <v>0.949156</v>
      </c>
      <c r="Z206" s="582">
        <f>+[5]ค่าใช้จ่ายดำเนินงาน!I74/10^6</f>
        <v>1.0570870000000001</v>
      </c>
      <c r="AA206" s="582">
        <f>+[5]ค่าใช้จ่ายดำเนินงาน!J74/10^6</f>
        <v>1.0522959999999999</v>
      </c>
      <c r="AB206" s="582">
        <f>+[5]ค่าใช้จ่ายดำเนินงาน!K74/10^6</f>
        <v>0.99802199999999996</v>
      </c>
      <c r="AC206" s="582">
        <f>+[5]ค่าใช้จ่ายดำเนินงาน!L74/10^6</f>
        <v>1.1063130000000001</v>
      </c>
      <c r="AD206" s="582">
        <f>+[5]ค่าใช้จ่ายดำเนินงาน!M74/10^6</f>
        <v>1.0111650000000001</v>
      </c>
      <c r="AE206" s="583">
        <f t="shared" si="23"/>
        <v>12.092792000000001</v>
      </c>
      <c r="AF206" s="584">
        <f>+[5]ค่าใช้จ่ายดำเนินงาน!AO74/10^6</f>
        <v>12.092790000000001</v>
      </c>
      <c r="AG206" s="479">
        <v>1009</v>
      </c>
      <c r="AH206" s="480" t="s">
        <v>48</v>
      </c>
      <c r="AI206" s="585">
        <f>+[6]ต.ค.58!$L$416/10^6</f>
        <v>0.98139747999999993</v>
      </c>
      <c r="AJ206" s="585">
        <f>+[6]พ.ย.58!$L$416/10^6</f>
        <v>0.87234332000000003</v>
      </c>
      <c r="AK206" s="585">
        <f>+[6]ธ.ค.58!$L$416/10^6</f>
        <v>0.88881756000000012</v>
      </c>
      <c r="AL206" s="585">
        <f>+[6]ม.ค.59!$L$416/10^6</f>
        <v>0.87784121999999998</v>
      </c>
      <c r="AM206" s="585">
        <f>+[6]ก.พ.59!$L$416/10^6</f>
        <v>0.95450908000000023</v>
      </c>
      <c r="AN206" s="585">
        <f>+[6]มี.ค.59!$L$416/10^6</f>
        <v>0.93470149999999985</v>
      </c>
      <c r="AO206" s="585">
        <f>+[6]เม.ย.59!$L$416/10^6</f>
        <v>0.96238478999999977</v>
      </c>
      <c r="AP206" s="585">
        <f>+[6]พ.ค.59!$L$416/10^6</f>
        <v>0.99714610000000015</v>
      </c>
      <c r="AQ206" s="585">
        <f>+[6]มิ.ย.59!$L$416/10^6</f>
        <v>0.99444360999999992</v>
      </c>
      <c r="AR206" s="585">
        <f>+[6]ก.ค.59!$L$416/10^6</f>
        <v>0.91052173999999997</v>
      </c>
      <c r="AS206" s="585">
        <f>+[6]ส.ค.59!$L$416/10^6</f>
        <v>0.97572253999999992</v>
      </c>
      <c r="AT206" s="585">
        <f>+[6]ก.ย.59!$L$416/10^6</f>
        <v>0.87543979999999988</v>
      </c>
      <c r="AU206" s="586">
        <f t="shared" si="24"/>
        <v>11.225268740000001</v>
      </c>
    </row>
    <row r="207" spans="1:47" s="478" customFormat="1" x14ac:dyDescent="0.2">
      <c r="A207" s="474">
        <v>1010</v>
      </c>
      <c r="B207" s="475" t="s">
        <v>49</v>
      </c>
      <c r="C207" s="579">
        <f>+[2]ต.ค.59!$M$423/10^6</f>
        <v>1.16295298</v>
      </c>
      <c r="D207" s="579">
        <f>+[2]พ.ย.59!$M$423/10^6</f>
        <v>1.1293411899999999</v>
      </c>
      <c r="E207" s="579">
        <f>+[2]ธ.ค.59!$M$423/10^6</f>
        <v>1.3525438000000001</v>
      </c>
      <c r="F207" s="579">
        <f>+[2]ม.ค.60!$M$423/10^6</f>
        <v>1.0035644000000001</v>
      </c>
      <c r="G207" s="579">
        <f>+[2]ก.พ.60!$M$423/10^6</f>
        <v>1.00755544</v>
      </c>
      <c r="H207" s="579">
        <f>+[2]มี.ค.60!$M$423/10^6</f>
        <v>1.1205479299999996</v>
      </c>
      <c r="I207" s="579">
        <f>+[2]เม.ย.60!$M$423/10^6</f>
        <v>1.1563712200000003</v>
      </c>
      <c r="J207" s="579">
        <f>+[2]พ.ค.60!$M$423/10^6</f>
        <v>1.1189005299999999</v>
      </c>
      <c r="K207" s="579">
        <f>+[2]มิ.ย.60!$M$423/10^6</f>
        <v>1.1152346000000002</v>
      </c>
      <c r="L207" s="579">
        <f>+[2]ก.ค.60!$M$423/10^6</f>
        <v>1.1817306999999999</v>
      </c>
      <c r="M207" s="579">
        <f>+[2]ส.ค.60!$M$423/10^6</f>
        <v>1.2032175799999998</v>
      </c>
      <c r="N207" s="579">
        <f>+[2]ก.ย.60!$M$423/10^6</f>
        <v>1.3766850900000001</v>
      </c>
      <c r="O207" s="580">
        <f t="shared" si="22"/>
        <v>13.928645460000002</v>
      </c>
      <c r="P207" s="581"/>
      <c r="Q207" s="476">
        <v>1010</v>
      </c>
      <c r="R207" s="477" t="s">
        <v>49</v>
      </c>
      <c r="S207" s="582">
        <f>+[5]ค่าใช้จ่ายดำเนินงาน!B75/10^6</f>
        <v>1.2167920000000001</v>
      </c>
      <c r="T207" s="582">
        <f>+[5]ค่าใช้จ่ายดำเนินงาน!C75/10^6</f>
        <v>1.201397</v>
      </c>
      <c r="U207" s="582">
        <f>+[5]ค่าใช้จ่ายดำเนินงาน!D75/10^6</f>
        <v>1.1506689999999999</v>
      </c>
      <c r="V207" s="582">
        <f>+[5]ค่าใช้จ่ายดำเนินงาน!E75/10^6</f>
        <v>1.1728989999999999</v>
      </c>
      <c r="W207" s="582">
        <f>+[5]ค่าใช้จ่ายดำเนินงาน!F75/10^6</f>
        <v>1.243997</v>
      </c>
      <c r="X207" s="582">
        <f>+[5]ค่าใช้จ่ายดำเนินงาน!G75/10^6</f>
        <v>1.2562979999999999</v>
      </c>
      <c r="Y207" s="582">
        <f>+[5]ค่าใช้จ่ายดำเนินงาน!H75/10^6</f>
        <v>1.20729</v>
      </c>
      <c r="Z207" s="582">
        <f>+[5]ค่าใช้จ่ายดำเนินงาน!I75/10^6</f>
        <v>1.2776050000000001</v>
      </c>
      <c r="AA207" s="582">
        <f>+[5]ค่าใช้จ่ายดำเนินงาน!J75/10^6</f>
        <v>1.3336460000000001</v>
      </c>
      <c r="AB207" s="582">
        <f>+[5]ค่าใช้จ่ายดำเนินงาน!K75/10^6</f>
        <v>1.2423360000000001</v>
      </c>
      <c r="AC207" s="582">
        <f>+[5]ค่าใช้จ่ายดำเนินงาน!L75/10^6</f>
        <v>1.362052</v>
      </c>
      <c r="AD207" s="582">
        <f>+[5]ค่าใช้จ่ายดำเนินงาน!M75/10^6</f>
        <v>1.427128</v>
      </c>
      <c r="AE207" s="583">
        <f t="shared" si="23"/>
        <v>15.092108999999999</v>
      </c>
      <c r="AF207" s="584">
        <f>+[5]ค่าใช้จ่ายดำเนินงาน!AO75/10^6</f>
        <v>15.09211</v>
      </c>
      <c r="AG207" s="479">
        <v>1010</v>
      </c>
      <c r="AH207" s="480" t="s">
        <v>49</v>
      </c>
      <c r="AI207" s="585">
        <f>+[6]ต.ค.58!$M$416/10^6</f>
        <v>1.2192816500000001</v>
      </c>
      <c r="AJ207" s="585">
        <f>+[6]พ.ย.58!$M$416/10^6</f>
        <v>1.1836068400000002</v>
      </c>
      <c r="AK207" s="585">
        <f>+[6]ธ.ค.58!$M$416/10^6</f>
        <v>1.1678554800000001</v>
      </c>
      <c r="AL207" s="585">
        <f>+[6]ม.ค.59!$M$416/10^6</f>
        <v>1.2045776499999998</v>
      </c>
      <c r="AM207" s="585">
        <f>+[6]ก.พ.59!$M$416/10^6</f>
        <v>1.1515949000000001</v>
      </c>
      <c r="AN207" s="585">
        <f>+[6]มี.ค.59!$M$416/10^6</f>
        <v>1.25444877</v>
      </c>
      <c r="AO207" s="585">
        <f>+[6]เม.ย.59!$M$416/10^6</f>
        <v>1.12819677</v>
      </c>
      <c r="AP207" s="585">
        <f>+[6]พ.ค.59!$M$416/10^6</f>
        <v>1.2165173200000001</v>
      </c>
      <c r="AQ207" s="585">
        <f>+[6]มิ.ย.59!$M$416/10^6</f>
        <v>1.28932307</v>
      </c>
      <c r="AR207" s="585">
        <f>+[6]ก.ค.59!$M$416/10^6</f>
        <v>1.1464895699999997</v>
      </c>
      <c r="AS207" s="585">
        <f>+[6]ส.ค.59!$M$416/10^6</f>
        <v>1.34429613</v>
      </c>
      <c r="AT207" s="585">
        <f>+[6]ก.ย.59!$M$416/10^6</f>
        <v>1.4946745500000005</v>
      </c>
      <c r="AU207" s="586">
        <f t="shared" si="24"/>
        <v>14.800862700000001</v>
      </c>
    </row>
    <row r="208" spans="1:47" s="478" customFormat="1" x14ac:dyDescent="0.2">
      <c r="A208" s="474">
        <v>1011</v>
      </c>
      <c r="B208" s="475" t="s">
        <v>50</v>
      </c>
      <c r="C208" s="579">
        <f>+[2]ต.ค.59!$N$423/10^6</f>
        <v>0.9161184400000002</v>
      </c>
      <c r="D208" s="579">
        <f>+[2]พ.ย.59!$N$423/10^6</f>
        <v>0.83542892000000002</v>
      </c>
      <c r="E208" s="579">
        <f>+[2]ธ.ค.59!$N$423/10^6</f>
        <v>1.1014691500000002</v>
      </c>
      <c r="F208" s="579">
        <f>+[2]ม.ค.60!$N$423/10^6</f>
        <v>0.85185299000000014</v>
      </c>
      <c r="G208" s="579">
        <f>+[2]ก.พ.60!$N$423/10^6</f>
        <v>0.78475335000000013</v>
      </c>
      <c r="H208" s="579">
        <f>+[2]มี.ค.60!$N$423/10^6</f>
        <v>0.96170977999999996</v>
      </c>
      <c r="I208" s="579">
        <f>+[2]เม.ย.60!$N$423/10^6</f>
        <v>0.85916722000000012</v>
      </c>
      <c r="J208" s="579">
        <f>+[2]พ.ค.60!$N$423/10^6</f>
        <v>0.97103474000000012</v>
      </c>
      <c r="K208" s="579">
        <f>+[2]มิ.ย.60!$N$423/10^6</f>
        <v>0.93529273999999996</v>
      </c>
      <c r="L208" s="579">
        <f>+[2]ก.ค.60!$N$423/10^6</f>
        <v>1.00981571</v>
      </c>
      <c r="M208" s="579">
        <f>+[2]ส.ค.60!$N$423/10^6</f>
        <v>0.92973565000000002</v>
      </c>
      <c r="N208" s="579">
        <f>+[2]ก.ย.60!$N$423/10^6</f>
        <v>1.03162924</v>
      </c>
      <c r="O208" s="580">
        <f t="shared" si="22"/>
        <v>11.188007930000001</v>
      </c>
      <c r="P208" s="581"/>
      <c r="Q208" s="476">
        <v>1011</v>
      </c>
      <c r="R208" s="477" t="s">
        <v>50</v>
      </c>
      <c r="S208" s="582">
        <f>+[5]ค่าใช้จ่ายดำเนินงาน!B76/10^6</f>
        <v>0.90275000000000005</v>
      </c>
      <c r="T208" s="582">
        <f>+[5]ค่าใช้จ่ายดำเนินงาน!C76/10^6</f>
        <v>0.90945699999999996</v>
      </c>
      <c r="U208" s="582">
        <f>+[5]ค่าใช้จ่ายดำเนินงาน!D76/10^6</f>
        <v>0.91732800000000003</v>
      </c>
      <c r="V208" s="582">
        <f>+[5]ค่าใช้จ่ายดำเนินงาน!E76/10^6</f>
        <v>0.89419800000000005</v>
      </c>
      <c r="W208" s="582">
        <f>+[5]ค่าใช้จ่ายดำเนินงาน!F76/10^6</f>
        <v>0.92661800000000005</v>
      </c>
      <c r="X208" s="582">
        <f>+[5]ค่าใช้จ่ายดำเนินงาน!G76/10^6</f>
        <v>0.95470299999999997</v>
      </c>
      <c r="Y208" s="582">
        <f>+[5]ค่าใช้จ่ายดำเนินงาน!H76/10^6</f>
        <v>0.94011800000000001</v>
      </c>
      <c r="Z208" s="582">
        <f>+[5]ค่าใช้จ่ายดำเนินงาน!I76/10^6</f>
        <v>1.001501</v>
      </c>
      <c r="AA208" s="582">
        <f>+[5]ค่าใช้จ่ายดำเนินงาน!J76/10^6</f>
        <v>1.1912419999999999</v>
      </c>
      <c r="AB208" s="582">
        <f>+[5]ค่าใช้จ่ายดำเนินงาน!K76/10^6</f>
        <v>0.89990400000000004</v>
      </c>
      <c r="AC208" s="582">
        <f>+[5]ค่าใช้จ่ายดำเนินงาน!L76/10^6</f>
        <v>1.0303439999999999</v>
      </c>
      <c r="AD208" s="582">
        <f>+[5]ค่าใช้จ่ายดำเนินงาน!M76/10^6</f>
        <v>1.012751</v>
      </c>
      <c r="AE208" s="583">
        <f t="shared" si="23"/>
        <v>11.580913999999998</v>
      </c>
      <c r="AF208" s="584">
        <f>+[5]ค่าใช้จ่ายดำเนินงาน!AO76/10^6</f>
        <v>11.580920000000001</v>
      </c>
      <c r="AG208" s="479">
        <v>1011</v>
      </c>
      <c r="AH208" s="480" t="s">
        <v>50</v>
      </c>
      <c r="AI208" s="585">
        <f>+[6]ต.ค.58!$N$416/10^6</f>
        <v>0.87869061000000015</v>
      </c>
      <c r="AJ208" s="585">
        <f>+[6]พ.ย.58!$N$416/10^6</f>
        <v>0.92252042000000001</v>
      </c>
      <c r="AK208" s="585">
        <f>+[6]ธ.ค.58!$N$416/10^6</f>
        <v>0.93329696000000006</v>
      </c>
      <c r="AL208" s="585">
        <f>+[6]ม.ค.59!$N$416/10^6</f>
        <v>0.85454890000000006</v>
      </c>
      <c r="AM208" s="585">
        <f>+[6]ก.พ.59!$N$416/10^6</f>
        <v>0.90385101000000001</v>
      </c>
      <c r="AN208" s="585">
        <f>+[6]มี.ค.59!$N$416/10^6</f>
        <v>0.86932840000000011</v>
      </c>
      <c r="AO208" s="585">
        <f>+[6]เม.ย.59!$N$416/10^6</f>
        <v>0.91338374</v>
      </c>
      <c r="AP208" s="585">
        <f>+[6]พ.ค.59!$N$416/10^6</f>
        <v>0.94869651999999993</v>
      </c>
      <c r="AQ208" s="585">
        <f>+[6]มิ.ย.59!$N$416/10^6</f>
        <v>0.93638054999999987</v>
      </c>
      <c r="AR208" s="585">
        <f>+[6]ก.ค.59!$N$416/10^6</f>
        <v>0.81420378999999998</v>
      </c>
      <c r="AS208" s="585">
        <f>+[6]ส.ค.59!$N$416/10^6</f>
        <v>0.95902466000000008</v>
      </c>
      <c r="AT208" s="585">
        <f>+[6]ก.ย.59!$N$416/10^6</f>
        <v>0.90344720999999972</v>
      </c>
      <c r="AU208" s="586">
        <f t="shared" si="24"/>
        <v>10.837372770000002</v>
      </c>
    </row>
    <row r="209" spans="1:47" s="478" customFormat="1" x14ac:dyDescent="0.2">
      <c r="A209" s="474">
        <v>1012</v>
      </c>
      <c r="B209" s="475" t="s">
        <v>51</v>
      </c>
      <c r="C209" s="579">
        <f>+[2]ต.ค.59!$O$423/10^6</f>
        <v>1.8631266799999999</v>
      </c>
      <c r="D209" s="579">
        <f>+[2]พ.ย.59!$O$423/10^6</f>
        <v>2.2994842800000002</v>
      </c>
      <c r="E209" s="579">
        <f>+[2]ธ.ค.59!$O$423/10^6</f>
        <v>2.2898876100000001</v>
      </c>
      <c r="F209" s="579">
        <f>+[2]ม.ค.60!$O$423/10^6</f>
        <v>1.7501095800000002</v>
      </c>
      <c r="G209" s="579">
        <f>+[2]ก.พ.60!$O$423/10^6</f>
        <v>2.1700848799999992</v>
      </c>
      <c r="H209" s="579">
        <f>+[2]มี.ค.60!$O$423/10^6</f>
        <v>2.26665721</v>
      </c>
      <c r="I209" s="579">
        <f>+[2]เม.ย.60!$O$423/10^6</f>
        <v>2.0158747699999995</v>
      </c>
      <c r="J209" s="579">
        <f>+[2]พ.ค.60!$O$423/10^6</f>
        <v>2.27943271</v>
      </c>
      <c r="K209" s="579">
        <f>+[2]มิ.ย.60!$O$423/10^6</f>
        <v>2.0482590999999997</v>
      </c>
      <c r="L209" s="579">
        <f>+[2]ก.ค.60!$O$423/10^6</f>
        <v>2.4127286799999998</v>
      </c>
      <c r="M209" s="579">
        <f>+[2]ส.ค.60!$O$423/10^6</f>
        <v>2.3041844899999999</v>
      </c>
      <c r="N209" s="579">
        <f>+[2]ก.ย.60!$O$423/10^6</f>
        <v>2.48675172</v>
      </c>
      <c r="O209" s="580">
        <f t="shared" si="22"/>
        <v>26.186581709999999</v>
      </c>
      <c r="P209" s="581"/>
      <c r="Q209" s="476">
        <v>1012</v>
      </c>
      <c r="R209" s="477" t="s">
        <v>51</v>
      </c>
      <c r="S209" s="582">
        <f>+[5]ค่าใช้จ่ายดำเนินงาน!B77/10^6</f>
        <v>1.9860640000000001</v>
      </c>
      <c r="T209" s="582">
        <f>+[5]ค่าใช้จ่ายดำเนินงาน!C77/10^6</f>
        <v>2.0621529999999999</v>
      </c>
      <c r="U209" s="582">
        <f>+[5]ค่าใช้จ่ายดำเนินงาน!D77/10^6</f>
        <v>1.9961409999999999</v>
      </c>
      <c r="V209" s="582">
        <f>+[5]ค่าใช้จ่ายดำเนินงาน!E77/10^6</f>
        <v>1.9947569999999999</v>
      </c>
      <c r="W209" s="582">
        <f>+[5]ค่าใช้จ่ายดำเนินงาน!F77/10^6</f>
        <v>2.0190619999999999</v>
      </c>
      <c r="X209" s="582">
        <f>+[5]ค่าใช้จ่ายดำเนินงาน!G77/10^6</f>
        <v>2.09091</v>
      </c>
      <c r="Y209" s="582">
        <f>+[5]ค่าใช้จ่ายดำเนินงาน!H77/10^6</f>
        <v>2.0422189999999998</v>
      </c>
      <c r="Z209" s="582">
        <f>+[5]ค่าใช้จ่ายดำเนินงาน!I77/10^6</f>
        <v>2.1559919999999999</v>
      </c>
      <c r="AA209" s="582">
        <f>+[5]ค่าใช้จ่ายดำเนินงาน!J77/10^6</f>
        <v>1.9292389999999999</v>
      </c>
      <c r="AB209" s="582">
        <f>+[5]ค่าใช้จ่ายดำเนินงาน!K77/10^6</f>
        <v>2.058135</v>
      </c>
      <c r="AC209" s="582">
        <f>+[5]ค่าใช้จ่ายดำเนินงาน!L77/10^6</f>
        <v>2.1090179999999998</v>
      </c>
      <c r="AD209" s="582">
        <f>+[5]ค่าใช้จ่ายดำเนินงาน!M77/10^6</f>
        <v>2.533083</v>
      </c>
      <c r="AE209" s="583">
        <f t="shared" si="23"/>
        <v>24.976772999999998</v>
      </c>
      <c r="AF209" s="584">
        <f>+[5]ค่าใช้จ่ายดำเนินงาน!AO77/10^6</f>
        <v>24.976769999999998</v>
      </c>
      <c r="AG209" s="479">
        <v>1012</v>
      </c>
      <c r="AH209" s="480" t="s">
        <v>51</v>
      </c>
      <c r="AI209" s="585">
        <f>+[6]ต.ค.58!$O$416/10^6</f>
        <v>1.8628759300000004</v>
      </c>
      <c r="AJ209" s="585">
        <f>+[6]พ.ย.58!$O$416/10^6</f>
        <v>1.98391647</v>
      </c>
      <c r="AK209" s="585">
        <f>+[6]ธ.ค.58!$O$416/10^6</f>
        <v>2.0314326</v>
      </c>
      <c r="AL209" s="585">
        <f>+[6]ม.ค.59!$O$416/10^6</f>
        <v>1.8752655200000004</v>
      </c>
      <c r="AM209" s="585">
        <f>+[6]ก.พ.59!$O$416/10^6</f>
        <v>1.93540991</v>
      </c>
      <c r="AN209" s="585">
        <f>+[6]มี.ค.59!$O$416/10^6</f>
        <v>2.0899681600000002</v>
      </c>
      <c r="AO209" s="585">
        <f>+[6]เม.ย.59!$O$416/10^6</f>
        <v>2.1669449300000005</v>
      </c>
      <c r="AP209" s="585">
        <f>+[6]พ.ค.59!$O$416/10^6</f>
        <v>2.3610808400000001</v>
      </c>
      <c r="AQ209" s="585">
        <f>+[6]มิ.ย.59!$O$416/10^6</f>
        <v>1.7384858999999999</v>
      </c>
      <c r="AR209" s="585">
        <f>+[6]ก.ค.59!$O$416/10^6</f>
        <v>1.8983431300000002</v>
      </c>
      <c r="AS209" s="585">
        <f>+[6]ส.ค.59!$O$416/10^6</f>
        <v>2.0618028699999997</v>
      </c>
      <c r="AT209" s="585">
        <f>+[6]ก.ย.59!$O$416/10^6</f>
        <v>1.8022456900000003</v>
      </c>
      <c r="AU209" s="586">
        <f t="shared" si="24"/>
        <v>23.807771950000003</v>
      </c>
    </row>
    <row r="210" spans="1:47" s="478" customFormat="1" x14ac:dyDescent="0.2">
      <c r="A210" s="474">
        <v>1013</v>
      </c>
      <c r="B210" s="475" t="s">
        <v>52</v>
      </c>
      <c r="C210" s="579">
        <f>+[2]ต.ค.59!$P$423/10^6</f>
        <v>0.29691940999999999</v>
      </c>
      <c r="D210" s="579">
        <f>+[2]พ.ย.59!$P$423/10^6</f>
        <v>0.29194260999999999</v>
      </c>
      <c r="E210" s="579">
        <f>+[2]ธ.ค.59!$P$423/10^6</f>
        <v>0.46194679</v>
      </c>
      <c r="F210" s="579">
        <f>+[2]ม.ค.60!$P$423/10^6</f>
        <v>0.29239462999999993</v>
      </c>
      <c r="G210" s="579">
        <f>+[2]ก.พ.60!$P$423/10^6</f>
        <v>0.33233063000000002</v>
      </c>
      <c r="H210" s="579">
        <f>+[2]มี.ค.60!$P$423/10^6</f>
        <v>0.38847378999999999</v>
      </c>
      <c r="I210" s="579">
        <f>+[2]เม.ย.60!$P$423/10^6</f>
        <v>0.38975214000000002</v>
      </c>
      <c r="J210" s="579">
        <f>+[2]พ.ค.60!$P$423/10^6</f>
        <v>0.39856014999999995</v>
      </c>
      <c r="K210" s="579">
        <f>+[2]มิ.ย.60!$P$423/10^6</f>
        <v>0.36807790000000001</v>
      </c>
      <c r="L210" s="579">
        <f>+[2]ก.ค.60!$P$423/10^6</f>
        <v>0.37191096999999995</v>
      </c>
      <c r="M210" s="579">
        <f>+[2]ส.ค.60!$P$423/10^6</f>
        <v>0.38370525999999994</v>
      </c>
      <c r="N210" s="579">
        <f>+[2]ก.ย.60!$P$423/10^6</f>
        <v>0.48950298999999997</v>
      </c>
      <c r="O210" s="580">
        <f t="shared" si="22"/>
        <v>4.4655172699999994</v>
      </c>
      <c r="P210" s="581"/>
      <c r="Q210" s="476">
        <v>1013</v>
      </c>
      <c r="R210" s="477" t="s">
        <v>52</v>
      </c>
      <c r="S210" s="582">
        <f>+[5]ค่าใช้จ่ายดำเนินงาน!B78/10^6</f>
        <v>0.33571899999999999</v>
      </c>
      <c r="T210" s="582">
        <f>+[5]ค่าใช้จ่ายดำเนินงาน!C78/10^6</f>
        <v>0.57530000000000003</v>
      </c>
      <c r="U210" s="582">
        <f>+[5]ค่าใช้จ่ายดำเนินงาน!D78/10^6</f>
        <v>0.394592</v>
      </c>
      <c r="V210" s="582">
        <f>+[5]ค่าใช้จ่ายดำเนินงาน!E78/10^6</f>
        <v>0.36883500000000002</v>
      </c>
      <c r="W210" s="582">
        <f>+[5]ค่าใช้จ่ายดำเนินงาน!F78/10^6</f>
        <v>0.39964499999999997</v>
      </c>
      <c r="X210" s="582">
        <f>+[5]ค่าใช้จ่ายดำเนินงาน!G78/10^6</f>
        <v>0.39297900000000002</v>
      </c>
      <c r="Y210" s="582">
        <f>+[5]ค่าใช้จ่ายดำเนินงาน!H78/10^6</f>
        <v>0.34385500000000002</v>
      </c>
      <c r="Z210" s="582">
        <f>+[5]ค่าใช้จ่ายดำเนินงาน!I78/10^6</f>
        <v>0.35621399999999998</v>
      </c>
      <c r="AA210" s="582">
        <f>+[5]ค่าใช้จ่ายดำเนินงาน!J78/10^6</f>
        <v>0.39479500000000001</v>
      </c>
      <c r="AB210" s="582">
        <f>+[5]ค่าใช้จ่ายดำเนินงาน!K78/10^6</f>
        <v>0.367844</v>
      </c>
      <c r="AC210" s="582">
        <f>+[5]ค่าใช้จ่ายดำเนินงาน!L78/10^6</f>
        <v>0.40697100000000003</v>
      </c>
      <c r="AD210" s="582">
        <f>+[5]ค่าใช้จ่ายดำเนินงาน!M78/10^6</f>
        <v>0.41926200000000002</v>
      </c>
      <c r="AE210" s="583">
        <f t="shared" si="23"/>
        <v>4.756011</v>
      </c>
      <c r="AF210" s="584">
        <f>+[5]ค่าใช้จ่ายดำเนินงาน!AO78/10^6</f>
        <v>4.7560099999999998</v>
      </c>
      <c r="AG210" s="479">
        <v>1013</v>
      </c>
      <c r="AH210" s="480" t="s">
        <v>52</v>
      </c>
      <c r="AI210" s="585">
        <f>+[6]ต.ค.58!$P$416/10^6</f>
        <v>0.36397334999999997</v>
      </c>
      <c r="AJ210" s="585">
        <f>+[6]พ.ย.58!$P$416/10^6</f>
        <v>0.48737103000000004</v>
      </c>
      <c r="AK210" s="585">
        <f>+[6]ธ.ค.58!$P$416/10^6</f>
        <v>0.41725390999999995</v>
      </c>
      <c r="AL210" s="585">
        <f>+[6]ม.ค.59!$P$416/10^6</f>
        <v>0.38719904999999999</v>
      </c>
      <c r="AM210" s="585">
        <f>+[6]ก.พ.59!$P$416/10^6</f>
        <v>0.38970068999999996</v>
      </c>
      <c r="AN210" s="585">
        <f>+[6]มี.ค.59!$P$416/10^6</f>
        <v>0.41612479999999996</v>
      </c>
      <c r="AO210" s="585">
        <f>+[6]เม.ย.59!$P$416/10^6</f>
        <v>0.36057385999999997</v>
      </c>
      <c r="AP210" s="585">
        <f>+[6]พ.ค.59!$P$416/10^6</f>
        <v>0.34982587999999998</v>
      </c>
      <c r="AQ210" s="585">
        <f>+[6]มิ.ย.59!$P$416/10^6</f>
        <v>0.42294643000000004</v>
      </c>
      <c r="AR210" s="585">
        <f>+[6]ก.ค.59!$P$416/10^6</f>
        <v>0.38620521000000002</v>
      </c>
      <c r="AS210" s="585">
        <f>+[6]ส.ค.59!$P$416/10^6</f>
        <v>0.38803984000000002</v>
      </c>
      <c r="AT210" s="585">
        <f>+[6]ก.ย.59!$P$416/10^6</f>
        <v>0.41429508000000004</v>
      </c>
      <c r="AU210" s="586">
        <f t="shared" si="24"/>
        <v>4.7835091300000006</v>
      </c>
    </row>
    <row r="211" spans="1:47" s="478" customFormat="1" x14ac:dyDescent="0.2">
      <c r="A211" s="474">
        <v>1014</v>
      </c>
      <c r="B211" s="475" t="s">
        <v>53</v>
      </c>
      <c r="C211" s="579">
        <f>+[2]ต.ค.59!$Q$423/10^6</f>
        <v>4.1425205400000005</v>
      </c>
      <c r="D211" s="579">
        <f>+[2]พ.ย.59!$Q$423/10^6</f>
        <v>5.7702394299999993</v>
      </c>
      <c r="E211" s="579">
        <f>+[2]ธ.ค.59!$Q$423/10^6</f>
        <v>5.0256641399999999</v>
      </c>
      <c r="F211" s="579">
        <f>+[2]ม.ค.60!$Q$423/10^6</f>
        <v>4.2615151000000004</v>
      </c>
      <c r="G211" s="579">
        <f>+[2]ก.พ.60!$Q$423/10^6</f>
        <v>5.4937372</v>
      </c>
      <c r="H211" s="579">
        <f>+[2]มี.ค.60!$Q$423/10^6</f>
        <v>6.2387600299999999</v>
      </c>
      <c r="I211" s="579">
        <f>+[2]เม.ย.60!$Q$423/10^6</f>
        <v>5.6426715200000004</v>
      </c>
      <c r="J211" s="579">
        <f>+[2]พ.ค.60!$Q$423/10^6</f>
        <v>5.4913377199999998</v>
      </c>
      <c r="K211" s="579">
        <f>+[2]มิ.ย.60!$Q$423/10^6</f>
        <v>6.0767034400000011</v>
      </c>
      <c r="L211" s="579">
        <f>+[2]ก.ค.60!$Q$423/10^6</f>
        <v>5.4306933900000001</v>
      </c>
      <c r="M211" s="579">
        <f>+[2]ส.ค.60!$Q$423/10^6</f>
        <v>5.5529720899999999</v>
      </c>
      <c r="N211" s="579">
        <f>+[2]ก.ย.60!$Q$423/10^6</f>
        <v>6.3823749900000006</v>
      </c>
      <c r="O211" s="580">
        <f t="shared" si="22"/>
        <v>65.509189590000005</v>
      </c>
      <c r="P211" s="581"/>
      <c r="Q211" s="476">
        <v>1014</v>
      </c>
      <c r="R211" s="477" t="s">
        <v>53</v>
      </c>
      <c r="S211" s="582">
        <f>+[5]ค่าใช้จ่ายดำเนินงาน!B79/10^6</f>
        <v>5.2409520000000001</v>
      </c>
      <c r="T211" s="582">
        <f>+[5]ค่าใช้จ่ายดำเนินงาน!C79/10^6</f>
        <v>4.538316</v>
      </c>
      <c r="U211" s="582">
        <f>+[5]ค่าใช้จ่ายดำเนินงาน!D79/10^6</f>
        <v>3.8826939999999999</v>
      </c>
      <c r="V211" s="582">
        <f>+[5]ค่าใช้จ่ายดำเนินงาน!E79/10^6</f>
        <v>4.5912420000000003</v>
      </c>
      <c r="W211" s="582">
        <f>+[5]ค่าใช้จ่ายดำเนินงาน!F79/10^6</f>
        <v>4.4059109999999997</v>
      </c>
      <c r="X211" s="582">
        <f>+[5]ค่าใช้จ่ายดำเนินงาน!G79/10^6</f>
        <v>4.9345939999999997</v>
      </c>
      <c r="Y211" s="582">
        <f>+[5]ค่าใช้จ่ายดำเนินงาน!H79/10^6</f>
        <v>4.7919029999999996</v>
      </c>
      <c r="Z211" s="582">
        <f>+[5]ค่าใช้จ่ายดำเนินงาน!I79/10^6</f>
        <v>4.7606060000000001</v>
      </c>
      <c r="AA211" s="582">
        <f>+[5]ค่าใช้จ่ายดำเนินงาน!J79/10^6</f>
        <v>4.9907820000000003</v>
      </c>
      <c r="AB211" s="582">
        <f>+[5]ค่าใช้จ่ายดำเนินงาน!K79/10^6</f>
        <v>4.6644350000000001</v>
      </c>
      <c r="AC211" s="582">
        <f>+[5]ค่าใช้จ่ายดำเนินงาน!L79/10^6</f>
        <v>4.7415349999999998</v>
      </c>
      <c r="AD211" s="582">
        <f>+[5]ค่าใช้จ่ายดำเนินงาน!M79/10^6</f>
        <v>4.996156</v>
      </c>
      <c r="AE211" s="583">
        <f t="shared" si="23"/>
        <v>56.539126000000003</v>
      </c>
      <c r="AF211" s="584">
        <f>+[5]ค่าใช้จ่ายดำเนินงาน!AO79/10^6</f>
        <v>56.53913</v>
      </c>
      <c r="AG211" s="479">
        <v>1014</v>
      </c>
      <c r="AH211" s="480" t="s">
        <v>53</v>
      </c>
      <c r="AI211" s="585">
        <f>+[6]ต.ค.58!$Q$416/10^6</f>
        <v>6.140070989999999</v>
      </c>
      <c r="AJ211" s="585">
        <f>+[6]พ.ย.58!$Q$416/10^6</f>
        <v>6.1355746999999985</v>
      </c>
      <c r="AK211" s="585">
        <f>+[6]ธ.ค.58!$Q$416/10^6</f>
        <v>6.4203002500000004</v>
      </c>
      <c r="AL211" s="585">
        <f>+[6]ม.ค.59!$Q$416/10^6</f>
        <v>5.6562766799999995</v>
      </c>
      <c r="AM211" s="585">
        <f>+[6]ก.พ.59!$Q$416/10^6</f>
        <v>3.9589558699999996</v>
      </c>
      <c r="AN211" s="585">
        <f>+[6]มี.ค.59!$Q$416/10^6</f>
        <v>5.9020148299999997</v>
      </c>
      <c r="AO211" s="585">
        <f>+[6]เม.ย.59!$Q$416/10^6</f>
        <v>5.8113700100000001</v>
      </c>
      <c r="AP211" s="585">
        <f>+[6]พ.ค.59!$Q$416/10^6</f>
        <v>5.9296159199999998</v>
      </c>
      <c r="AQ211" s="585">
        <f>+[6]มิ.ย.59!$Q$416/10^6</f>
        <v>6.1826538600000003</v>
      </c>
      <c r="AR211" s="585">
        <f>+[6]ก.ค.59!$Q$416/10^6</f>
        <v>5.7854341499999995</v>
      </c>
      <c r="AS211" s="585">
        <f>+[6]ส.ค.59!$Q$416/10^6</f>
        <v>6.2040427199999995</v>
      </c>
      <c r="AT211" s="585">
        <f>+[6]ก.ย.59!$Q$416/10^6</f>
        <v>6.1413020399999994</v>
      </c>
      <c r="AU211" s="586">
        <f t="shared" si="24"/>
        <v>70.267612020000001</v>
      </c>
    </row>
    <row r="212" spans="1:47" s="478" customFormat="1" x14ac:dyDescent="0.2">
      <c r="A212" s="474">
        <v>1015</v>
      </c>
      <c r="B212" s="475" t="s">
        <v>54</v>
      </c>
      <c r="C212" s="579">
        <f>+[2]ต.ค.59!$R$423/10^6</f>
        <v>1.01826638</v>
      </c>
      <c r="D212" s="579">
        <f>+[2]พ.ย.59!$R$423/10^6</f>
        <v>1.1101121099999998</v>
      </c>
      <c r="E212" s="579">
        <f>+[2]ธ.ค.59!$R$423/10^6</f>
        <v>1.1882812200000001</v>
      </c>
      <c r="F212" s="579">
        <f>+[2]ม.ค.60!$R$423/10^6</f>
        <v>1.0906524500000001</v>
      </c>
      <c r="G212" s="579">
        <f>+[2]ก.พ.60!$R$423/10^6</f>
        <v>0.95101996000000022</v>
      </c>
      <c r="H212" s="579">
        <f>+[2]มี.ค.60!$R$423/10^6</f>
        <v>1.2251061500000004</v>
      </c>
      <c r="I212" s="579">
        <f>+[2]เม.ย.60!$R$423/10^6</f>
        <v>1.0143528900000001</v>
      </c>
      <c r="J212" s="579">
        <f>+[2]พ.ค.60!$R$423/10^6</f>
        <v>1.1503413699999998</v>
      </c>
      <c r="K212" s="579">
        <f>+[2]มิ.ย.60!$R$423/10^6</f>
        <v>1.0870856700000002</v>
      </c>
      <c r="L212" s="579">
        <f>+[2]ก.ค.60!$R$423/10^6</f>
        <v>1.02546932</v>
      </c>
      <c r="M212" s="579">
        <f>+[2]ส.ค.60!$R$423/10^6</f>
        <v>1.0855143299999999</v>
      </c>
      <c r="N212" s="579">
        <f>+[2]ก.ย.60!$R$423/10^6</f>
        <v>1.1816589099999999</v>
      </c>
      <c r="O212" s="580">
        <f t="shared" si="22"/>
        <v>13.127860759999999</v>
      </c>
      <c r="P212" s="581"/>
      <c r="Q212" s="476">
        <v>1015</v>
      </c>
      <c r="R212" s="477" t="s">
        <v>54</v>
      </c>
      <c r="S212" s="582">
        <f>+[5]ค่าใช้จ่ายดำเนินงาน!B80/10^6</f>
        <v>0.98304899999999995</v>
      </c>
      <c r="T212" s="582">
        <f>+[5]ค่าใช้จ่ายดำเนินงาน!C80/10^6</f>
        <v>1.0411159999999999</v>
      </c>
      <c r="U212" s="582">
        <f>+[5]ค่าใช้จ่ายดำเนินงาน!D80/10^6</f>
        <v>1.0877810000000001</v>
      </c>
      <c r="V212" s="582">
        <f>+[5]ค่าใช้จ่ายดำเนินงาน!E80/10^6</f>
        <v>0.99338400000000004</v>
      </c>
      <c r="W212" s="582">
        <f>+[5]ค่าใช้จ่ายดำเนินงาน!F80/10^6</f>
        <v>1.0112969999999999</v>
      </c>
      <c r="X212" s="582">
        <f>+[5]ค่าใช้จ่ายดำเนินงาน!G80/10^6</f>
        <v>1.0276670000000001</v>
      </c>
      <c r="Y212" s="582">
        <f>+[5]ค่าใช้จ่ายดำเนินงาน!H80/10^6</f>
        <v>0.92871599999999999</v>
      </c>
      <c r="Z212" s="582">
        <f>+[5]ค่าใช้จ่ายดำเนินงาน!I80/10^6</f>
        <v>0.99738400000000005</v>
      </c>
      <c r="AA212" s="582">
        <f>+[5]ค่าใช้จ่ายดำเนินงาน!J80/10^6</f>
        <v>1.086374</v>
      </c>
      <c r="AB212" s="582">
        <f>+[5]ค่าใช้จ่ายดำเนินงาน!K80/10^6</f>
        <v>1.000786</v>
      </c>
      <c r="AC212" s="582">
        <f>+[5]ค่าใช้จ่ายดำเนินงาน!L80/10^6</f>
        <v>1.045752</v>
      </c>
      <c r="AD212" s="582">
        <f>+[5]ค่าใช้จ่ายดำเนินงาน!M80/10^6</f>
        <v>1.1700079999999999</v>
      </c>
      <c r="AE212" s="583">
        <f t="shared" si="23"/>
        <v>12.373313999999999</v>
      </c>
      <c r="AF212" s="584">
        <f>+[5]ค่าใช้จ่ายดำเนินงาน!AO80/10^6</f>
        <v>12.37331</v>
      </c>
      <c r="AG212" s="479">
        <v>1015</v>
      </c>
      <c r="AH212" s="480" t="s">
        <v>54</v>
      </c>
      <c r="AI212" s="585">
        <f>+[6]ต.ค.58!$R$416/10^6</f>
        <v>1.2870941999999996</v>
      </c>
      <c r="AJ212" s="585">
        <f>+[6]พ.ย.58!$R$416/10^6</f>
        <v>1.3413265599999999</v>
      </c>
      <c r="AK212" s="585">
        <f>+[6]ธ.ค.58!$R$416/10^6</f>
        <v>1.21232926</v>
      </c>
      <c r="AL212" s="585">
        <f>+[6]ม.ค.59!$R$416/10^6</f>
        <v>0.90372307000000007</v>
      </c>
      <c r="AM212" s="585">
        <f>+[6]ก.พ.59!$R$416/10^6</f>
        <v>0.92689043999999998</v>
      </c>
      <c r="AN212" s="585">
        <f>+[6]มี.ค.59!$R$416/10^6</f>
        <v>1.49648151</v>
      </c>
      <c r="AO212" s="585">
        <f>+[6]เม.ย.59!$R$416/10^6</f>
        <v>0.64855181000000006</v>
      </c>
      <c r="AP212" s="585">
        <f>+[6]พ.ค.59!$R$416/10^6</f>
        <v>1.1374969799999999</v>
      </c>
      <c r="AQ212" s="585">
        <f>+[6]มิ.ย.59!$R$416/10^6</f>
        <v>1.0095146500000001</v>
      </c>
      <c r="AR212" s="585">
        <f>+[6]ก.ค.59!$R$416/10^6</f>
        <v>1.0095811300000002</v>
      </c>
      <c r="AS212" s="585">
        <f>+[6]ส.ค.59!$R$416/10^6</f>
        <v>1.0366998200000002</v>
      </c>
      <c r="AT212" s="585">
        <f>+[6]ก.ย.59!$R$416/10^6</f>
        <v>1.15293793</v>
      </c>
      <c r="AU212" s="586">
        <f t="shared" si="24"/>
        <v>13.16262736</v>
      </c>
    </row>
    <row r="213" spans="1:47" s="478" customFormat="1" x14ac:dyDescent="0.2">
      <c r="A213" s="474">
        <v>1016</v>
      </c>
      <c r="B213" s="475" t="s">
        <v>55</v>
      </c>
      <c r="C213" s="579">
        <f>+[2]ต.ค.59!$S$423/10^6</f>
        <v>0.95618148999999997</v>
      </c>
      <c r="D213" s="579">
        <f>+[2]พ.ย.59!$S$423/10^6</f>
        <v>0.98153317000000018</v>
      </c>
      <c r="E213" s="579">
        <f>+[2]ธ.ค.59!$S$423/10^6</f>
        <v>1.27315326</v>
      </c>
      <c r="F213" s="579">
        <f>+[2]ม.ค.60!$S$423/10^6</f>
        <v>1.2946153200000001</v>
      </c>
      <c r="G213" s="579">
        <f>+[2]ก.พ.60!$S$423/10^6</f>
        <v>1.0229925500000001</v>
      </c>
      <c r="H213" s="579">
        <f>+[2]มี.ค.60!$S$423/10^6</f>
        <v>1.1920711399999999</v>
      </c>
      <c r="I213" s="579">
        <f>+[2]เม.ย.60!$S$423/10^6</f>
        <v>1.0766158300000002</v>
      </c>
      <c r="J213" s="579">
        <f>+[2]พ.ค.60!$S$423/10^6</f>
        <v>1.10126919</v>
      </c>
      <c r="K213" s="579">
        <f>+[2]มิ.ย.60!$S$423/10^6</f>
        <v>1.0603984000000002</v>
      </c>
      <c r="L213" s="579">
        <f>+[2]ก.ค.60!$S$423/10^6</f>
        <v>1.0035259600000004</v>
      </c>
      <c r="M213" s="579">
        <f>+[2]ส.ค.60!$S$423/10^6</f>
        <v>1.1397303699999999</v>
      </c>
      <c r="N213" s="579">
        <f>+[2]ก.ย.60!$S$423/10^6</f>
        <v>1.39042142</v>
      </c>
      <c r="O213" s="580">
        <f t="shared" si="22"/>
        <v>13.492508100000002</v>
      </c>
      <c r="P213" s="581"/>
      <c r="Q213" s="476">
        <v>1016</v>
      </c>
      <c r="R213" s="477" t="s">
        <v>55</v>
      </c>
      <c r="S213" s="582">
        <f>+[5]ค่าใช้จ่ายดำเนินงาน!B81/10^6</f>
        <v>1.084878</v>
      </c>
      <c r="T213" s="582">
        <f>+[5]ค่าใช้จ่ายดำเนินงาน!C81/10^6</f>
        <v>1.149176</v>
      </c>
      <c r="U213" s="582">
        <f>+[5]ค่าใช้จ่ายดำเนินงาน!D81/10^6</f>
        <v>1.08975</v>
      </c>
      <c r="V213" s="582">
        <f>+[5]ค่าใช้จ่ายดำเนินงาน!E81/10^6</f>
        <v>1.0658129999999999</v>
      </c>
      <c r="W213" s="582">
        <f>+[5]ค่าใช้จ่ายดำเนินงาน!F81/10^6</f>
        <v>1.1531309999999999</v>
      </c>
      <c r="X213" s="582">
        <f>+[5]ค่าใช้จ่ายดำเนินงาน!G81/10^6</f>
        <v>1.149054</v>
      </c>
      <c r="Y213" s="582">
        <f>+[5]ค่าใช้จ่ายดำเนินงาน!H81/10^6</f>
        <v>1.1398459999999999</v>
      </c>
      <c r="Z213" s="582">
        <f>+[5]ค่าใช้จ่ายดำเนินงาน!I81/10^6</f>
        <v>1.284006</v>
      </c>
      <c r="AA213" s="582">
        <f>+[5]ค่าใช้จ่ายดำเนินงาน!J81/10^6</f>
        <v>1.177611</v>
      </c>
      <c r="AB213" s="582">
        <f>+[5]ค่าใช้จ่ายดำเนินงาน!K81/10^6</f>
        <v>1.1238459999999999</v>
      </c>
      <c r="AC213" s="582">
        <f>+[5]ค่าใช้จ่ายดำเนินงาน!L81/10^6</f>
        <v>1.12768</v>
      </c>
      <c r="AD213" s="582">
        <f>+[5]ค่าใช้จ่ายดำเนินงาน!M81/10^6</f>
        <v>1.3476919999999999</v>
      </c>
      <c r="AE213" s="583">
        <f t="shared" si="23"/>
        <v>13.892483</v>
      </c>
      <c r="AF213" s="584">
        <f>+[5]ค่าใช้จ่ายดำเนินงาน!AO81/10^6</f>
        <v>13.89448</v>
      </c>
      <c r="AG213" s="479">
        <v>1016</v>
      </c>
      <c r="AH213" s="480" t="s">
        <v>55</v>
      </c>
      <c r="AI213" s="585">
        <f>+[6]ต.ค.58!$S$416/10^6</f>
        <v>1.0967441200000001</v>
      </c>
      <c r="AJ213" s="585">
        <f>+[6]พ.ย.58!$S$416/10^6</f>
        <v>1.1102032300000002</v>
      </c>
      <c r="AK213" s="585">
        <f>+[6]ธ.ค.58!$S$416/10^6</f>
        <v>1.09335296</v>
      </c>
      <c r="AL213" s="585">
        <f>+[6]ม.ค.59!$S$416/10^6</f>
        <v>1.0474893599999999</v>
      </c>
      <c r="AM213" s="585">
        <f>+[6]ก.พ.59!$S$416/10^6</f>
        <v>1.0789290600000001</v>
      </c>
      <c r="AN213" s="585">
        <f>+[6]มี.ค.59!$S$416/10^6</f>
        <v>1.1028766799999996</v>
      </c>
      <c r="AO213" s="585">
        <f>+[6]เม.ย.59!$S$416/10^6</f>
        <v>1.16071934</v>
      </c>
      <c r="AP213" s="585">
        <f>+[6]พ.ค.59!$S$416/10^6</f>
        <v>1.2826652199999999</v>
      </c>
      <c r="AQ213" s="585">
        <f>+[6]มิ.ย.59!$S$416/10^6</f>
        <v>1.11657535</v>
      </c>
      <c r="AR213" s="585">
        <f>+[6]ก.ค.59!$S$416/10^6</f>
        <v>1.0383519299999999</v>
      </c>
      <c r="AS213" s="585">
        <f>+[6]ส.ค.59!$S$416/10^6</f>
        <v>1.0549814100000001</v>
      </c>
      <c r="AT213" s="585">
        <f>+[6]ก.ย.59!$S$416/10^6</f>
        <v>1.4119873100000002</v>
      </c>
      <c r="AU213" s="586">
        <f t="shared" si="24"/>
        <v>13.594875969999999</v>
      </c>
    </row>
    <row r="214" spans="1:47" s="478" customFormat="1" x14ac:dyDescent="0.2">
      <c r="A214" s="474">
        <v>1017</v>
      </c>
      <c r="B214" s="475" t="s">
        <v>56</v>
      </c>
      <c r="C214" s="579">
        <f>+[2]ต.ค.59!$T$423/10^6</f>
        <v>1.60586925</v>
      </c>
      <c r="D214" s="579">
        <f>+[2]พ.ย.59!$T$423/10^6</f>
        <v>1.5020300799999999</v>
      </c>
      <c r="E214" s="579">
        <f>+[2]ธ.ค.59!$T$423/10^6</f>
        <v>1.7520188399999999</v>
      </c>
      <c r="F214" s="579">
        <f>+[2]ม.ค.60!$T$423/10^6</f>
        <v>1.6131414999999998</v>
      </c>
      <c r="G214" s="579">
        <f>+[2]ก.พ.60!$T$423/10^6</f>
        <v>1.5246625800000002</v>
      </c>
      <c r="H214" s="579">
        <f>+[2]มี.ค.60!$T$423/10^6</f>
        <v>1.95179233</v>
      </c>
      <c r="I214" s="579">
        <f>+[2]เม.ย.60!$T$423/10^6</f>
        <v>1.6960940600000001</v>
      </c>
      <c r="J214" s="579">
        <f>+[2]พ.ค.60!$T$423/10^6</f>
        <v>1.7766103199999999</v>
      </c>
      <c r="K214" s="579">
        <f>+[2]มิ.ย.60!$T$423/10^6</f>
        <v>1.8174683299999999</v>
      </c>
      <c r="L214" s="579">
        <f>+[2]ก.ค.60!$T$423/10^6</f>
        <v>1.8518554599999999</v>
      </c>
      <c r="M214" s="579">
        <f>+[2]ส.ค.60!$T$423/10^6</f>
        <v>1.7825012099999999</v>
      </c>
      <c r="N214" s="579">
        <f>+[2]ก.ย.60!$T$423/10^6</f>
        <v>2.0419819399999999</v>
      </c>
      <c r="O214" s="580">
        <f t="shared" si="22"/>
        <v>20.916025899999998</v>
      </c>
      <c r="P214" s="581"/>
      <c r="Q214" s="476">
        <v>1017</v>
      </c>
      <c r="R214" s="477" t="s">
        <v>56</v>
      </c>
      <c r="S214" s="582">
        <f>+[5]ค่าใช้จ่ายดำเนินงาน!B82/10^6</f>
        <v>1.8286169999999999</v>
      </c>
      <c r="T214" s="582">
        <f>+[5]ค่าใช้จ่ายดำเนินงาน!C82/10^6</f>
        <v>1.762176</v>
      </c>
      <c r="U214" s="582">
        <f>+[5]ค่าใช้จ่ายดำเนินงาน!D82/10^6</f>
        <v>1.736262</v>
      </c>
      <c r="V214" s="582">
        <f>+[5]ค่าใช้จ่ายดำเนินงาน!E82/10^6</f>
        <v>1.8458239999999999</v>
      </c>
      <c r="W214" s="582">
        <f>+[5]ค่าใช้จ่ายดำเนินงาน!F82/10^6</f>
        <v>1.8174650000000001</v>
      </c>
      <c r="X214" s="582">
        <f>+[5]ค่าใช้จ่ายดำเนินงาน!G82/10^6</f>
        <v>1.948885</v>
      </c>
      <c r="Y214" s="582">
        <f>+[5]ค่าใช้จ่ายดำเนินงาน!H82/10^6</f>
        <v>1.7947029999999999</v>
      </c>
      <c r="Z214" s="582">
        <f>+[5]ค่าใช้จ่ายดำเนินงาน!I82/10^6</f>
        <v>1.8774850000000001</v>
      </c>
      <c r="AA214" s="582">
        <f>+[5]ค่าใช้จ่ายดำเนินงาน!J82/10^6</f>
        <v>2.0323069999999999</v>
      </c>
      <c r="AB214" s="582">
        <f>+[5]ค่าใช้จ่ายดำเนินงาน!K82/10^6</f>
        <v>1.8748549999999999</v>
      </c>
      <c r="AC214" s="582">
        <f>+[5]ค่าใช้จ่ายดำเนินงาน!L82/10^6</f>
        <v>1.9517960000000001</v>
      </c>
      <c r="AD214" s="582">
        <f>+[5]ค่าใช้จ่ายดำเนินงาน!M82/10^6</f>
        <v>2.1248930000000001</v>
      </c>
      <c r="AE214" s="583">
        <f t="shared" si="23"/>
        <v>22.595268000000004</v>
      </c>
      <c r="AF214" s="584">
        <f>+[5]ค่าใช้จ่ายดำเนินงาน!AO82/10^6</f>
        <v>22.59526</v>
      </c>
      <c r="AG214" s="479">
        <v>1017</v>
      </c>
      <c r="AH214" s="480" t="s">
        <v>56</v>
      </c>
      <c r="AI214" s="585">
        <f>+[6]ต.ค.58!$T$416/10^6</f>
        <v>1.8434407399999999</v>
      </c>
      <c r="AJ214" s="585">
        <f>+[6]พ.ย.58!$T$416/10^6</f>
        <v>1.6964476100000001</v>
      </c>
      <c r="AK214" s="585">
        <f>+[6]ธ.ค.58!$T$416/10^6</f>
        <v>1.7328933999999998</v>
      </c>
      <c r="AL214" s="585">
        <f>+[6]ม.ค.59!$T$416/10^6</f>
        <v>1.8243930799999999</v>
      </c>
      <c r="AM214" s="585">
        <f>+[6]ก.พ.59!$T$416/10^6</f>
        <v>1.8984897500000002</v>
      </c>
      <c r="AN214" s="585">
        <f>+[6]มี.ค.59!$T$416/10^6</f>
        <v>1.7910956199999997</v>
      </c>
      <c r="AO214" s="585">
        <f>+[6]เม.ย.59!$T$416/10^6</f>
        <v>1.7343318000000003</v>
      </c>
      <c r="AP214" s="585">
        <f>+[6]พ.ค.59!$T$416/10^6</f>
        <v>1.86237144</v>
      </c>
      <c r="AQ214" s="585">
        <f>+[6]มิ.ย.59!$T$416/10^6</f>
        <v>2.0645048399999997</v>
      </c>
      <c r="AR214" s="585">
        <f>+[6]ก.ค.59!$T$416/10^6</f>
        <v>1.9882153</v>
      </c>
      <c r="AS214" s="585">
        <f>+[6]ส.ค.59!$T$416/10^6</f>
        <v>2.1479489899999997</v>
      </c>
      <c r="AT214" s="585">
        <f>+[6]ก.ย.59!$T$416/10^6</f>
        <v>2.4248950700000003</v>
      </c>
      <c r="AU214" s="586">
        <f t="shared" si="24"/>
        <v>23.009027639999999</v>
      </c>
    </row>
    <row r="215" spans="1:47" s="478" customFormat="1" x14ac:dyDescent="0.2">
      <c r="A215" s="474">
        <v>1018</v>
      </c>
      <c r="B215" s="475" t="s">
        <v>57</v>
      </c>
      <c r="C215" s="579">
        <f>+[2]ต.ค.59!$U$423/10^6</f>
        <v>0.85176074000000002</v>
      </c>
      <c r="D215" s="579">
        <f>+[2]พ.ย.59!$U$423/10^6</f>
        <v>0.86519737000000008</v>
      </c>
      <c r="E215" s="579">
        <f>+[2]ธ.ค.59!$U$423/10^6</f>
        <v>1.0716020399999997</v>
      </c>
      <c r="F215" s="579">
        <f>+[2]ม.ค.60!$U$423/10^6</f>
        <v>0.75337530000000008</v>
      </c>
      <c r="G215" s="579">
        <f>+[2]ก.พ.60!$U$423/10^6</f>
        <v>0.81855750000000005</v>
      </c>
      <c r="H215" s="579">
        <f>+[2]มี.ค.60!$U$423/10^6</f>
        <v>0.93661327000000005</v>
      </c>
      <c r="I215" s="579">
        <f>+[2]เม.ย.60!$U$423/10^6</f>
        <v>0.85874838999999992</v>
      </c>
      <c r="J215" s="579">
        <f>+[2]พ.ค.60!$U$423/10^6</f>
        <v>0.91677514000000004</v>
      </c>
      <c r="K215" s="579">
        <f>+[2]มิ.ย.60!$U$423/10^6</f>
        <v>0.90394242000000002</v>
      </c>
      <c r="L215" s="579">
        <f>+[2]ก.ค.60!$U$423/10^6</f>
        <v>0.89560095000000006</v>
      </c>
      <c r="M215" s="579">
        <f>+[2]ส.ค.60!$U$423/10^6</f>
        <v>0.89696705000000021</v>
      </c>
      <c r="N215" s="579">
        <f>+[2]ก.ย.60!$U$423/10^6</f>
        <v>1.0136323500000002</v>
      </c>
      <c r="O215" s="580">
        <f t="shared" si="22"/>
        <v>10.78277252</v>
      </c>
      <c r="P215" s="581"/>
      <c r="Q215" s="476">
        <v>1018</v>
      </c>
      <c r="R215" s="477" t="s">
        <v>57</v>
      </c>
      <c r="S215" s="582">
        <f>+[5]ค่าใช้จ่ายดำเนินงาน!B83/10^6</f>
        <v>0.95426900000000003</v>
      </c>
      <c r="T215" s="582">
        <f>+[5]ค่าใช้จ่ายดำเนินงาน!C83/10^6</f>
        <v>0.92037599999999997</v>
      </c>
      <c r="U215" s="582">
        <f>+[5]ค่าใช้จ่ายดำเนินงาน!D83/10^6</f>
        <v>0.92571300000000001</v>
      </c>
      <c r="V215" s="582">
        <f>+[5]ค่าใช้จ่ายดำเนินงาน!E83/10^6</f>
        <v>0.96977400000000002</v>
      </c>
      <c r="W215" s="582">
        <f>+[5]ค่าใช้จ่ายดำเนินงาน!F83/10^6</f>
        <v>0.97790900000000003</v>
      </c>
      <c r="X215" s="582">
        <f>+[5]ค่าใช้จ่ายดำเนินงาน!G83/10^6</f>
        <v>1.0049729999999999</v>
      </c>
      <c r="Y215" s="582">
        <f>+[5]ค่าใช้จ่ายดำเนินงาน!H83/10^6</f>
        <v>0.94953200000000004</v>
      </c>
      <c r="Z215" s="582">
        <f>+[5]ค่าใช้จ่ายดำเนินงาน!I83/10^6</f>
        <v>0.95081700000000002</v>
      </c>
      <c r="AA215" s="582">
        <f>+[5]ค่าใช้จ่ายดำเนินงาน!J83/10^6</f>
        <v>1.1044560000000001</v>
      </c>
      <c r="AB215" s="582">
        <f>+[5]ค่าใช้จ่ายดำเนินงาน!K83/10^6</f>
        <v>0.98894400000000005</v>
      </c>
      <c r="AC215" s="582">
        <f>+[5]ค่าใช้จ่ายดำเนินงาน!L83/10^6</f>
        <v>0.97464799999999996</v>
      </c>
      <c r="AD215" s="582">
        <f>+[5]ค่าใช้จ่ายดำเนินงาน!M83/10^6</f>
        <v>1.0351999999999999</v>
      </c>
      <c r="AE215" s="583">
        <f t="shared" si="23"/>
        <v>11.756610999999999</v>
      </c>
      <c r="AF215" s="584">
        <f>+[5]ค่าใช้จ่ายดำเนินงาน!AO83/10^6</f>
        <v>11.758609999999999</v>
      </c>
      <c r="AG215" s="479">
        <v>1018</v>
      </c>
      <c r="AH215" s="480" t="s">
        <v>57</v>
      </c>
      <c r="AI215" s="585">
        <f>+[6]ต.ค.58!$U$416/10^6</f>
        <v>0.87509977000000005</v>
      </c>
      <c r="AJ215" s="585">
        <f>+[6]พ.ย.58!$U$416/10^6</f>
        <v>0.91198968999999996</v>
      </c>
      <c r="AK215" s="585">
        <f>+[6]ธ.ค.58!$U$416/10^6</f>
        <v>0.88161666000000005</v>
      </c>
      <c r="AL215" s="585">
        <f>+[6]ม.ค.59!$U$416/10^6</f>
        <v>0.91633474999999998</v>
      </c>
      <c r="AM215" s="585">
        <f>+[6]ก.พ.59!$U$416/10^6</f>
        <v>0.91071155999999998</v>
      </c>
      <c r="AN215" s="585">
        <f>+[6]มี.ค.59!$U$416/10^6</f>
        <v>1.00893462</v>
      </c>
      <c r="AO215" s="585">
        <f>+[6]เม.ย.59!$U$416/10^6</f>
        <v>0.92622692000000018</v>
      </c>
      <c r="AP215" s="585">
        <f>+[6]พ.ค.59!$U$416/10^6</f>
        <v>0.87277386999999995</v>
      </c>
      <c r="AQ215" s="585">
        <f>+[6]มิ.ย.59!$U$416/10^6</f>
        <v>1.1960567100000001</v>
      </c>
      <c r="AR215" s="585">
        <f>+[6]ก.ค.59!$U$416/10^6</f>
        <v>0.95247354000000006</v>
      </c>
      <c r="AS215" s="585">
        <f>+[6]ส.ค.59!$U$416/10^6</f>
        <v>0.92228706999999988</v>
      </c>
      <c r="AT215" s="585">
        <f>+[6]ก.ย.59!$U$416/10^6</f>
        <v>1.02385715</v>
      </c>
      <c r="AU215" s="586">
        <f t="shared" si="24"/>
        <v>11.398362309999998</v>
      </c>
    </row>
    <row r="216" spans="1:47" s="478" customFormat="1" x14ac:dyDescent="0.2">
      <c r="A216" s="474">
        <v>1019</v>
      </c>
      <c r="B216" s="475" t="s">
        <v>58</v>
      </c>
      <c r="C216" s="579">
        <f>+[2]ต.ค.59!$V$423/10^6</f>
        <v>0.70688289999999998</v>
      </c>
      <c r="D216" s="579">
        <f>+[2]พ.ย.59!$V$423/10^6</f>
        <v>0.68525875000000014</v>
      </c>
      <c r="E216" s="579">
        <f>+[2]ธ.ค.59!$V$423/10^6</f>
        <v>0.85658551999999999</v>
      </c>
      <c r="F216" s="579">
        <f>+[2]ม.ค.60!$V$423/10^6</f>
        <v>0.68531368999999998</v>
      </c>
      <c r="G216" s="579">
        <f>+[2]ก.พ.60!$V$423/10^6</f>
        <v>0.78173285999999997</v>
      </c>
      <c r="H216" s="579">
        <f>+[2]มี.ค.60!$V$423/10^6</f>
        <v>0.80723135000000001</v>
      </c>
      <c r="I216" s="579">
        <f>+[2]เม.ย.60!$V$423/10^6</f>
        <v>0.75279233000000023</v>
      </c>
      <c r="J216" s="579">
        <f>+[2]พ.ค.60!$V$423/10^6</f>
        <v>0.79103981000000001</v>
      </c>
      <c r="K216" s="579">
        <f>+[2]มิ.ย.60!$V$423/10^6</f>
        <v>0.73198802999999979</v>
      </c>
      <c r="L216" s="579">
        <f>+[2]ก.ค.60!$V$423/10^6</f>
        <v>0.77149024000000022</v>
      </c>
      <c r="M216" s="579">
        <f>+[2]ส.ค.60!$V$423/10^6</f>
        <v>0.75800312000000014</v>
      </c>
      <c r="N216" s="579">
        <f>+[2]ก.ย.60!$V$423/10^6</f>
        <v>0.85194060000000005</v>
      </c>
      <c r="O216" s="580">
        <f t="shared" si="22"/>
        <v>9.1802592000000018</v>
      </c>
      <c r="P216" s="581"/>
      <c r="Q216" s="476">
        <v>1019</v>
      </c>
      <c r="R216" s="477" t="s">
        <v>58</v>
      </c>
      <c r="S216" s="582">
        <f>+[5]ค่าใช้จ่ายดำเนินงาน!B84/10^6</f>
        <v>0.80578499999999997</v>
      </c>
      <c r="T216" s="582">
        <f>+[5]ค่าใช้จ่ายดำเนินงาน!C84/10^6</f>
        <v>0.75143300000000002</v>
      </c>
      <c r="U216" s="582">
        <f>+[5]ค่าใช้จ่ายดำเนินงาน!D84/10^6</f>
        <v>0.73522600000000005</v>
      </c>
      <c r="V216" s="582">
        <f>+[5]ค่าใช้จ่ายดำเนินงาน!E84/10^6</f>
        <v>0.76570300000000002</v>
      </c>
      <c r="W216" s="582">
        <f>+[5]ค่าใช้จ่ายดำเนินงาน!F84/10^6</f>
        <v>0.75089600000000001</v>
      </c>
      <c r="X216" s="582">
        <f>+[5]ค่าใช้จ่ายดำเนินงาน!G84/10^6</f>
        <v>0.79281599999999997</v>
      </c>
      <c r="Y216" s="582">
        <f>+[5]ค่าใช้จ่ายดำเนินงาน!H84/10^6</f>
        <v>0.72643199999999997</v>
      </c>
      <c r="Z216" s="582">
        <f>+[5]ค่าใช้จ่ายดำเนินงาน!I84/10^6</f>
        <v>0.746861</v>
      </c>
      <c r="AA216" s="582">
        <f>+[5]ค่าใช้จ่ายดำเนินงาน!J84/10^6</f>
        <v>0.78935500000000003</v>
      </c>
      <c r="AB216" s="582">
        <f>+[5]ค่าใช้จ่ายดำเนินงาน!K84/10^6</f>
        <v>0.81464099999999995</v>
      </c>
      <c r="AC216" s="582">
        <f>+[5]ค่าใช้จ่ายดำเนินงาน!L84/10^6</f>
        <v>0.81114900000000001</v>
      </c>
      <c r="AD216" s="582">
        <f>+[5]ค่าใช้จ่ายดำเนินงาน!M84/10^6</f>
        <v>0.83150400000000002</v>
      </c>
      <c r="AE216" s="583">
        <f t="shared" si="23"/>
        <v>9.3218010000000007</v>
      </c>
      <c r="AF216" s="584">
        <f>+[5]ค่าใช้จ่ายดำเนินงาน!AO84/10^6</f>
        <v>9.3217999999999996</v>
      </c>
      <c r="AG216" s="479">
        <v>1019</v>
      </c>
      <c r="AH216" s="480" t="s">
        <v>58</v>
      </c>
      <c r="AI216" s="585">
        <f>+[6]ต.ค.58!$V$416/10^6</f>
        <v>0.79316649999999989</v>
      </c>
      <c r="AJ216" s="585">
        <f>+[6]พ.ย.58!$V$416/10^6</f>
        <v>0.77064106999999993</v>
      </c>
      <c r="AK216" s="585">
        <f>+[6]ธ.ค.58!$V$416/10^6</f>
        <v>0.75784607999999987</v>
      </c>
      <c r="AL216" s="585">
        <f>+[6]ม.ค.59!$V$416/10^6</f>
        <v>0.78710417999999993</v>
      </c>
      <c r="AM216" s="585">
        <f>+[6]ก.พ.59!$V$416/10^6</f>
        <v>0.77729893999999988</v>
      </c>
      <c r="AN216" s="585">
        <f>+[6]มี.ค.59!$V$416/10^6</f>
        <v>0.8042871100000003</v>
      </c>
      <c r="AO216" s="585">
        <f>+[6]เม.ย.59!$V$416/10^6</f>
        <v>0.75454593999999997</v>
      </c>
      <c r="AP216" s="585">
        <f>+[6]พ.ค.59!$V$416/10^6</f>
        <v>0.74853261999999998</v>
      </c>
      <c r="AQ216" s="585">
        <f>+[6]มิ.ย.59!$V$416/10^6</f>
        <v>0.75059227000000006</v>
      </c>
      <c r="AR216" s="585">
        <f>+[6]ก.ค.59!$V$416/10^6</f>
        <v>0.90134040999999976</v>
      </c>
      <c r="AS216" s="585">
        <f>+[6]ส.ค.59!$V$416/10^6</f>
        <v>0.7926093999999998</v>
      </c>
      <c r="AT216" s="585">
        <f>+[6]ก.ย.59!$V$416/10^6</f>
        <v>0.76784814000000001</v>
      </c>
      <c r="AU216" s="586">
        <f t="shared" si="24"/>
        <v>9.4058126599999987</v>
      </c>
    </row>
    <row r="217" spans="1:47" s="478" customFormat="1" x14ac:dyDescent="0.2">
      <c r="A217" s="474">
        <v>1020</v>
      </c>
      <c r="B217" s="475" t="s">
        <v>59</v>
      </c>
      <c r="C217" s="579">
        <f>+[2]ต.ค.59!$W$423/10^6</f>
        <v>1.7437594499999998</v>
      </c>
      <c r="D217" s="579">
        <f>+[2]พ.ย.59!$W$423/10^6</f>
        <v>1.6733828400000001</v>
      </c>
      <c r="E217" s="579">
        <f>+[2]ธ.ค.59!$W$423/10^6</f>
        <v>1.9148218200000005</v>
      </c>
      <c r="F217" s="579">
        <f>+[2]ม.ค.60!$W$423/10^6</f>
        <v>1.6826715300000001</v>
      </c>
      <c r="G217" s="579">
        <f>+[2]ก.พ.60!$W$423/10^6</f>
        <v>1.6006772600000001</v>
      </c>
      <c r="H217" s="579">
        <f>+[2]มี.ค.60!$W$423/10^6</f>
        <v>1.7917451000000002</v>
      </c>
      <c r="I217" s="579">
        <f>+[2]เม.ย.60!$W$423/10^6</f>
        <v>1.6535347000000002</v>
      </c>
      <c r="J217" s="579">
        <f>+[2]พ.ค.60!$W$423/10^6</f>
        <v>1.7693904400000005</v>
      </c>
      <c r="K217" s="579">
        <f>+[2]มิ.ย.60!$W$423/10^6</f>
        <v>1.9996520100000001</v>
      </c>
      <c r="L217" s="579">
        <f>+[2]ก.ค.60!$W$423/10^6</f>
        <v>2.0405065099999997</v>
      </c>
      <c r="M217" s="579">
        <f>+[2]ส.ค.60!$W$423/10^6</f>
        <v>1.8929176000000003</v>
      </c>
      <c r="N217" s="579">
        <f>+[2]ก.ย.60!$W$423/10^6</f>
        <v>2.0988737100000003</v>
      </c>
      <c r="O217" s="580">
        <f t="shared" si="22"/>
        <v>21.861932970000002</v>
      </c>
      <c r="P217" s="581"/>
      <c r="Q217" s="476">
        <v>1020</v>
      </c>
      <c r="R217" s="477" t="s">
        <v>59</v>
      </c>
      <c r="S217" s="582">
        <f>+[5]ค่าใช้จ่ายดำเนินงาน!B85/10^6</f>
        <v>1.9885349999999999</v>
      </c>
      <c r="T217" s="582">
        <f>+[5]ค่าใช้จ่ายดำเนินงาน!C85/10^6</f>
        <v>1.905559</v>
      </c>
      <c r="U217" s="582">
        <f>+[5]ค่าใช้จ่ายดำเนินงาน!D85/10^6</f>
        <v>1.897227</v>
      </c>
      <c r="V217" s="582">
        <f>+[5]ค่าใช้จ่ายดำเนินงาน!E85/10^6</f>
        <v>1.9997290000000001</v>
      </c>
      <c r="W217" s="582">
        <f>+[5]ค่าใช้จ่ายดำเนินงาน!F85/10^6</f>
        <v>1.9197740000000001</v>
      </c>
      <c r="X217" s="582">
        <f>+[5]ค่าใช้จ่ายดำเนินงาน!G85/10^6</f>
        <v>2.0139260000000001</v>
      </c>
      <c r="Y217" s="582">
        <f>+[5]ค่าใช้จ่ายดำเนินงาน!H85/10^6</f>
        <v>1.7963229999999999</v>
      </c>
      <c r="Z217" s="582">
        <f>+[5]ค่าใช้จ่ายดำเนินงาน!I85/10^6</f>
        <v>2.0080900000000002</v>
      </c>
      <c r="AA217" s="582">
        <f>+[5]ค่าใช้จ่ายดำเนินงาน!J85/10^6</f>
        <v>2.113105</v>
      </c>
      <c r="AB217" s="582">
        <f>+[5]ค่าใช้จ่ายดำเนินงาน!K85/10^6</f>
        <v>2.0623870000000002</v>
      </c>
      <c r="AC217" s="582">
        <f>+[5]ค่าใช้จ่ายดำเนินงาน!L85/10^6</f>
        <v>2.038611</v>
      </c>
      <c r="AD217" s="582">
        <f>+[5]ค่าใช้จ่ายดำเนินงาน!M85/10^6</f>
        <v>2.1758359999999999</v>
      </c>
      <c r="AE217" s="583">
        <f t="shared" si="23"/>
        <v>23.919102000000002</v>
      </c>
      <c r="AF217" s="584">
        <f>+[5]ค่าใช้จ่ายดำเนินงาน!AO85/10^6</f>
        <v>23.921109999999999</v>
      </c>
      <c r="AG217" s="479">
        <v>1020</v>
      </c>
      <c r="AH217" s="480" t="s">
        <v>59</v>
      </c>
      <c r="AI217" s="585">
        <f>+[6]ต.ค.58!$W$416/10^6</f>
        <v>1.8778463699999999</v>
      </c>
      <c r="AJ217" s="585">
        <f>+[6]พ.ย.58!$W$416/10^6</f>
        <v>1.7900357099999997</v>
      </c>
      <c r="AK217" s="585">
        <f>+[6]ธ.ค.58!$W$416/10^6</f>
        <v>1.9023198399999999</v>
      </c>
      <c r="AL217" s="585">
        <f>+[6]ม.ค.59!$W$416/10^6</f>
        <v>1.8854750000000002</v>
      </c>
      <c r="AM217" s="585">
        <f>+[6]ก.พ.59!$W$416/10^6</f>
        <v>1.8235301799999999</v>
      </c>
      <c r="AN217" s="585">
        <f>+[6]มี.ค.59!$W$416/10^6</f>
        <v>2.0150928499999998</v>
      </c>
      <c r="AO217" s="585">
        <f>+[6]เม.ย.59!$W$416/10^6</f>
        <v>1.7986329199999997</v>
      </c>
      <c r="AP217" s="585">
        <f>+[6]พ.ค.59!$W$416/10^6</f>
        <v>1.9861247900000001</v>
      </c>
      <c r="AQ217" s="585">
        <f>+[6]มิ.ย.59!$W$416/10^6</f>
        <v>1.8181917799999998</v>
      </c>
      <c r="AR217" s="585">
        <f>+[6]ก.ค.59!$W$416/10^6</f>
        <v>1.96504631</v>
      </c>
      <c r="AS217" s="585">
        <f>+[6]ส.ค.59!$W$416/10^6</f>
        <v>1.8669207800000003</v>
      </c>
      <c r="AT217" s="585">
        <f>+[6]ก.ย.59!$W$416/10^6</f>
        <v>1.7403005900000004</v>
      </c>
      <c r="AU217" s="586">
        <f t="shared" si="24"/>
        <v>22.469517120000003</v>
      </c>
    </row>
    <row r="218" spans="1:47" s="478" customFormat="1" x14ac:dyDescent="0.2">
      <c r="A218" s="474">
        <v>1021</v>
      </c>
      <c r="B218" s="475" t="s">
        <v>60</v>
      </c>
      <c r="C218" s="579">
        <f>+[2]ต.ค.59!$X$423/10^6</f>
        <v>0.7753829499999999</v>
      </c>
      <c r="D218" s="579">
        <f>+[2]พ.ย.59!$X$423/10^6</f>
        <v>0.73560298000000024</v>
      </c>
      <c r="E218" s="579">
        <f>+[2]ธ.ค.59!$X$423/10^6</f>
        <v>0.96090560999999997</v>
      </c>
      <c r="F218" s="579">
        <f>+[2]ม.ค.60!$X$423/10^6</f>
        <v>0.79469700999999993</v>
      </c>
      <c r="G218" s="579">
        <f>+[2]ก.พ.60!$X$423/10^6</f>
        <v>0.73783538000000015</v>
      </c>
      <c r="H218" s="579">
        <f>+[2]มี.ค.60!$X$423/10^6</f>
        <v>0.87369266999999984</v>
      </c>
      <c r="I218" s="579">
        <f>+[2]เม.ย.60!$X$423/10^6</f>
        <v>0.73958425000000005</v>
      </c>
      <c r="J218" s="579">
        <f>+[2]พ.ค.60!$X$423/10^6</f>
        <v>0.82643591999999999</v>
      </c>
      <c r="K218" s="579">
        <f>+[2]มิ.ย.60!$X$423/10^6</f>
        <v>0.90173856000000019</v>
      </c>
      <c r="L218" s="579">
        <f>+[2]ก.ค.60!$X$423/10^6</f>
        <v>0.82361386999999997</v>
      </c>
      <c r="M218" s="579">
        <f>+[2]ส.ค.60!$X$423/10^6</f>
        <v>0.92731838000000011</v>
      </c>
      <c r="N218" s="579">
        <f>+[2]ก.ย.60!$X$423/10^6</f>
        <v>1.1101979399999999</v>
      </c>
      <c r="O218" s="580">
        <f t="shared" si="22"/>
        <v>10.207005519999999</v>
      </c>
      <c r="P218" s="581"/>
      <c r="Q218" s="476">
        <v>1021</v>
      </c>
      <c r="R218" s="477" t="s">
        <v>60</v>
      </c>
      <c r="S218" s="582">
        <f>+[5]ค่าใช้จ่ายดำเนินงาน!B86/10^6</f>
        <v>0.75307400000000002</v>
      </c>
      <c r="T218" s="582">
        <f>+[5]ค่าใช้จ่ายดำเนินงาน!C86/10^6</f>
        <v>0.73602299999999998</v>
      </c>
      <c r="U218" s="582">
        <f>+[5]ค่าใช้จ่ายดำเนินงาน!D86/10^6</f>
        <v>0.74809899999999996</v>
      </c>
      <c r="V218" s="582">
        <f>+[5]ค่าใช้จ่ายดำเนินงาน!E86/10^6</f>
        <v>0.75318300000000005</v>
      </c>
      <c r="W218" s="582">
        <f>+[5]ค่าใช้จ่ายดำเนินงาน!F86/10^6</f>
        <v>0.76867099999999999</v>
      </c>
      <c r="X218" s="582">
        <f>+[5]ค่าใช้จ่ายดำเนินงาน!G86/10^6</f>
        <v>0.83149300000000004</v>
      </c>
      <c r="Y218" s="582">
        <f>+[5]ค่าใช้จ่ายดำเนินงาน!H86/10^6</f>
        <v>0.74338099999999996</v>
      </c>
      <c r="Z218" s="582">
        <f>+[5]ค่าใช้จ่ายดำเนินงาน!I86/10^6</f>
        <v>0.79232199999999997</v>
      </c>
      <c r="AA218" s="582">
        <f>+[5]ค่าใช้จ่ายดำเนินงาน!J86/10^6</f>
        <v>0.82380699999999996</v>
      </c>
      <c r="AB218" s="582">
        <f>+[5]ค่าใช้จ่ายดำเนินงาน!K86/10^6</f>
        <v>0.78442400000000001</v>
      </c>
      <c r="AC218" s="582">
        <f>+[5]ค่าใช้จ่ายดำเนินงาน!L86/10^6</f>
        <v>0.83418899999999996</v>
      </c>
      <c r="AD218" s="582">
        <f>+[5]ค่าใช้จ่ายดำเนินงาน!M86/10^6</f>
        <v>0.88678500000000005</v>
      </c>
      <c r="AE218" s="583">
        <f t="shared" si="23"/>
        <v>9.4554510000000001</v>
      </c>
      <c r="AF218" s="584">
        <f>+[5]ค่าใช้จ่ายดำเนินงาน!AO86/10^6</f>
        <v>9.4554500000000008</v>
      </c>
      <c r="AG218" s="479">
        <v>1021</v>
      </c>
      <c r="AH218" s="480" t="s">
        <v>60</v>
      </c>
      <c r="AI218" s="585">
        <f>+[6]ต.ค.58!$X$416/10^6</f>
        <v>0.70256987000000004</v>
      </c>
      <c r="AJ218" s="585">
        <f>+[6]พ.ย.58!$X$416/10^6</f>
        <v>0.75160369999999999</v>
      </c>
      <c r="AK218" s="585">
        <f>+[6]ธ.ค.58!$X$416/10^6</f>
        <v>0.71103057999999986</v>
      </c>
      <c r="AL218" s="585">
        <f>+[6]ม.ค.59!$X$416/10^6</f>
        <v>0.73622114999999988</v>
      </c>
      <c r="AM218" s="585">
        <f>+[6]ก.พ.59!$X$416/10^6</f>
        <v>0.78522822999999997</v>
      </c>
      <c r="AN218" s="585">
        <f>+[6]มี.ค.59!$X$416/10^6</f>
        <v>0.83708202999999992</v>
      </c>
      <c r="AO218" s="585">
        <f>+[6]เม.ย.59!$X$416/10^6</f>
        <v>0.73154384999999988</v>
      </c>
      <c r="AP218" s="585">
        <f>+[6]พ.ค.59!$X$416/10^6</f>
        <v>0.83912334999999993</v>
      </c>
      <c r="AQ218" s="585">
        <f>+[6]มิ.ย.59!$X$416/10^6</f>
        <v>0.8430213099999998</v>
      </c>
      <c r="AR218" s="585">
        <f>+[6]ก.ค.59!$X$416/10^6</f>
        <v>0.79030898999999999</v>
      </c>
      <c r="AS218" s="585">
        <f>+[6]ส.ค.59!$X$416/10^6</f>
        <v>0.88800747000000002</v>
      </c>
      <c r="AT218" s="585">
        <f>+[6]ก.ย.59!$X$416/10^6</f>
        <v>0.77246735999999994</v>
      </c>
      <c r="AU218" s="586">
        <f t="shared" si="24"/>
        <v>9.3882078900000003</v>
      </c>
    </row>
    <row r="219" spans="1:47" s="478" customFormat="1" x14ac:dyDescent="0.2">
      <c r="A219" s="474">
        <v>1022</v>
      </c>
      <c r="B219" s="475" t="s">
        <v>61</v>
      </c>
      <c r="C219" s="579">
        <f>+[2]ต.ค.59!$Y$423/10^6</f>
        <v>2.9219070499999997</v>
      </c>
      <c r="D219" s="579">
        <f>+[2]พ.ย.59!$Y$423/10^6</f>
        <v>2.6042152000000001</v>
      </c>
      <c r="E219" s="579">
        <f>+[2]ธ.ค.59!$Y$423/10^6</f>
        <v>2.8201797000000002</v>
      </c>
      <c r="F219" s="579">
        <f>+[2]ม.ค.60!$Y$423/10^6</f>
        <v>2.5798502899999991</v>
      </c>
      <c r="G219" s="579">
        <f>+[2]ก.พ.60!$Y$423/10^6</f>
        <v>2.6115142699999998</v>
      </c>
      <c r="H219" s="579">
        <f>+[2]มี.ค.60!$Y$423/10^6</f>
        <v>3.6622545099999999</v>
      </c>
      <c r="I219" s="579">
        <f>+[2]เม.ย.60!$Y$423/10^6</f>
        <v>2.7145194099999999</v>
      </c>
      <c r="J219" s="579">
        <f>+[2]พ.ค.60!$Y$423/10^6</f>
        <v>3.1701046000000006</v>
      </c>
      <c r="K219" s="579">
        <f>+[2]มิ.ย.60!$Y$423/10^6</f>
        <v>2.76135318</v>
      </c>
      <c r="L219" s="579">
        <f>+[2]ก.ค.60!$Y$423/10^6</f>
        <v>2.8125237300000001</v>
      </c>
      <c r="M219" s="579">
        <f>+[2]ส.ค.60!$Y$423/10^6</f>
        <v>3.1220663999999996</v>
      </c>
      <c r="N219" s="579">
        <f>+[2]ก.ย.60!$Y$423/10^6</f>
        <v>2.8030322700000001</v>
      </c>
      <c r="O219" s="580">
        <f t="shared" si="22"/>
        <v>34.583520610000008</v>
      </c>
      <c r="P219" s="581"/>
      <c r="Q219" s="476">
        <v>1022</v>
      </c>
      <c r="R219" s="477" t="s">
        <v>61</v>
      </c>
      <c r="S219" s="582">
        <f>+[5]ค่าใช้จ่ายดำเนินงาน!B87/10^6</f>
        <v>3.046198</v>
      </c>
      <c r="T219" s="582">
        <f>+[5]ค่าใช้จ่ายดำเนินงาน!C87/10^6</f>
        <v>2.8059159999999999</v>
      </c>
      <c r="U219" s="582">
        <f>+[5]ค่าใช้จ่ายดำเนินงาน!D87/10^6</f>
        <v>2.8770250000000002</v>
      </c>
      <c r="V219" s="582">
        <f>+[5]ค่าใช้จ่ายดำเนินงาน!E87/10^6</f>
        <v>2.8419509999999999</v>
      </c>
      <c r="W219" s="582">
        <f>+[5]ค่าใช้จ่ายดำเนินงาน!F87/10^6</f>
        <v>2.8011400000000002</v>
      </c>
      <c r="X219" s="582">
        <f>+[5]ค่าใช้จ่ายดำเนินงาน!G87/10^6</f>
        <v>3.2688920000000001</v>
      </c>
      <c r="Y219" s="582">
        <f>+[5]ค่าใช้จ่ายดำเนินงาน!H87/10^6</f>
        <v>3.1193119999999999</v>
      </c>
      <c r="Z219" s="582">
        <f>+[5]ค่าใช้จ่ายดำเนินงาน!I87/10^6</f>
        <v>2.994332</v>
      </c>
      <c r="AA219" s="582">
        <f>+[5]ค่าใช้จ่ายดำเนินงาน!J87/10^6</f>
        <v>3.3838620000000001</v>
      </c>
      <c r="AB219" s="582">
        <f>+[5]ค่าใช้จ่ายดำเนินงาน!K87/10^6</f>
        <v>3.1265890000000001</v>
      </c>
      <c r="AC219" s="582">
        <f>+[5]ค่าใช้จ่ายดำเนินงาน!L87/10^6</f>
        <v>3.0230329999999999</v>
      </c>
      <c r="AD219" s="582">
        <f>+[5]ค่าใช้จ่ายดำเนินงาน!M87/10^6</f>
        <v>3.0770840000000002</v>
      </c>
      <c r="AE219" s="583">
        <f t="shared" si="23"/>
        <v>36.365333999999997</v>
      </c>
      <c r="AF219" s="584">
        <f>+[5]ค่าใช้จ่ายดำเนินงาน!AO87/10^6</f>
        <v>36.36533</v>
      </c>
      <c r="AG219" s="479">
        <v>1022</v>
      </c>
      <c r="AH219" s="480" t="s">
        <v>61</v>
      </c>
      <c r="AI219" s="585">
        <f>+[6]ต.ค.58!$Y$416/10^6</f>
        <v>3.5229893000000003</v>
      </c>
      <c r="AJ219" s="585">
        <f>+[6]พ.ย.58!$Y$416/10^6</f>
        <v>2.8407080800000002</v>
      </c>
      <c r="AK219" s="585">
        <f>+[6]ธ.ค.58!$Y$416/10^6</f>
        <v>2.9348585599999999</v>
      </c>
      <c r="AL219" s="585">
        <f>+[6]ม.ค.59!$Y$416/10^6</f>
        <v>2.7347710700000003</v>
      </c>
      <c r="AM219" s="585">
        <f>+[6]ก.พ.59!$Y$416/10^6</f>
        <v>2.8736233799999993</v>
      </c>
      <c r="AN219" s="585">
        <f>+[6]มี.ค.59!$Y$416/10^6</f>
        <v>3.6027654899999995</v>
      </c>
      <c r="AO219" s="585">
        <f>+[6]เม.ย.59!$Y$416/10^6</f>
        <v>2.9293327700000007</v>
      </c>
      <c r="AP219" s="585">
        <f>+[6]พ.ค.59!$Y$416/10^6</f>
        <v>2.8969031899999997</v>
      </c>
      <c r="AQ219" s="585">
        <f>+[6]มิ.ย.59!$Y$416/10^6</f>
        <v>3.1063785199999994</v>
      </c>
      <c r="AR219" s="585">
        <f>+[6]ก.ค.59!$Y$416/10^6</f>
        <v>2.4323047200000003</v>
      </c>
      <c r="AS219" s="585">
        <f>+[6]ส.ค.59!$Y$416/10^6</f>
        <v>2.5937810100000003</v>
      </c>
      <c r="AT219" s="585">
        <f>+[6]ก.ย.59!$Y$416/10^6</f>
        <v>-0.13885906000000053</v>
      </c>
      <c r="AU219" s="586">
        <f t="shared" si="24"/>
        <v>32.329557030000004</v>
      </c>
    </row>
    <row r="220" spans="1:47" s="478" customFormat="1" x14ac:dyDescent="0.2">
      <c r="A220" s="474">
        <v>1023</v>
      </c>
      <c r="B220" s="475" t="s">
        <v>62</v>
      </c>
      <c r="C220" s="579">
        <f>+[2]ต.ค.59!$Z$423/10^6</f>
        <v>0.78597480000000008</v>
      </c>
      <c r="D220" s="579">
        <f>+[2]พ.ย.59!$Z$423/10^6</f>
        <v>0.77018639000000011</v>
      </c>
      <c r="E220" s="579">
        <f>+[2]ธ.ค.59!$Z$423/10^6</f>
        <v>1.03674409</v>
      </c>
      <c r="F220" s="579">
        <f>+[2]ม.ค.60!$Z$423/10^6</f>
        <v>0.7368923300000001</v>
      </c>
      <c r="G220" s="579">
        <f>+[2]ก.พ.60!$Z$423/10^6</f>
        <v>0.78062500000000001</v>
      </c>
      <c r="H220" s="579">
        <f>+[2]มี.ค.60!$Z$423/10^6</f>
        <v>1.02474044</v>
      </c>
      <c r="I220" s="579">
        <f>+[2]เม.ย.60!$Z$423/10^6</f>
        <v>0.84289743000000006</v>
      </c>
      <c r="J220" s="579">
        <f>+[2]พ.ค.60!$Z$423/10^6</f>
        <v>0.93258916999999997</v>
      </c>
      <c r="K220" s="579">
        <f>+[2]มิ.ย.60!$Z$423/10^6</f>
        <v>0.85079954000000002</v>
      </c>
      <c r="L220" s="579">
        <f>+[2]ก.ค.60!$Z$423/10^6</f>
        <v>0.88107097999999984</v>
      </c>
      <c r="M220" s="579">
        <f>+[2]ส.ค.60!$Z$423/10^6</f>
        <v>0.89695676000000002</v>
      </c>
      <c r="N220" s="579">
        <f>+[2]ก.ย.60!$Z$423/10^6</f>
        <v>0.95756908000000007</v>
      </c>
      <c r="O220" s="580">
        <f t="shared" si="22"/>
        <v>10.49704601</v>
      </c>
      <c r="P220" s="581"/>
      <c r="Q220" s="476">
        <v>1023</v>
      </c>
      <c r="R220" s="477" t="s">
        <v>62</v>
      </c>
      <c r="S220" s="582">
        <f>+[5]ค่าใช้จ่ายดำเนินงาน!B88/10^6</f>
        <v>0.887795</v>
      </c>
      <c r="T220" s="582">
        <f>+[5]ค่าใช้จ่ายดำเนินงาน!C88/10^6</f>
        <v>0.83822300000000005</v>
      </c>
      <c r="U220" s="582">
        <f>+[5]ค่าใช้จ่ายดำเนินงาน!D88/10^6</f>
        <v>0.87945300000000004</v>
      </c>
      <c r="V220" s="582">
        <f>+[5]ค่าใช้จ่ายดำเนินงาน!E88/10^6</f>
        <v>0.88534599999999997</v>
      </c>
      <c r="W220" s="582">
        <f>+[5]ค่าใช้จ่ายดำเนินงาน!F88/10^6</f>
        <v>0.91707499999999997</v>
      </c>
      <c r="X220" s="582">
        <f>+[5]ค่าใช้จ่ายดำเนินงาน!G88/10^6</f>
        <v>0.97013700000000003</v>
      </c>
      <c r="Y220" s="582">
        <f>+[5]ค่าใช้จ่ายดำเนินงาน!H88/10^6</f>
        <v>0.86893200000000004</v>
      </c>
      <c r="Z220" s="582">
        <f>+[5]ค่าใช้จ่ายดำเนินงาน!I88/10^6</f>
        <v>0.94606999999999997</v>
      </c>
      <c r="AA220" s="582">
        <f>+[5]ค่าใช้จ่ายดำเนินงาน!J88/10^6</f>
        <v>0.92662699999999998</v>
      </c>
      <c r="AB220" s="582">
        <f>+[5]ค่าใช้จ่ายดำเนินงาน!K88/10^6</f>
        <v>0.93333200000000005</v>
      </c>
      <c r="AC220" s="582">
        <f>+[5]ค่าใช้จ่ายดำเนินงาน!L88/10^6</f>
        <v>0.96731199999999995</v>
      </c>
      <c r="AD220" s="582">
        <f>+[5]ค่าใช้จ่ายดำเนินงาน!M88/10^6</f>
        <v>1.0737840000000001</v>
      </c>
      <c r="AE220" s="583">
        <f t="shared" si="23"/>
        <v>11.094085999999999</v>
      </c>
      <c r="AF220" s="584">
        <f>+[5]ค่าใช้จ่ายดำเนินงาน!AO88/10^6</f>
        <v>11.09409</v>
      </c>
      <c r="AG220" s="479">
        <v>1023</v>
      </c>
      <c r="AH220" s="480" t="s">
        <v>62</v>
      </c>
      <c r="AI220" s="585">
        <f>+[6]ต.ค.58!$Z$416/10^6</f>
        <v>0.93918382999999994</v>
      </c>
      <c r="AJ220" s="585">
        <f>+[6]พ.ย.58!$Z$416/10^6</f>
        <v>0.87335964999999993</v>
      </c>
      <c r="AK220" s="585">
        <f>+[6]ธ.ค.58!$Z$416/10^6</f>
        <v>0.90613443999999999</v>
      </c>
      <c r="AL220" s="585">
        <f>+[6]ม.ค.59!$Z$416/10^6</f>
        <v>0.8993971799999998</v>
      </c>
      <c r="AM220" s="585">
        <f>+[6]ก.พ.59!$Z$416/10^6</f>
        <v>0.94063002999999989</v>
      </c>
      <c r="AN220" s="585">
        <f>+[6]มี.ค.59!$Z$416/10^6</f>
        <v>0.98248834000000007</v>
      </c>
      <c r="AO220" s="585">
        <f>+[6]เม.ย.59!$Z$416/10^6</f>
        <v>0.89746320999999984</v>
      </c>
      <c r="AP220" s="585">
        <f>+[6]พ.ค.59!$Z$416/10^6</f>
        <v>0.99245603999999998</v>
      </c>
      <c r="AQ220" s="585">
        <f>+[6]มิ.ย.59!$Z$416/10^6</f>
        <v>0.91123197</v>
      </c>
      <c r="AR220" s="585">
        <f>+[6]ก.ค.59!$Z$416/10^6</f>
        <v>0.94529627999999999</v>
      </c>
      <c r="AS220" s="585">
        <f>+[6]ส.ค.59!$Z$416/10^6</f>
        <v>0.90319172000000014</v>
      </c>
      <c r="AT220" s="585">
        <f>+[6]ก.ย.59!$Z$416/10^6</f>
        <v>1.0984272000000002</v>
      </c>
      <c r="AU220" s="586">
        <f t="shared" si="24"/>
        <v>11.289259889999999</v>
      </c>
    </row>
    <row r="221" spans="1:47" s="478" customFormat="1" x14ac:dyDescent="0.2">
      <c r="A221" s="474">
        <v>1024</v>
      </c>
      <c r="B221" s="475" t="s">
        <v>63</v>
      </c>
      <c r="C221" s="579">
        <f>+[2]ต.ค.59!$AA$423/10^6</f>
        <v>2.5183357499999999</v>
      </c>
      <c r="D221" s="579">
        <f>+[2]พ.ย.59!$AA$423/10^6</f>
        <v>2.7735007400000002</v>
      </c>
      <c r="E221" s="579">
        <f>+[2]ธ.ค.59!$AA$423/10^6</f>
        <v>3.0148230599999999</v>
      </c>
      <c r="F221" s="579">
        <f>+[2]ม.ค.60!$AA$423/10^6</f>
        <v>3.5801809500000004</v>
      </c>
      <c r="G221" s="579">
        <f>+[2]ก.พ.60!$AA$423/10^6</f>
        <v>3.5964437299999998</v>
      </c>
      <c r="H221" s="579">
        <f>+[2]มี.ค.60!$AA$423/10^6</f>
        <v>4.0386030199999992</v>
      </c>
      <c r="I221" s="579">
        <f>+[2]เม.ย.60!$AA$423/10^6</f>
        <v>3.6452180100000002</v>
      </c>
      <c r="J221" s="579">
        <f>+[2]พ.ค.60!$AA$423/10^6</f>
        <v>4.2221953999999995</v>
      </c>
      <c r="K221" s="579">
        <f>+[2]มิ.ย.60!$AA$423/10^6</f>
        <v>4.4399017800000005</v>
      </c>
      <c r="L221" s="579">
        <f>+[2]ก.ค.60!$AA$423/10^6</f>
        <v>4.423341699999999</v>
      </c>
      <c r="M221" s="579">
        <f>+[2]ส.ค.60!$AA$423/10^6</f>
        <v>4.5227748399999994</v>
      </c>
      <c r="N221" s="579">
        <f>+[2]ก.ย.60!$AA$423/10^6</f>
        <v>4.5252518200000003</v>
      </c>
      <c r="O221" s="580">
        <f t="shared" si="22"/>
        <v>45.300570799999996</v>
      </c>
      <c r="P221" s="581"/>
      <c r="Q221" s="476">
        <v>1024</v>
      </c>
      <c r="R221" s="477" t="s">
        <v>63</v>
      </c>
      <c r="S221" s="582">
        <f>+[5]ค่าใช้จ่ายดำเนินงาน!B89/10^6</f>
        <v>3.0067560000000002</v>
      </c>
      <c r="T221" s="582">
        <f>+[5]ค่าใช้จ่ายดำเนินงาน!C89/10^6</f>
        <v>2.784735</v>
      </c>
      <c r="U221" s="582">
        <f>+[5]ค่าใช้จ่ายดำเนินงาน!D89/10^6</f>
        <v>2.5326360000000001</v>
      </c>
      <c r="V221" s="582">
        <f>+[5]ค่าใช้จ่ายดำเนินงาน!E89/10^6</f>
        <v>2.863127</v>
      </c>
      <c r="W221" s="582">
        <f>+[5]ค่าใช้จ่ายดำเนินงาน!F89/10^6</f>
        <v>2.7778040000000002</v>
      </c>
      <c r="X221" s="582">
        <f>+[5]ค่าใช้จ่ายดำเนินงาน!G89/10^6</f>
        <v>2.9297680000000001</v>
      </c>
      <c r="Y221" s="582">
        <f>+[5]ค่าใช้จ่ายดำเนินงาน!H89/10^6</f>
        <v>2.7095509999999998</v>
      </c>
      <c r="Z221" s="582">
        <f>+[5]ค่าใช้จ่ายดำเนินงาน!I89/10^6</f>
        <v>2.854095</v>
      </c>
      <c r="AA221" s="582">
        <f>+[5]ค่าใช้จ่ายดำเนินงาน!J89/10^6</f>
        <v>3.0391659999999998</v>
      </c>
      <c r="AB221" s="582">
        <f>+[5]ค่าใช้จ่ายดำเนินงาน!K89/10^6</f>
        <v>2.8766340000000001</v>
      </c>
      <c r="AC221" s="582">
        <f>+[5]ค่าใช้จ่ายดำเนินงาน!L89/10^6</f>
        <v>3.0316100000000001</v>
      </c>
      <c r="AD221" s="582">
        <f>+[5]ค่าใช้จ่ายดำเนินงาน!M89/10^6</f>
        <v>3.2521100000000001</v>
      </c>
      <c r="AE221" s="583">
        <f t="shared" si="23"/>
        <v>34.657992</v>
      </c>
      <c r="AF221" s="584">
        <f>+[5]ค่าใช้จ่ายดำเนินงาน!AO89/10^6</f>
        <v>34.658000000000001</v>
      </c>
      <c r="AG221" s="479">
        <v>1024</v>
      </c>
      <c r="AH221" s="480" t="s">
        <v>63</v>
      </c>
      <c r="AI221" s="585">
        <f>+[6]ต.ค.58!$AA$416/10^6</f>
        <v>4.0827699699999993</v>
      </c>
      <c r="AJ221" s="585">
        <f>+[6]พ.ย.58!$AA$416/10^6</f>
        <v>4.263639959999999</v>
      </c>
      <c r="AK221" s="585">
        <f>+[6]ธ.ค.58!$AA$416/10^6</f>
        <v>4.6912270400000011</v>
      </c>
      <c r="AL221" s="585">
        <f>+[6]ม.ค.59!$AA$416/10^6</f>
        <v>5.927308319999999</v>
      </c>
      <c r="AM221" s="585">
        <f>+[6]ก.พ.59!$AA$416/10^6</f>
        <v>2.4060215400000002</v>
      </c>
      <c r="AN221" s="585">
        <f>+[6]มี.ค.59!$AA$416/10^6</f>
        <v>4.2817505100000011</v>
      </c>
      <c r="AO221" s="585">
        <f>+[6]เม.ย.59!$AA$416/10^6</f>
        <v>4.1916347900000002</v>
      </c>
      <c r="AP221" s="585">
        <f>+[6]พ.ค.59!$AA$416/10^6</f>
        <v>4.5707003199999994</v>
      </c>
      <c r="AQ221" s="585">
        <f>+[6]มิ.ย.59!$AA$416/10^6</f>
        <v>4.44689304</v>
      </c>
      <c r="AR221" s="585">
        <f>+[6]ก.ค.59!$AA$416/10^6</f>
        <v>4.082046870000001</v>
      </c>
      <c r="AS221" s="585">
        <f>+[6]ส.ค.59!$AA$416/10^6</f>
        <v>4.1904450499999992</v>
      </c>
      <c r="AT221" s="585">
        <f>+[6]ก.ย.59!$AA$416/10^6</f>
        <v>4.9471640499999996</v>
      </c>
      <c r="AU221" s="586">
        <f t="shared" si="24"/>
        <v>52.081601460000002</v>
      </c>
    </row>
    <row r="222" spans="1:47" s="478" customFormat="1" x14ac:dyDescent="0.2">
      <c r="A222" s="474">
        <v>1025</v>
      </c>
      <c r="B222" s="475" t="s">
        <v>64</v>
      </c>
      <c r="C222" s="579">
        <f>+[2]ต.ค.59!$AB$423/10^6</f>
        <v>0.94793689000000014</v>
      </c>
      <c r="D222" s="579">
        <f>+[2]พ.ย.59!$AB$423/10^6</f>
        <v>1.01169468</v>
      </c>
      <c r="E222" s="579">
        <f>+[2]ธ.ค.59!$AB$423/10^6</f>
        <v>1.0972923499999996</v>
      </c>
      <c r="F222" s="579">
        <f>+[2]ม.ค.60!$AB$423/10^6</f>
        <v>0.94764974000000013</v>
      </c>
      <c r="G222" s="579">
        <f>+[2]ก.พ.60!$AB$423/10^6</f>
        <v>0.92293220999999992</v>
      </c>
      <c r="H222" s="579">
        <f>+[2]มี.ค.60!$AB$423/10^6</f>
        <v>1.1369064800000002</v>
      </c>
      <c r="I222" s="579">
        <f>+[2]เม.ย.60!$AB$423/10^6</f>
        <v>1.08947119</v>
      </c>
      <c r="J222" s="579">
        <f>+[2]พ.ค.60!$AB$423/10^6</f>
        <v>1.03495636</v>
      </c>
      <c r="K222" s="579">
        <f>+[2]มิ.ย.60!$AB$423/10^6</f>
        <v>1.0771876500000004</v>
      </c>
      <c r="L222" s="579">
        <f>+[2]ก.ค.60!$AB$423/10^6</f>
        <v>1.0096955500000002</v>
      </c>
      <c r="M222" s="579">
        <f>+[2]ส.ค.60!$AB$423/10^6</f>
        <v>1.12324979</v>
      </c>
      <c r="N222" s="579">
        <f>+[2]ก.ย.60!$AB$423/10^6</f>
        <v>1.0914635399999999</v>
      </c>
      <c r="O222" s="580">
        <f t="shared" si="22"/>
        <v>12.490436430000003</v>
      </c>
      <c r="P222" s="581"/>
      <c r="Q222" s="476">
        <v>1025</v>
      </c>
      <c r="R222" s="477" t="s">
        <v>64</v>
      </c>
      <c r="S222" s="582">
        <f>+[5]ค่าใช้จ่ายดำเนินงาน!B90/10^6</f>
        <v>0.98391600000000001</v>
      </c>
      <c r="T222" s="582">
        <f>+[5]ค่าใช้จ่ายดำเนินงาน!C90/10^6</f>
        <v>0.99450700000000003</v>
      </c>
      <c r="U222" s="582">
        <f>+[5]ค่าใช้จ่ายดำเนินงาน!D90/10^6</f>
        <v>0.96327099999999999</v>
      </c>
      <c r="V222" s="582">
        <f>+[5]ค่าใช้จ่ายดำเนินงาน!E90/10^6</f>
        <v>1.0005040000000001</v>
      </c>
      <c r="W222" s="582">
        <f>+[5]ค่าใช้จ่ายดำเนินงาน!F90/10^6</f>
        <v>1.151797</v>
      </c>
      <c r="X222" s="582">
        <f>+[5]ค่าใช้จ่ายดำเนินงาน!G90/10^6</f>
        <v>1.001544</v>
      </c>
      <c r="Y222" s="582">
        <f>+[5]ค่าใช้จ่ายดำเนินงาน!H90/10^6</f>
        <v>1.00274</v>
      </c>
      <c r="Z222" s="582">
        <f>+[5]ค่าใช้จ่ายดำเนินงาน!I90/10^6</f>
        <v>0.99986900000000001</v>
      </c>
      <c r="AA222" s="582">
        <f>+[5]ค่าใช้จ่ายดำเนินงาน!J90/10^6</f>
        <v>1.051739</v>
      </c>
      <c r="AB222" s="582">
        <f>+[5]ค่าใช้จ่ายดำเนินงาน!K90/10^6</f>
        <v>0.97192699999999999</v>
      </c>
      <c r="AC222" s="582">
        <f>+[5]ค่าใช้จ่ายดำเนินงาน!L90/10^6</f>
        <v>0.99184700000000003</v>
      </c>
      <c r="AD222" s="582">
        <f>+[5]ค่าใช้จ่ายดำเนินงาน!M90/10^6</f>
        <v>1.1243300000000001</v>
      </c>
      <c r="AE222" s="583">
        <f t="shared" si="23"/>
        <v>12.237991000000001</v>
      </c>
      <c r="AF222" s="584">
        <f>+[5]ค่าใช้จ่ายดำเนินงาน!AO90/10^6</f>
        <v>12.23799</v>
      </c>
      <c r="AG222" s="479">
        <v>1025</v>
      </c>
      <c r="AH222" s="480" t="s">
        <v>64</v>
      </c>
      <c r="AI222" s="585">
        <f>+[6]ต.ค.58!$AB$416/10^6</f>
        <v>0.95949923999999998</v>
      </c>
      <c r="AJ222" s="585">
        <f>+[6]พ.ย.58!$AB$416/10^6</f>
        <v>1.00279019</v>
      </c>
      <c r="AK222" s="585">
        <f>+[6]ธ.ค.58!$AB$416/10^6</f>
        <v>1.0126688699999999</v>
      </c>
      <c r="AL222" s="585">
        <f>+[6]ม.ค.59!$AB$416/10^6</f>
        <v>1.0292213299999999</v>
      </c>
      <c r="AM222" s="585">
        <f>+[6]ก.พ.59!$AB$416/10^6</f>
        <v>0.94176207000000023</v>
      </c>
      <c r="AN222" s="585">
        <f>+[6]มี.ค.59!$AB$416/10^6</f>
        <v>0.94488033000000005</v>
      </c>
      <c r="AO222" s="585">
        <f>+[6]เม.ย.59!$AB$416/10^6</f>
        <v>1.0267422700000002</v>
      </c>
      <c r="AP222" s="585">
        <f>+[6]พ.ค.59!$AB$416/10^6</f>
        <v>0.98839774000000002</v>
      </c>
      <c r="AQ222" s="585">
        <f>+[6]มิ.ย.59!$AB$416/10^6</f>
        <v>1.0236567700000001</v>
      </c>
      <c r="AR222" s="585">
        <f>+[6]ก.ค.59!$AB$416/10^6</f>
        <v>0.99173962000000004</v>
      </c>
      <c r="AS222" s="585">
        <f>+[6]ส.ค.59!$AB$416/10^6</f>
        <v>0.96841309000000009</v>
      </c>
      <c r="AT222" s="585">
        <f>+[6]ก.ย.59!$AB$416/10^6</f>
        <v>1.2121395100000001</v>
      </c>
      <c r="AU222" s="586">
        <f t="shared" si="24"/>
        <v>12.101911030000002</v>
      </c>
    </row>
    <row r="223" spans="1:47" s="478" customFormat="1" x14ac:dyDescent="0.2">
      <c r="A223" s="474">
        <v>1026</v>
      </c>
      <c r="B223" s="475" t="s">
        <v>65</v>
      </c>
      <c r="C223" s="579">
        <f>+[2]ต.ค.59!$AC$423/10^6</f>
        <v>0.46733128000000002</v>
      </c>
      <c r="D223" s="579">
        <f>+[2]พ.ย.59!$AC$423/10^6</f>
        <v>0.46811513000000005</v>
      </c>
      <c r="E223" s="579">
        <f>+[2]ธ.ค.59!$AC$423/10^6</f>
        <v>0.61796080999999992</v>
      </c>
      <c r="F223" s="579">
        <f>+[2]ม.ค.60!$AC$423/10^6</f>
        <v>0.49630564999999999</v>
      </c>
      <c r="G223" s="579">
        <f>+[2]ก.พ.60!$AC$423/10^6</f>
        <v>0.46593001000000006</v>
      </c>
      <c r="H223" s="579">
        <f>+[2]มี.ค.60!$AC$423/10^6</f>
        <v>0.51471520999999998</v>
      </c>
      <c r="I223" s="579">
        <f>+[2]เม.ย.60!$AC$423/10^6</f>
        <v>0.49861604000000004</v>
      </c>
      <c r="J223" s="579">
        <f>+[2]พ.ค.60!$AC$423/10^6</f>
        <v>0.53483347000000003</v>
      </c>
      <c r="K223" s="579">
        <f>+[2]มิ.ย.60!$AC$423/10^6</f>
        <v>0.50728112999999997</v>
      </c>
      <c r="L223" s="579">
        <f>+[2]ก.ค.60!$AC$423/10^6</f>
        <v>0.51387203000000004</v>
      </c>
      <c r="M223" s="579">
        <f>+[2]ส.ค.60!$AC$423/10^6</f>
        <v>0.55205082999999988</v>
      </c>
      <c r="N223" s="579">
        <f>+[2]ก.ย.60!$AC$423/10^6</f>
        <v>0.58301333999999994</v>
      </c>
      <c r="O223" s="580">
        <f t="shared" si="22"/>
        <v>6.2200249299999992</v>
      </c>
      <c r="P223" s="581"/>
      <c r="Q223" s="476">
        <v>1026</v>
      </c>
      <c r="R223" s="477" t="s">
        <v>65</v>
      </c>
      <c r="S223" s="582">
        <f>+[5]ค่าใช้จ่ายดำเนินงาน!B91/10^6</f>
        <v>0.480159</v>
      </c>
      <c r="T223" s="582">
        <f>+[5]ค่าใช้จ่ายดำเนินงาน!C91/10^6</f>
        <v>0.46749499999999999</v>
      </c>
      <c r="U223" s="582">
        <f>+[5]ค่าใช้จ่ายดำเนินงาน!D91/10^6</f>
        <v>0.49976100000000001</v>
      </c>
      <c r="V223" s="582">
        <f>+[5]ค่าใช้จ่ายดำเนินงาน!E91/10^6</f>
        <v>0.51065499999999997</v>
      </c>
      <c r="W223" s="582">
        <f>+[5]ค่าใช้จ่ายดำเนินงาน!F91/10^6</f>
        <v>0.52941800000000006</v>
      </c>
      <c r="X223" s="582">
        <f>+[5]ค่าใช้จ่ายดำเนินงาน!G91/10^6</f>
        <v>0.52622999999999998</v>
      </c>
      <c r="Y223" s="582">
        <f>+[5]ค่าใช้จ่ายดำเนินงาน!H91/10^6</f>
        <v>0.46944000000000002</v>
      </c>
      <c r="Z223" s="582">
        <f>+[5]ค่าใช้จ่ายดำเนินงาน!I91/10^6</f>
        <v>0.48051899999999997</v>
      </c>
      <c r="AA223" s="582">
        <f>+[5]ค่าใช้จ่ายดำเนินงาน!J91/10^6</f>
        <v>0.56904100000000002</v>
      </c>
      <c r="AB223" s="582">
        <f>+[5]ค่าใช้จ่ายดำเนินงาน!K91/10^6</f>
        <v>0.506073</v>
      </c>
      <c r="AC223" s="582">
        <f>+[5]ค่าใช้จ่ายดำเนินงาน!L91/10^6</f>
        <v>0.52720500000000003</v>
      </c>
      <c r="AD223" s="582">
        <f>+[5]ค่าใช้จ่ายดำเนินงาน!M91/10^6</f>
        <v>0.57524900000000001</v>
      </c>
      <c r="AE223" s="583">
        <f t="shared" si="23"/>
        <v>6.1412450000000005</v>
      </c>
      <c r="AF223" s="584">
        <f>+[5]ค่าใช้จ่ายดำเนินงาน!AO91/10^6</f>
        <v>6.1462500000000002</v>
      </c>
      <c r="AG223" s="479">
        <v>1026</v>
      </c>
      <c r="AH223" s="480" t="s">
        <v>65</v>
      </c>
      <c r="AI223" s="585">
        <f>+[6]ต.ค.58!$AC$416/10^6</f>
        <v>0.4216706400000001</v>
      </c>
      <c r="AJ223" s="585">
        <f>+[6]พ.ย.58!$AC$416/10^6</f>
        <v>0.42679246999999998</v>
      </c>
      <c r="AK223" s="585">
        <f>+[6]ธ.ค.58!$AC$416/10^6</f>
        <v>0.46483955999999998</v>
      </c>
      <c r="AL223" s="585">
        <f>+[6]ม.ค.59!$AC$416/10^6</f>
        <v>0.45287918999999993</v>
      </c>
      <c r="AM223" s="585">
        <f>+[6]ก.พ.59!$AC$416/10^6</f>
        <v>0.47682784999999994</v>
      </c>
      <c r="AN223" s="585">
        <f>+[6]มี.ค.59!$AC$416/10^6</f>
        <v>0.49628707999999999</v>
      </c>
      <c r="AO223" s="585">
        <f>+[6]เม.ย.59!$AC$416/10^6</f>
        <v>0.45374007</v>
      </c>
      <c r="AP223" s="585">
        <f>+[6]พ.ค.59!$AC$416/10^6</f>
        <v>0.46500947999999998</v>
      </c>
      <c r="AQ223" s="585">
        <f>+[6]มิ.ย.59!$AC$416/10^6</f>
        <v>0.54007654000000005</v>
      </c>
      <c r="AR223" s="585">
        <f>+[6]ก.ค.59!$AC$416/10^6</f>
        <v>0.45744043000000001</v>
      </c>
      <c r="AS223" s="585">
        <f>+[6]ส.ค.59!$AC$416/10^6</f>
        <v>0.48827329000000003</v>
      </c>
      <c r="AT223" s="585">
        <f>+[6]ก.ย.59!$AC$416/10^6</f>
        <v>0.47088507000000007</v>
      </c>
      <c r="AU223" s="586">
        <f t="shared" si="24"/>
        <v>5.6147216700000007</v>
      </c>
    </row>
    <row r="224" spans="1:47" s="478" customFormat="1" x14ac:dyDescent="0.2">
      <c r="A224" s="474">
        <v>1027</v>
      </c>
      <c r="B224" s="475" t="s">
        <v>66</v>
      </c>
      <c r="C224" s="579">
        <f>+[2]ต.ค.59!$AD$423/10^6</f>
        <v>0.66958534999999997</v>
      </c>
      <c r="D224" s="579">
        <f>+[2]พ.ย.59!$AD$423/10^6</f>
        <v>0.63144865000000006</v>
      </c>
      <c r="E224" s="579">
        <f>+[2]ธ.ค.59!$AD$423/10^6</f>
        <v>0.83915342999999998</v>
      </c>
      <c r="F224" s="579">
        <f>+[2]ม.ค.60!$AD$423/10^6</f>
        <v>0.67638152000000007</v>
      </c>
      <c r="G224" s="579">
        <f>+[2]ก.พ.60!$AD$423/10^6</f>
        <v>0.70146942999999995</v>
      </c>
      <c r="H224" s="579">
        <f>+[2]มี.ค.60!$AD$423/10^6</f>
        <v>0.77650821999999997</v>
      </c>
      <c r="I224" s="579">
        <f>+[2]เม.ย.60!$AD$423/10^6</f>
        <v>0.79234877999999997</v>
      </c>
      <c r="J224" s="579">
        <f>+[2]พ.ค.60!$AD$423/10^6</f>
        <v>0.78744405999999989</v>
      </c>
      <c r="K224" s="579">
        <f>+[2]มิ.ย.60!$AD$423/10^6</f>
        <v>0.80740724000000008</v>
      </c>
      <c r="L224" s="579">
        <f>+[2]ก.ค.60!$AD$423/10^6</f>
        <v>0.79586385999999998</v>
      </c>
      <c r="M224" s="579">
        <f>+[2]ส.ค.60!$AD$423/10^6</f>
        <v>0.77844137000000024</v>
      </c>
      <c r="N224" s="579">
        <f>+[2]ก.ย.60!$AD$423/10^6</f>
        <v>0.94497326000000004</v>
      </c>
      <c r="O224" s="580">
        <f t="shared" si="22"/>
        <v>9.2010251699999994</v>
      </c>
      <c r="P224" s="581"/>
      <c r="Q224" s="476">
        <v>1027</v>
      </c>
      <c r="R224" s="477" t="s">
        <v>66</v>
      </c>
      <c r="S224" s="582">
        <f>+[5]ค่าใช้จ่ายดำเนินงาน!B92/10^6</f>
        <v>0.66178199999999998</v>
      </c>
      <c r="T224" s="582">
        <f>+[5]ค่าใช้จ่ายดำเนินงาน!C92/10^6</f>
        <v>0.65262600000000004</v>
      </c>
      <c r="U224" s="582">
        <f>+[5]ค่าใช้จ่ายดำเนินงาน!D92/10^6</f>
        <v>0.67861899999999997</v>
      </c>
      <c r="V224" s="582">
        <f>+[5]ค่าใช้จ่ายดำเนินงาน!E92/10^6</f>
        <v>0.662416</v>
      </c>
      <c r="W224" s="582">
        <f>+[5]ค่าใช้จ่ายดำเนินงาน!F92/10^6</f>
        <v>0.71081000000000005</v>
      </c>
      <c r="X224" s="582">
        <f>+[5]ค่าใช้จ่ายดำเนินงาน!G92/10^6</f>
        <v>0.70091800000000004</v>
      </c>
      <c r="Y224" s="582">
        <f>+[5]ค่าใช้จ่ายดำเนินงาน!H92/10^6</f>
        <v>0.65362399999999998</v>
      </c>
      <c r="Z224" s="582">
        <f>+[5]ค่าใช้จ่ายดำเนินงาน!I92/10^6</f>
        <v>0.68107399999999996</v>
      </c>
      <c r="AA224" s="582">
        <f>+[5]ค่าใช้จ่ายดำเนินงาน!J92/10^6</f>
        <v>0.68321699999999996</v>
      </c>
      <c r="AB224" s="582">
        <f>+[5]ค่าใช้จ่ายดำเนินงาน!K92/10^6</f>
        <v>0.68687399999999998</v>
      </c>
      <c r="AC224" s="582">
        <f>+[5]ค่าใช้จ่ายดำเนินงาน!L92/10^6</f>
        <v>0.67456499999999997</v>
      </c>
      <c r="AD224" s="582">
        <f>+[5]ค่าใช้จ่ายดำเนินงาน!M92/10^6</f>
        <v>0.73179799999999995</v>
      </c>
      <c r="AE224" s="583">
        <f t="shared" si="23"/>
        <v>8.1783230000000007</v>
      </c>
      <c r="AF224" s="584">
        <f>+[5]ค่าใช้จ่ายดำเนินงาน!AO92/10^6</f>
        <v>8.1783199999999994</v>
      </c>
      <c r="AG224" s="479">
        <v>1027</v>
      </c>
      <c r="AH224" s="480" t="s">
        <v>66</v>
      </c>
      <c r="AI224" s="585">
        <f>+[6]ต.ค.58!$AD$416/10^6</f>
        <v>0.65067082000000009</v>
      </c>
      <c r="AJ224" s="585">
        <f>+[6]พ.ย.58!$AD$416/10^6</f>
        <v>0.61993333999999989</v>
      </c>
      <c r="AK224" s="585">
        <f>+[6]ธ.ค.58!$AD$416/10^6</f>
        <v>0.63677732000000009</v>
      </c>
      <c r="AL224" s="585">
        <f>+[6]ม.ค.59!$AD$416/10^6</f>
        <v>0.62281954000000006</v>
      </c>
      <c r="AM224" s="585">
        <f>+[6]ก.พ.59!$AD$416/10^6</f>
        <v>0.68376183999999995</v>
      </c>
      <c r="AN224" s="585">
        <f>+[6]มี.ค.59!$AD$416/10^6</f>
        <v>0.67525084999999996</v>
      </c>
      <c r="AO224" s="585">
        <f>+[6]เม.ย.59!$AD$416/10^6</f>
        <v>0.62371447000000002</v>
      </c>
      <c r="AP224" s="585">
        <f>+[6]พ.ค.59!$AD$416/10^6</f>
        <v>0.68008282000000009</v>
      </c>
      <c r="AQ224" s="585">
        <f>+[6]มิ.ย.59!$AD$416/10^6</f>
        <v>0.67170036</v>
      </c>
      <c r="AR224" s="585">
        <f>+[6]ก.ค.59!$AD$416/10^6</f>
        <v>0.67550431000000011</v>
      </c>
      <c r="AS224" s="585">
        <f>+[6]ส.ค.59!$AD$416/10^6</f>
        <v>0.64588997999999997</v>
      </c>
      <c r="AT224" s="585">
        <f>+[6]ก.ย.59!$AD$416/10^6</f>
        <v>0.69488899000000004</v>
      </c>
      <c r="AU224" s="586">
        <f t="shared" si="24"/>
        <v>7.8809946399999999</v>
      </c>
    </row>
    <row r="225" spans="1:47" s="478" customFormat="1" x14ac:dyDescent="0.2">
      <c r="A225" s="474">
        <v>1028</v>
      </c>
      <c r="B225" s="475" t="s">
        <v>67</v>
      </c>
      <c r="C225" s="579">
        <f>+[2]ต.ค.59!$AE$423/10^6</f>
        <v>1.9880132199999996</v>
      </c>
      <c r="D225" s="579">
        <f>+[2]พ.ย.59!$AE$423/10^6</f>
        <v>2.0729246599999995</v>
      </c>
      <c r="E225" s="579">
        <f>+[2]ธ.ค.59!$AE$423/10^6</f>
        <v>2.4138983599999997</v>
      </c>
      <c r="F225" s="579">
        <f>+[2]ม.ค.60!$AE$423/10^6</f>
        <v>1.97839969</v>
      </c>
      <c r="G225" s="579">
        <f>+[2]ก.พ.60!$AE$423/10^6</f>
        <v>2.0374431300000002</v>
      </c>
      <c r="H225" s="579">
        <f>+[2]มี.ค.60!$AE$423/10^6</f>
        <v>2.1754892800000003</v>
      </c>
      <c r="I225" s="579">
        <f>+[2]เม.ย.60!$AE$423/10^6</f>
        <v>1.9380391999999997</v>
      </c>
      <c r="J225" s="579">
        <f>+[2]พ.ค.60!$AE$423/10^6</f>
        <v>2.18899533</v>
      </c>
      <c r="K225" s="579">
        <f>+[2]มิ.ย.60!$AE$423/10^6</f>
        <v>2.1463144900000004</v>
      </c>
      <c r="L225" s="579">
        <f>+[2]ก.ค.60!$AE$423/10^6</f>
        <v>2.0941153199999998</v>
      </c>
      <c r="M225" s="579">
        <f>+[2]ส.ค.60!$AE$423/10^6</f>
        <v>2.55060836</v>
      </c>
      <c r="N225" s="579">
        <f>+[2]ก.ย.60!$AE$423/10^6</f>
        <v>2.4122200899999999</v>
      </c>
      <c r="O225" s="580">
        <f t="shared" si="22"/>
        <v>25.99646113</v>
      </c>
      <c r="P225" s="581"/>
      <c r="Q225" s="476">
        <v>1028</v>
      </c>
      <c r="R225" s="477" t="s">
        <v>67</v>
      </c>
      <c r="S225" s="582">
        <f>+[5]ค่าใช้จ่ายดำเนินงาน!B93/10^6</f>
        <v>2.0422440000000002</v>
      </c>
      <c r="T225" s="582">
        <f>+[5]ค่าใช้จ่ายดำเนินงาน!C93/10^6</f>
        <v>2.0673810000000001</v>
      </c>
      <c r="U225" s="582">
        <f>+[5]ค่าใช้จ่ายดำเนินงาน!D93/10^6</f>
        <v>2.0105819999999999</v>
      </c>
      <c r="V225" s="582">
        <f>+[5]ค่าใช้จ่ายดำเนินงาน!E93/10^6</f>
        <v>2.0816970000000001</v>
      </c>
      <c r="W225" s="582">
        <f>+[5]ค่าใช้จ่ายดำเนินงาน!F93/10^6</f>
        <v>2.1161430000000001</v>
      </c>
      <c r="X225" s="582">
        <f>+[5]ค่าใช้จ่ายดำเนินงาน!G93/10^6</f>
        <v>2.1911459999999998</v>
      </c>
      <c r="Y225" s="582">
        <f>+[5]ค่าใช้จ่ายดำเนินงาน!H93/10^6</f>
        <v>2.1117780000000002</v>
      </c>
      <c r="Z225" s="582">
        <f>+[5]ค่าใช้จ่ายดำเนินงาน!I93/10^6</f>
        <v>2.1594150000000001</v>
      </c>
      <c r="AA225" s="582">
        <f>+[5]ค่าใช้จ่ายดำเนินงาน!J93/10^6</f>
        <v>2.328659</v>
      </c>
      <c r="AB225" s="582">
        <f>+[5]ค่าใช้จ่ายดำเนินงาน!K93/10^6</f>
        <v>2.234947</v>
      </c>
      <c r="AC225" s="582">
        <f>+[5]ค่าใช้จ่ายดำเนินงาน!L93/10^6</f>
        <v>2.2733560000000002</v>
      </c>
      <c r="AD225" s="582">
        <f>+[5]ค่าใช้จ่ายดำเนินงาน!M93/10^6</f>
        <v>2.5754969999999999</v>
      </c>
      <c r="AE225" s="583">
        <f t="shared" si="23"/>
        <v>26.192844999999998</v>
      </c>
      <c r="AF225" s="584">
        <f>+[5]ค่าใช้จ่ายดำเนินงาน!AO93/10^6</f>
        <v>26.19284</v>
      </c>
      <c r="AG225" s="479">
        <v>1028</v>
      </c>
      <c r="AH225" s="480" t="s">
        <v>67</v>
      </c>
      <c r="AI225" s="585">
        <f>+[6]ต.ค.58!$AE$416/10^6</f>
        <v>2.0134900300000003</v>
      </c>
      <c r="AJ225" s="585">
        <f>+[6]พ.ย.58!$AE$416/10^6</f>
        <v>2.14954578</v>
      </c>
      <c r="AK225" s="585">
        <f>+[6]ธ.ค.58!$AE$416/10^6</f>
        <v>1.9374448900000001</v>
      </c>
      <c r="AL225" s="585">
        <f>+[6]ม.ค.59!$AE$416/10^6</f>
        <v>1.9815270600000001</v>
      </c>
      <c r="AM225" s="585">
        <f>+[6]ก.พ.59!$AE$416/10^6</f>
        <v>2.1131166899999996</v>
      </c>
      <c r="AN225" s="585">
        <f>+[6]มี.ค.59!$AE$416/10^6</f>
        <v>2.2225986299999998</v>
      </c>
      <c r="AO225" s="585">
        <f>+[6]เม.ย.59!$AE$416/10^6</f>
        <v>2.0226492699999996</v>
      </c>
      <c r="AP225" s="585">
        <f>+[6]พ.ค.59!$AE$416/10^6</f>
        <v>2.1846107200000002</v>
      </c>
      <c r="AQ225" s="585">
        <f>+[6]มิ.ย.59!$AE$416/10^6</f>
        <v>2.2605089599999997</v>
      </c>
      <c r="AR225" s="585">
        <f>+[6]ก.ค.59!$AE$416/10^6</f>
        <v>2.3022048300000004</v>
      </c>
      <c r="AS225" s="585">
        <f>+[6]ส.ค.59!$AE$416/10^6</f>
        <v>2.1818408499999999</v>
      </c>
      <c r="AT225" s="585">
        <f>+[6]ก.ย.59!$AE$416/10^6</f>
        <v>2.1909077699999999</v>
      </c>
      <c r="AU225" s="586">
        <f t="shared" si="24"/>
        <v>25.560445479999998</v>
      </c>
    </row>
    <row r="226" spans="1:47" s="478" customFormat="1" x14ac:dyDescent="0.2">
      <c r="A226" s="474">
        <v>1029</v>
      </c>
      <c r="B226" s="475" t="s">
        <v>68</v>
      </c>
      <c r="C226" s="579">
        <f>+[2]ต.ค.59!$AF$423/10^6</f>
        <v>0.46512808999999999</v>
      </c>
      <c r="D226" s="579">
        <f>+[2]พ.ย.59!$AF$423/10^6</f>
        <v>0.47190141999999996</v>
      </c>
      <c r="E226" s="579">
        <f>+[2]ธ.ค.59!$AF$423/10^6</f>
        <v>0.61791921000000005</v>
      </c>
      <c r="F226" s="579">
        <f>+[2]ม.ค.60!$AF$423/10^6</f>
        <v>0.47325707999999989</v>
      </c>
      <c r="G226" s="579">
        <f>+[2]ก.พ.60!$AF$423/10^6</f>
        <v>0.49445043000000005</v>
      </c>
      <c r="H226" s="579">
        <f>+[2]มี.ค.60!$AF$423/10^6</f>
        <v>0.59802843000000006</v>
      </c>
      <c r="I226" s="579">
        <f>+[2]เม.ย.60!$AF$423/10^6</f>
        <v>0.49599746000000006</v>
      </c>
      <c r="J226" s="579">
        <f>+[2]พ.ค.60!$AF$423/10^6</f>
        <v>0.57580823000000014</v>
      </c>
      <c r="K226" s="579">
        <f>+[2]มิ.ย.60!$AF$423/10^6</f>
        <v>0.59075118999999987</v>
      </c>
      <c r="L226" s="579">
        <f>+[2]ก.ค.60!$AF$423/10^6</f>
        <v>0.58479782000000002</v>
      </c>
      <c r="M226" s="579">
        <f>+[2]ส.ค.60!$AF$423/10^6</f>
        <v>0.54287258999999999</v>
      </c>
      <c r="N226" s="579">
        <f>+[2]ก.ย.60!$AF$423/10^6</f>
        <v>0.60278147000000004</v>
      </c>
      <c r="O226" s="580">
        <f t="shared" si="22"/>
        <v>6.5136934200000001</v>
      </c>
      <c r="P226" s="581"/>
      <c r="Q226" s="476">
        <v>1029</v>
      </c>
      <c r="R226" s="477" t="s">
        <v>68</v>
      </c>
      <c r="S226" s="582">
        <f>+[5]ค่าใช้จ่ายดำเนินงาน!B94/10^6</f>
        <v>0.493315</v>
      </c>
      <c r="T226" s="582">
        <f>+[5]ค่าใช้จ่ายดำเนินงาน!C94/10^6</f>
        <v>0.48293599999999998</v>
      </c>
      <c r="U226" s="582">
        <f>+[5]ค่าใช้จ่ายดำเนินงาน!D94/10^6</f>
        <v>0.50674799999999998</v>
      </c>
      <c r="V226" s="582">
        <f>+[5]ค่าใช้จ่ายดำเนินงาน!E94/10^6</f>
        <v>0.52116200000000001</v>
      </c>
      <c r="W226" s="582">
        <f>+[5]ค่าใช้จ่ายดำเนินงาน!F94/10^6</f>
        <v>0.50370400000000004</v>
      </c>
      <c r="X226" s="582">
        <f>+[5]ค่าใช้จ่ายดำเนินงาน!G94/10^6</f>
        <v>0.53544400000000003</v>
      </c>
      <c r="Y226" s="582">
        <f>+[5]ค่าใช้จ่ายดำเนินงาน!H94/10^6</f>
        <v>0.51558599999999999</v>
      </c>
      <c r="Z226" s="582">
        <f>+[5]ค่าใช้จ่ายดำเนินงาน!I94/10^6</f>
        <v>0.50826700000000002</v>
      </c>
      <c r="AA226" s="582">
        <f>+[5]ค่าใช้จ่ายดำเนินงาน!J94/10^6</f>
        <v>0.52628699999999995</v>
      </c>
      <c r="AB226" s="582">
        <f>+[5]ค่าใช้จ่ายดำเนินงาน!K94/10^6</f>
        <v>0.58573600000000003</v>
      </c>
      <c r="AC226" s="582">
        <f>+[5]ค่าใช้จ่ายดำเนินงาน!L94/10^6</f>
        <v>0.53720100000000004</v>
      </c>
      <c r="AD226" s="582">
        <f>+[5]ค่าใช้จ่ายดำเนินงาน!M94/10^6</f>
        <v>0.55113000000000001</v>
      </c>
      <c r="AE226" s="583">
        <f t="shared" si="23"/>
        <v>6.2675159999999996</v>
      </c>
      <c r="AF226" s="584">
        <f>+[5]ค่าใช้จ่ายดำเนินงาน!AO94/10^6</f>
        <v>6.2675200000000002</v>
      </c>
      <c r="AG226" s="479">
        <v>1029</v>
      </c>
      <c r="AH226" s="480" t="s">
        <v>68</v>
      </c>
      <c r="AI226" s="585">
        <f>+[6]ต.ค.58!$AF$416/10^6</f>
        <v>0.51829723999999988</v>
      </c>
      <c r="AJ226" s="585">
        <f>+[6]พ.ย.58!$AF$416/10^6</f>
        <v>0.54691221000000012</v>
      </c>
      <c r="AK226" s="585">
        <f>+[6]ธ.ค.58!$AF$416/10^6</f>
        <v>0.5684284300000001</v>
      </c>
      <c r="AL226" s="585">
        <f>+[6]ม.ค.59!$AF$416/10^6</f>
        <v>0.53738131999999994</v>
      </c>
      <c r="AM226" s="585">
        <f>+[6]ก.พ.59!$AF$416/10^6</f>
        <v>0.53901206999999995</v>
      </c>
      <c r="AN226" s="585">
        <f>+[6]มี.ค.59!$AF$416/10^6</f>
        <v>0.58511472000000009</v>
      </c>
      <c r="AO226" s="585">
        <f>+[6]เม.ย.59!$AF$416/10^6</f>
        <v>0.55991588000000014</v>
      </c>
      <c r="AP226" s="585">
        <f>+[6]พ.ค.59!$AF$416/10^6</f>
        <v>0.54339590999999987</v>
      </c>
      <c r="AQ226" s="585">
        <f>+[6]มิ.ย.59!$AF$416/10^6</f>
        <v>0.50704998000000012</v>
      </c>
      <c r="AR226" s="585">
        <f>+[6]ก.ค.59!$AF$416/10^6</f>
        <v>0.87948636999999996</v>
      </c>
      <c r="AS226" s="585">
        <f>+[6]ส.ค.59!$AF$416/10^6</f>
        <v>0.50180146000000003</v>
      </c>
      <c r="AT226" s="585">
        <f>+[6]ก.ย.59!$AF$416/10^6</f>
        <v>0.51310264999999999</v>
      </c>
      <c r="AU226" s="586">
        <f t="shared" si="24"/>
        <v>6.799898240000001</v>
      </c>
    </row>
    <row r="227" spans="1:47" s="478" customFormat="1" ht="15" thickBot="1" x14ac:dyDescent="0.25">
      <c r="A227" s="587">
        <v>1030</v>
      </c>
      <c r="B227" s="588" t="s">
        <v>69</v>
      </c>
      <c r="C227" s="589">
        <f>+[2]ต.ค.59!$AG$423/10^6</f>
        <v>0.68588704000000011</v>
      </c>
      <c r="D227" s="589">
        <f>+[2]พ.ย.59!$AG$423/10^6</f>
        <v>0.71346676000000009</v>
      </c>
      <c r="E227" s="589">
        <f>+[2]ธ.ค.59!$AG$423/10^6</f>
        <v>0.91607736000000006</v>
      </c>
      <c r="F227" s="589">
        <f>+[2]ม.ค.60!$AG$423/10^6</f>
        <v>0.66519055999999999</v>
      </c>
      <c r="G227" s="589">
        <f>+[2]ก.พ.60!$AG$423/10^6</f>
        <v>0.76501603000000029</v>
      </c>
      <c r="H227" s="589">
        <f>+[2]มี.ค.60!$AG$423/10^6</f>
        <v>0.83939399999999997</v>
      </c>
      <c r="I227" s="589">
        <f>+[2]เม.ย.60!$AG$423/10^6</f>
        <v>0.71369384999999985</v>
      </c>
      <c r="J227" s="589">
        <f>+[2]พ.ค.60!$AG$423/10^6</f>
        <v>0.76119969999999992</v>
      </c>
      <c r="K227" s="589">
        <f>+[2]มิ.ย.60!$AG$423/10^6</f>
        <v>0.68527853999999999</v>
      </c>
      <c r="L227" s="589">
        <f>+[2]ก.ค.60!$AG$423/10^6</f>
        <v>0.74380798999999997</v>
      </c>
      <c r="M227" s="589">
        <f>+[2]ส.ค.60!$AG$423/10^6</f>
        <v>0.73061534000000006</v>
      </c>
      <c r="N227" s="589">
        <f>+[2]ก.ย.60!$AG$423/10^6</f>
        <v>0.78188602000000007</v>
      </c>
      <c r="O227" s="590">
        <f t="shared" si="22"/>
        <v>9.0015131900000007</v>
      </c>
      <c r="P227" s="581"/>
      <c r="Q227" s="591">
        <v>1030</v>
      </c>
      <c r="R227" s="592" t="s">
        <v>69</v>
      </c>
      <c r="S227" s="593">
        <f>+[5]ค่าใช้จ่ายดำเนินงาน!B95/10^6</f>
        <v>0.70026500000000003</v>
      </c>
      <c r="T227" s="593">
        <f>+[5]ค่าใช้จ่ายดำเนินงาน!C95/10^6</f>
        <v>0.67592399999999997</v>
      </c>
      <c r="U227" s="593">
        <f>+[5]ค่าใช้จ่ายดำเนินงาน!D95/10^6</f>
        <v>0.72416999999999998</v>
      </c>
      <c r="V227" s="593">
        <f>+[5]ค่าใช้จ่ายดำเนินงาน!E95/10^6</f>
        <v>0.76098900000000003</v>
      </c>
      <c r="W227" s="593">
        <f>+[5]ค่าใช้จ่ายดำเนินงาน!F95/10^6</f>
        <v>0.67040100000000002</v>
      </c>
      <c r="X227" s="593">
        <f>+[5]ค่าใช้จ่ายดำเนินงาน!G95/10^6</f>
        <v>0.74285400000000001</v>
      </c>
      <c r="Y227" s="593">
        <f>+[5]ค่าใช้จ่ายดำเนินงาน!H95/10^6</f>
        <v>0.71074899999999996</v>
      </c>
      <c r="Z227" s="593">
        <f>+[5]ค่าใช้จ่ายดำเนินงาน!I95/10^6</f>
        <v>0.68350299999999997</v>
      </c>
      <c r="AA227" s="593">
        <f>+[5]ค่าใช้จ่ายดำเนินงาน!J95/10^6</f>
        <v>0.80030100000000004</v>
      </c>
      <c r="AB227" s="593">
        <f>+[5]ค่าใช้จ่ายดำเนินงาน!K95/10^6</f>
        <v>0.641621</v>
      </c>
      <c r="AC227" s="593">
        <f>+[5]ค่าใช้จ่ายดำเนินงาน!L95/10^6</f>
        <v>0.76708200000000004</v>
      </c>
      <c r="AD227" s="593">
        <f>+[5]ค่าใช้จ่ายดำเนินงาน!M95/10^6</f>
        <v>0.88064699999999996</v>
      </c>
      <c r="AE227" s="594">
        <f t="shared" si="23"/>
        <v>8.7585060000000006</v>
      </c>
      <c r="AF227" s="584">
        <f>+[5]ค่าใช้จ่ายดำเนินงาน!AO95/10^6</f>
        <v>8.7584999999999997</v>
      </c>
      <c r="AG227" s="595">
        <v>1030</v>
      </c>
      <c r="AH227" s="596" t="s">
        <v>69</v>
      </c>
      <c r="AI227" s="597">
        <f>+[6]ต.ค.58!$AG$416/10^6</f>
        <v>0.66038279999999994</v>
      </c>
      <c r="AJ227" s="597">
        <f>+[6]พ.ย.58!$AG$416/10^6</f>
        <v>0.69848892000000007</v>
      </c>
      <c r="AK227" s="597">
        <f>+[6]ธ.ค.58!$AG$416/10^6</f>
        <v>0.76797648000000007</v>
      </c>
      <c r="AL227" s="597">
        <f>+[6]ม.ค.59!$AG$416/10^6</f>
        <v>0.62251292999999996</v>
      </c>
      <c r="AM227" s="597">
        <f>+[6]ก.พ.59!$AG$416/10^6</f>
        <v>0.67630283000000002</v>
      </c>
      <c r="AN227" s="597">
        <f>+[6]มี.ค.59!$AG$416/10^6</f>
        <v>0.76135156000000004</v>
      </c>
      <c r="AO227" s="597">
        <f>+[6]เม.ย.59!$AG$416/10^6</f>
        <v>0.66998535999999997</v>
      </c>
      <c r="AP227" s="597">
        <f>+[6]พ.ค.59!$AG$416/10^6</f>
        <v>0.67011001000000014</v>
      </c>
      <c r="AQ227" s="597">
        <f>+[6]มิ.ย.59!$AG$416/10^6</f>
        <v>0.72666911000000012</v>
      </c>
      <c r="AR227" s="597">
        <f>+[6]ก.ค.59!$AG$416/10^6</f>
        <v>0.66467882000000011</v>
      </c>
      <c r="AS227" s="597">
        <f>+[6]ส.ค.59!$AG$416/10^6</f>
        <v>0.69627799000000012</v>
      </c>
      <c r="AT227" s="597">
        <f>+[6]ก.ย.59!$AG$416/10^6</f>
        <v>0.83280426000000007</v>
      </c>
      <c r="AU227" s="598">
        <f t="shared" si="24"/>
        <v>8.4475410700000015</v>
      </c>
    </row>
    <row r="228" spans="1:47" ht="15" thickBot="1" x14ac:dyDescent="0.25">
      <c r="C228" s="763"/>
      <c r="D228" s="763"/>
      <c r="E228" s="763"/>
      <c r="F228" s="763"/>
      <c r="G228" s="763"/>
      <c r="H228" s="763"/>
      <c r="I228" s="763"/>
      <c r="J228" s="763"/>
      <c r="K228" s="763"/>
      <c r="L228" s="763">
        <v>1733460.94</v>
      </c>
      <c r="M228" s="763"/>
      <c r="O228" s="758"/>
      <c r="P228" s="758"/>
    </row>
    <row r="229" spans="1:47" x14ac:dyDescent="0.2">
      <c r="A229" s="205">
        <v>1</v>
      </c>
      <c r="B229" s="206">
        <v>2</v>
      </c>
      <c r="C229" s="206">
        <v>3</v>
      </c>
      <c r="D229" s="206">
        <v>4</v>
      </c>
      <c r="E229" s="206">
        <v>5</v>
      </c>
      <c r="F229" s="206">
        <v>6</v>
      </c>
      <c r="G229" s="206">
        <v>7</v>
      </c>
      <c r="H229" s="206">
        <v>8</v>
      </c>
      <c r="I229" s="206">
        <v>9</v>
      </c>
      <c r="J229" s="206">
        <v>10</v>
      </c>
      <c r="K229" s="206">
        <v>11</v>
      </c>
      <c r="L229" s="206">
        <v>12</v>
      </c>
      <c r="M229" s="206">
        <v>13</v>
      </c>
      <c r="N229" s="206">
        <v>14</v>
      </c>
      <c r="O229" s="207">
        <v>15</v>
      </c>
      <c r="P229" s="206">
        <v>16</v>
      </c>
      <c r="Q229" s="207">
        <v>17</v>
      </c>
      <c r="R229" s="206">
        <v>18</v>
      </c>
      <c r="S229" s="207">
        <v>19</v>
      </c>
      <c r="T229" s="206">
        <v>20</v>
      </c>
      <c r="U229" s="207">
        <v>21</v>
      </c>
      <c r="V229" s="206">
        <v>22</v>
      </c>
      <c r="W229" s="207">
        <v>23</v>
      </c>
      <c r="X229" s="206">
        <v>24</v>
      </c>
      <c r="Y229" s="207">
        <v>25</v>
      </c>
      <c r="Z229" s="206">
        <v>26</v>
      </c>
      <c r="AA229" s="207">
        <v>27</v>
      </c>
      <c r="AB229" s="206">
        <v>28</v>
      </c>
      <c r="AC229" s="207">
        <v>29</v>
      </c>
      <c r="AD229" s="206">
        <v>30</v>
      </c>
      <c r="AE229" s="207">
        <v>31</v>
      </c>
      <c r="AF229" s="206">
        <v>32</v>
      </c>
      <c r="AG229" s="207">
        <v>33</v>
      </c>
      <c r="AH229" s="206">
        <v>34</v>
      </c>
      <c r="AI229" s="207">
        <v>35</v>
      </c>
      <c r="AJ229" s="206">
        <v>36</v>
      </c>
      <c r="AK229" s="207">
        <v>37</v>
      </c>
    </row>
    <row r="230" spans="1:47" x14ac:dyDescent="0.2">
      <c r="A230" s="214" t="s">
        <v>146</v>
      </c>
      <c r="B230" s="208"/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10"/>
      <c r="T230" s="214" t="s">
        <v>148</v>
      </c>
      <c r="U230" s="208"/>
      <c r="V230" s="209"/>
      <c r="W230" s="209"/>
      <c r="X230" s="209"/>
      <c r="Y230" s="209"/>
      <c r="Z230" s="209"/>
      <c r="AA230" s="209"/>
      <c r="AB230" s="209"/>
      <c r="AC230" s="209"/>
      <c r="AD230" s="209"/>
      <c r="AE230" s="209"/>
      <c r="AF230" s="209"/>
      <c r="AG230" s="209"/>
      <c r="AH230" s="210"/>
    </row>
    <row r="231" spans="1:47" x14ac:dyDescent="0.2">
      <c r="A231" s="551" t="s">
        <v>40</v>
      </c>
      <c r="B231" s="552" t="s">
        <v>41</v>
      </c>
      <c r="C231" s="553" t="s">
        <v>74</v>
      </c>
      <c r="D231" s="553" t="s">
        <v>75</v>
      </c>
      <c r="E231" s="553" t="s">
        <v>76</v>
      </c>
      <c r="F231" s="553" t="s">
        <v>77</v>
      </c>
      <c r="G231" s="553" t="s">
        <v>78</v>
      </c>
      <c r="H231" s="553" t="s">
        <v>79</v>
      </c>
      <c r="I231" s="553" t="s">
        <v>80</v>
      </c>
      <c r="J231" s="553" t="s">
        <v>81</v>
      </c>
      <c r="K231" s="553" t="s">
        <v>82</v>
      </c>
      <c r="L231" s="553" t="s">
        <v>83</v>
      </c>
      <c r="M231" s="553" t="s">
        <v>84</v>
      </c>
      <c r="N231" s="553" t="s">
        <v>85</v>
      </c>
      <c r="O231" s="683" t="s">
        <v>147</v>
      </c>
      <c r="P231" s="553" t="s">
        <v>118</v>
      </c>
      <c r="Q231" s="553" t="s">
        <v>119</v>
      </c>
      <c r="R231" s="553" t="s">
        <v>120</v>
      </c>
      <c r="T231" s="551" t="s">
        <v>40</v>
      </c>
      <c r="U231" s="552" t="s">
        <v>41</v>
      </c>
      <c r="V231" s="553" t="s">
        <v>74</v>
      </c>
      <c r="W231" s="553" t="s">
        <v>75</v>
      </c>
      <c r="X231" s="553" t="s">
        <v>76</v>
      </c>
      <c r="Y231" s="553" t="s">
        <v>77</v>
      </c>
      <c r="Z231" s="553" t="s">
        <v>78</v>
      </c>
      <c r="AA231" s="553" t="s">
        <v>79</v>
      </c>
      <c r="AB231" s="553" t="s">
        <v>80</v>
      </c>
      <c r="AC231" s="553" t="s">
        <v>81</v>
      </c>
      <c r="AD231" s="553" t="s">
        <v>82</v>
      </c>
      <c r="AE231" s="553" t="s">
        <v>83</v>
      </c>
      <c r="AF231" s="553" t="s">
        <v>84</v>
      </c>
      <c r="AG231" s="553" t="s">
        <v>85</v>
      </c>
      <c r="AH231" s="683" t="s">
        <v>147</v>
      </c>
      <c r="AI231" s="553" t="s">
        <v>118</v>
      </c>
      <c r="AJ231" s="553" t="s">
        <v>119</v>
      </c>
      <c r="AK231" s="553" t="s">
        <v>120</v>
      </c>
    </row>
    <row r="232" spans="1:47" x14ac:dyDescent="0.2">
      <c r="A232" s="565">
        <v>1003</v>
      </c>
      <c r="B232" s="566" t="s">
        <v>42</v>
      </c>
      <c r="C232" s="676">
        <f>SUM(C233:C259)</f>
        <v>503</v>
      </c>
      <c r="D232" s="676">
        <f t="shared" ref="D232:N232" si="25">SUM(D233:D259)</f>
        <v>83</v>
      </c>
      <c r="E232" s="676">
        <f t="shared" si="25"/>
        <v>225</v>
      </c>
      <c r="F232" s="676">
        <f t="shared" si="25"/>
        <v>119</v>
      </c>
      <c r="G232" s="676">
        <f t="shared" si="25"/>
        <v>46</v>
      </c>
      <c r="H232" s="676">
        <f t="shared" si="25"/>
        <v>99</v>
      </c>
      <c r="I232" s="676">
        <f t="shared" si="25"/>
        <v>89</v>
      </c>
      <c r="J232" s="676">
        <f t="shared" si="25"/>
        <v>49</v>
      </c>
      <c r="K232" s="676">
        <f t="shared" si="25"/>
        <v>91</v>
      </c>
      <c r="L232" s="676">
        <f t="shared" si="25"/>
        <v>154</v>
      </c>
      <c r="M232" s="676">
        <f t="shared" si="25"/>
        <v>106</v>
      </c>
      <c r="N232" s="676">
        <f t="shared" si="25"/>
        <v>36</v>
      </c>
      <c r="O232" s="677">
        <f>SUM(C232:N232)</f>
        <v>1600</v>
      </c>
      <c r="P232" s="680">
        <f>SUM(C232:E232)</f>
        <v>811</v>
      </c>
      <c r="Q232" s="676">
        <f>SUM(C232:H232)</f>
        <v>1075</v>
      </c>
      <c r="R232" s="677">
        <f>SUM(C232:K232)</f>
        <v>1304</v>
      </c>
      <c r="T232" s="565">
        <v>1003</v>
      </c>
      <c r="U232" s="566" t="s">
        <v>42</v>
      </c>
      <c r="V232" s="676">
        <f t="shared" ref="V232:AG232" si="26">SUM(V233:V259)</f>
        <v>79</v>
      </c>
      <c r="W232" s="676">
        <f t="shared" si="26"/>
        <v>81</v>
      </c>
      <c r="X232" s="676">
        <f t="shared" si="26"/>
        <v>81</v>
      </c>
      <c r="Y232" s="676">
        <f t="shared" si="26"/>
        <v>81</v>
      </c>
      <c r="Z232" s="676">
        <f t="shared" si="26"/>
        <v>81</v>
      </c>
      <c r="AA232" s="676">
        <f t="shared" si="26"/>
        <v>78</v>
      </c>
      <c r="AB232" s="676">
        <f t="shared" si="26"/>
        <v>78</v>
      </c>
      <c r="AC232" s="676">
        <f t="shared" si="26"/>
        <v>160</v>
      </c>
      <c r="AD232" s="676">
        <f t="shared" si="26"/>
        <v>162</v>
      </c>
      <c r="AE232" s="676">
        <f t="shared" si="26"/>
        <v>240</v>
      </c>
      <c r="AF232" s="676">
        <f t="shared" si="26"/>
        <v>238</v>
      </c>
      <c r="AG232" s="676">
        <f t="shared" si="26"/>
        <v>241</v>
      </c>
      <c r="AH232" s="677">
        <f>SUM(V232:AG232)</f>
        <v>1600</v>
      </c>
      <c r="AI232" s="680">
        <f>SUM(V232:X232)</f>
        <v>241</v>
      </c>
      <c r="AJ232" s="676">
        <f>SUM(V232:AA232)</f>
        <v>481</v>
      </c>
      <c r="AK232" s="677">
        <f>SUM(V232:AD232)</f>
        <v>881</v>
      </c>
    </row>
    <row r="233" spans="1:47" x14ac:dyDescent="0.2">
      <c r="A233" s="474">
        <v>1004</v>
      </c>
      <c r="B233" s="475" t="s">
        <v>43</v>
      </c>
      <c r="C233" s="674">
        <f>+[2]ต.ค.59!$G$12</f>
        <v>245</v>
      </c>
      <c r="D233" s="674">
        <f>+[2]พ.ย.59!$G$12</f>
        <v>16</v>
      </c>
      <c r="E233" s="674">
        <f>+[2]ธ.ค.59!$G$12</f>
        <v>2</v>
      </c>
      <c r="F233" s="674">
        <f>+[2]ม.ค.60!$G$12</f>
        <v>6</v>
      </c>
      <c r="G233" s="674">
        <f>+[2]ก.พ.60!$G$12</f>
        <v>1</v>
      </c>
      <c r="H233" s="674">
        <f>+[2]มี.ค.60!$G$12</f>
        <v>6</v>
      </c>
      <c r="I233" s="674">
        <f>+[2]เม.ย.60!$G$12</f>
        <v>17</v>
      </c>
      <c r="J233" s="674">
        <f>+[2]พ.ค.60!$G$12</f>
        <v>6</v>
      </c>
      <c r="K233" s="674">
        <f>+[2]มิ.ย.60!$G$12</f>
        <v>2</v>
      </c>
      <c r="L233" s="674">
        <f>+[2]ก.ค.60!$G$12</f>
        <v>5</v>
      </c>
      <c r="M233" s="674">
        <f>+[2]ส.ค.60!$G$12</f>
        <v>5</v>
      </c>
      <c r="N233" s="674">
        <f>+[2]ก.ย.60!$G$12</f>
        <v>4</v>
      </c>
      <c r="O233" s="678">
        <f t="shared" ref="O233:O259" si="27">SUM(C233:N233)</f>
        <v>315</v>
      </c>
      <c r="P233" s="681">
        <f t="shared" ref="P233:P259" si="28">SUM(C233:E233)</f>
        <v>263</v>
      </c>
      <c r="Q233" s="674">
        <f t="shared" ref="Q233:Q259" si="29">SUM(C233:H233)</f>
        <v>276</v>
      </c>
      <c r="R233" s="678">
        <f t="shared" ref="R233:R259" si="30">SUM(C233:K233)</f>
        <v>301</v>
      </c>
      <c r="T233" s="474">
        <v>1004</v>
      </c>
      <c r="U233" s="475" t="s">
        <v>43</v>
      </c>
      <c r="V233" s="674">
        <v>14</v>
      </c>
      <c r="W233" s="674">
        <v>13</v>
      </c>
      <c r="X233" s="674">
        <v>14</v>
      </c>
      <c r="Y233" s="674">
        <v>13</v>
      </c>
      <c r="Z233" s="674">
        <v>14</v>
      </c>
      <c r="AA233" s="674">
        <v>14</v>
      </c>
      <c r="AB233" s="674">
        <v>13</v>
      </c>
      <c r="AC233" s="674">
        <v>27</v>
      </c>
      <c r="AD233" s="674">
        <v>28</v>
      </c>
      <c r="AE233" s="674">
        <v>40</v>
      </c>
      <c r="AF233" s="674">
        <v>41</v>
      </c>
      <c r="AG233" s="674">
        <v>41</v>
      </c>
      <c r="AH233" s="678">
        <f t="shared" ref="AH233:AH259" si="31">SUM(V233:AG233)</f>
        <v>272</v>
      </c>
      <c r="AI233" s="681">
        <f t="shared" ref="AI233:AI259" si="32">SUM(V233:X233)</f>
        <v>41</v>
      </c>
      <c r="AJ233" s="674">
        <f t="shared" ref="AJ233:AJ259" si="33">SUM(V233:AA233)</f>
        <v>82</v>
      </c>
      <c r="AK233" s="678">
        <f t="shared" ref="AK233:AK259" si="34">SUM(V233:AD233)</f>
        <v>150</v>
      </c>
    </row>
    <row r="234" spans="1:47" x14ac:dyDescent="0.2">
      <c r="A234" s="474">
        <v>1005</v>
      </c>
      <c r="B234" s="475" t="s">
        <v>44</v>
      </c>
      <c r="C234" s="674">
        <f>+[2]ต.ค.59!$H$12</f>
        <v>0</v>
      </c>
      <c r="D234" s="674">
        <f>+[2]พ.ย.59!$H$12</f>
        <v>0</v>
      </c>
      <c r="E234" s="674">
        <f>+[2]ธ.ค.59!$H$12</f>
        <v>0</v>
      </c>
      <c r="F234" s="674">
        <f>+[2]ม.ค.60!$H$12</f>
        <v>0</v>
      </c>
      <c r="G234" s="674">
        <f>+[2]ก.พ.60!$H$12</f>
        <v>2</v>
      </c>
      <c r="H234" s="674">
        <f>+[2]มี.ค.60!$H$12</f>
        <v>4</v>
      </c>
      <c r="I234" s="674">
        <f>+[2]เม.ย.60!$H$12</f>
        <v>1</v>
      </c>
      <c r="J234" s="674">
        <f>+[2]พ.ค.60!$H$12</f>
        <v>1</v>
      </c>
      <c r="K234" s="674">
        <f>+[2]มิ.ย.60!$H$12</f>
        <v>2</v>
      </c>
      <c r="L234" s="674">
        <f>+[2]ก.ค.60!$H$12</f>
        <v>0</v>
      </c>
      <c r="M234" s="674">
        <f>+[2]ส.ค.60!$H$12</f>
        <v>1</v>
      </c>
      <c r="N234" s="674">
        <f>+[2]ก.ย.60!$H$12</f>
        <v>0</v>
      </c>
      <c r="O234" s="678">
        <f t="shared" si="27"/>
        <v>11</v>
      </c>
      <c r="P234" s="681">
        <f t="shared" si="28"/>
        <v>0</v>
      </c>
      <c r="Q234" s="674">
        <f t="shared" si="29"/>
        <v>6</v>
      </c>
      <c r="R234" s="678">
        <f t="shared" si="30"/>
        <v>10</v>
      </c>
      <c r="T234" s="474">
        <v>1005</v>
      </c>
      <c r="U234" s="475" t="s">
        <v>44</v>
      </c>
      <c r="V234" s="674">
        <v>1</v>
      </c>
      <c r="W234" s="674">
        <v>1</v>
      </c>
      <c r="X234" s="674">
        <v>1</v>
      </c>
      <c r="Y234" s="674">
        <v>1</v>
      </c>
      <c r="Z234" s="674">
        <v>1</v>
      </c>
      <c r="AA234" s="674">
        <v>0</v>
      </c>
      <c r="AB234" s="674">
        <v>1</v>
      </c>
      <c r="AC234" s="674">
        <v>2</v>
      </c>
      <c r="AD234" s="674">
        <v>2</v>
      </c>
      <c r="AE234" s="674">
        <v>3</v>
      </c>
      <c r="AF234" s="674">
        <v>2</v>
      </c>
      <c r="AG234" s="674">
        <v>3</v>
      </c>
      <c r="AH234" s="678">
        <f t="shared" si="31"/>
        <v>18</v>
      </c>
      <c r="AI234" s="681">
        <f t="shared" si="32"/>
        <v>3</v>
      </c>
      <c r="AJ234" s="674">
        <f t="shared" si="33"/>
        <v>5</v>
      </c>
      <c r="AK234" s="678">
        <f t="shared" si="34"/>
        <v>10</v>
      </c>
    </row>
    <row r="235" spans="1:47" x14ac:dyDescent="0.2">
      <c r="A235" s="474">
        <v>1006</v>
      </c>
      <c r="B235" s="475" t="s">
        <v>45</v>
      </c>
      <c r="C235" s="674">
        <f>+[2]ต.ค.59!$I$12</f>
        <v>23</v>
      </c>
      <c r="D235" s="674">
        <f>+[2]พ.ย.59!$I$12</f>
        <v>10</v>
      </c>
      <c r="E235" s="674">
        <f>+[2]ธ.ค.59!$I$12</f>
        <v>7</v>
      </c>
      <c r="F235" s="674">
        <f>+[2]ม.ค.60!$I$12</f>
        <v>4</v>
      </c>
      <c r="G235" s="674">
        <f>+[2]ก.พ.60!$I$12</f>
        <v>3</v>
      </c>
      <c r="H235" s="674">
        <f>+[2]มี.ค.60!$I$12</f>
        <v>3</v>
      </c>
      <c r="I235" s="674">
        <f>+[2]เม.ย.60!$I$12</f>
        <v>5</v>
      </c>
      <c r="J235" s="674">
        <f>+[2]พ.ค.60!$I$12</f>
        <v>3</v>
      </c>
      <c r="K235" s="674">
        <f>+[2]มิ.ย.60!$I$12</f>
        <v>2</v>
      </c>
      <c r="L235" s="674">
        <f>+[2]ก.ค.60!$I$12</f>
        <v>0</v>
      </c>
      <c r="M235" s="674">
        <f>+[2]ส.ค.60!$I$12</f>
        <v>0</v>
      </c>
      <c r="N235" s="674">
        <f>+[2]ก.ย.60!$I$12</f>
        <v>0</v>
      </c>
      <c r="O235" s="678">
        <f t="shared" si="27"/>
        <v>60</v>
      </c>
      <c r="P235" s="681">
        <f t="shared" si="28"/>
        <v>40</v>
      </c>
      <c r="Q235" s="674">
        <f t="shared" si="29"/>
        <v>50</v>
      </c>
      <c r="R235" s="678">
        <f t="shared" si="30"/>
        <v>60</v>
      </c>
      <c r="T235" s="474">
        <v>1006</v>
      </c>
      <c r="U235" s="475" t="s">
        <v>45</v>
      </c>
      <c r="V235" s="674">
        <v>2</v>
      </c>
      <c r="W235" s="674">
        <v>3</v>
      </c>
      <c r="X235" s="674">
        <v>2</v>
      </c>
      <c r="Y235" s="674">
        <v>3</v>
      </c>
      <c r="Z235" s="674">
        <v>2</v>
      </c>
      <c r="AA235" s="674">
        <v>2</v>
      </c>
      <c r="AB235" s="674">
        <v>3</v>
      </c>
      <c r="AC235" s="674">
        <v>5</v>
      </c>
      <c r="AD235" s="674">
        <v>4</v>
      </c>
      <c r="AE235" s="674">
        <v>8</v>
      </c>
      <c r="AF235" s="674">
        <v>7</v>
      </c>
      <c r="AG235" s="674">
        <v>7</v>
      </c>
      <c r="AH235" s="678">
        <f t="shared" si="31"/>
        <v>48</v>
      </c>
      <c r="AI235" s="681">
        <f t="shared" si="32"/>
        <v>7</v>
      </c>
      <c r="AJ235" s="674">
        <f t="shared" si="33"/>
        <v>14</v>
      </c>
      <c r="AK235" s="678">
        <f t="shared" si="34"/>
        <v>26</v>
      </c>
    </row>
    <row r="236" spans="1:47" x14ac:dyDescent="0.2">
      <c r="A236" s="474">
        <v>1007</v>
      </c>
      <c r="B236" s="475" t="s">
        <v>46</v>
      </c>
      <c r="C236" s="674">
        <f>+[2]ต.ค.59!$J$12</f>
        <v>0</v>
      </c>
      <c r="D236" s="674">
        <f>+[2]พ.ย.59!$J$12</f>
        <v>0</v>
      </c>
      <c r="E236" s="674">
        <f>+[2]ธ.ค.59!$J$12</f>
        <v>5</v>
      </c>
      <c r="F236" s="674">
        <f>+[2]ม.ค.60!$J$12</f>
        <v>0</v>
      </c>
      <c r="G236" s="674">
        <f>+[2]ก.พ.60!$J$12</f>
        <v>0</v>
      </c>
      <c r="H236" s="674">
        <f>+[2]มี.ค.60!$J$12</f>
        <v>0</v>
      </c>
      <c r="I236" s="674">
        <f>+[2]เม.ย.60!$J$12</f>
        <v>0</v>
      </c>
      <c r="J236" s="674">
        <f>+[2]พ.ค.60!$J$12</f>
        <v>5</v>
      </c>
      <c r="K236" s="674">
        <f>+[2]มิ.ย.60!$J$12</f>
        <v>0</v>
      </c>
      <c r="L236" s="674">
        <f>+[2]ก.ค.60!$J$12</f>
        <v>0</v>
      </c>
      <c r="M236" s="674">
        <f>+[2]ส.ค.60!$J$12</f>
        <v>0</v>
      </c>
      <c r="N236" s="674">
        <f>+[2]ก.ย.60!$J$12</f>
        <v>0</v>
      </c>
      <c r="O236" s="678">
        <f t="shared" si="27"/>
        <v>10</v>
      </c>
      <c r="P236" s="681">
        <f t="shared" si="28"/>
        <v>5</v>
      </c>
      <c r="Q236" s="674">
        <f t="shared" si="29"/>
        <v>5</v>
      </c>
      <c r="R236" s="678">
        <f t="shared" si="30"/>
        <v>10</v>
      </c>
      <c r="T236" s="474">
        <v>1007</v>
      </c>
      <c r="U236" s="475" t="s">
        <v>46</v>
      </c>
      <c r="V236" s="674">
        <v>0</v>
      </c>
      <c r="W236" s="674">
        <v>1</v>
      </c>
      <c r="X236" s="674">
        <v>0</v>
      </c>
      <c r="Y236" s="674">
        <v>1</v>
      </c>
      <c r="Z236" s="674">
        <v>0</v>
      </c>
      <c r="AA236" s="674">
        <v>1</v>
      </c>
      <c r="AB236" s="674">
        <v>0</v>
      </c>
      <c r="AC236" s="674">
        <v>1</v>
      </c>
      <c r="AD236" s="674">
        <v>1</v>
      </c>
      <c r="AE236" s="674">
        <v>1</v>
      </c>
      <c r="AF236" s="674">
        <v>2</v>
      </c>
      <c r="AG236" s="674">
        <v>1</v>
      </c>
      <c r="AH236" s="678">
        <f t="shared" si="31"/>
        <v>9</v>
      </c>
      <c r="AI236" s="681">
        <f t="shared" si="32"/>
        <v>1</v>
      </c>
      <c r="AJ236" s="674">
        <f t="shared" si="33"/>
        <v>3</v>
      </c>
      <c r="AK236" s="678">
        <f t="shared" si="34"/>
        <v>5</v>
      </c>
    </row>
    <row r="237" spans="1:47" x14ac:dyDescent="0.2">
      <c r="A237" s="474">
        <v>1008</v>
      </c>
      <c r="B237" s="475" t="s">
        <v>47</v>
      </c>
      <c r="C237" s="674">
        <f>+[2]ต.ค.59!$K$12</f>
        <v>5</v>
      </c>
      <c r="D237" s="674">
        <f>+[2]พ.ย.59!$K$12</f>
        <v>1</v>
      </c>
      <c r="E237" s="674">
        <f>+[2]ธ.ค.59!$K$12</f>
        <v>2</v>
      </c>
      <c r="F237" s="674">
        <f>+[2]ม.ค.60!$K$12</f>
        <v>0</v>
      </c>
      <c r="G237" s="674">
        <f>+[2]ก.พ.60!$K$12</f>
        <v>0</v>
      </c>
      <c r="H237" s="674">
        <f>+[2]มี.ค.60!$K$12</f>
        <v>1</v>
      </c>
      <c r="I237" s="674">
        <f>+[2]เม.ย.60!$K$12</f>
        <v>0</v>
      </c>
      <c r="J237" s="674">
        <f>+[2]พ.ค.60!$K$12</f>
        <v>0</v>
      </c>
      <c r="K237" s="674">
        <f>+[2]มิ.ย.60!$K$12</f>
        <v>0</v>
      </c>
      <c r="L237" s="674">
        <f>+[2]ก.ค.60!$K$12</f>
        <v>0</v>
      </c>
      <c r="M237" s="674">
        <f>+[2]ส.ค.60!$K$12</f>
        <v>0</v>
      </c>
      <c r="N237" s="674">
        <f>+[2]ก.ย.60!$K$12</f>
        <v>0</v>
      </c>
      <c r="O237" s="678">
        <f t="shared" si="27"/>
        <v>9</v>
      </c>
      <c r="P237" s="681">
        <f t="shared" si="28"/>
        <v>8</v>
      </c>
      <c r="Q237" s="674">
        <f t="shared" si="29"/>
        <v>9</v>
      </c>
      <c r="R237" s="678">
        <f t="shared" si="30"/>
        <v>9</v>
      </c>
      <c r="T237" s="474">
        <v>1008</v>
      </c>
      <c r="U237" s="475" t="s">
        <v>47</v>
      </c>
      <c r="V237" s="674">
        <v>1</v>
      </c>
      <c r="W237" s="674">
        <v>1</v>
      </c>
      <c r="X237" s="674">
        <v>1</v>
      </c>
      <c r="Y237" s="674">
        <v>1</v>
      </c>
      <c r="Z237" s="674">
        <v>1</v>
      </c>
      <c r="AA237" s="674">
        <v>1</v>
      </c>
      <c r="AB237" s="674">
        <v>1</v>
      </c>
      <c r="AC237" s="674">
        <v>2</v>
      </c>
      <c r="AD237" s="674">
        <v>2</v>
      </c>
      <c r="AE237" s="674">
        <v>3</v>
      </c>
      <c r="AF237" s="674">
        <v>3</v>
      </c>
      <c r="AG237" s="674">
        <v>3</v>
      </c>
      <c r="AH237" s="678">
        <f t="shared" si="31"/>
        <v>20</v>
      </c>
      <c r="AI237" s="681">
        <f t="shared" si="32"/>
        <v>3</v>
      </c>
      <c r="AJ237" s="674">
        <f t="shared" si="33"/>
        <v>6</v>
      </c>
      <c r="AK237" s="678">
        <f t="shared" si="34"/>
        <v>11</v>
      </c>
    </row>
    <row r="238" spans="1:47" x14ac:dyDescent="0.2">
      <c r="A238" s="474">
        <v>1009</v>
      </c>
      <c r="B238" s="475" t="s">
        <v>48</v>
      </c>
      <c r="C238" s="674">
        <f>+[2]ต.ค.59!$L$12</f>
        <v>3</v>
      </c>
      <c r="D238" s="674">
        <f>+[2]พ.ย.59!$L$12</f>
        <v>2</v>
      </c>
      <c r="E238" s="674">
        <f>+[2]ธ.ค.59!$L$12</f>
        <v>0</v>
      </c>
      <c r="F238" s="674">
        <f>+[2]ม.ค.60!$L$12</f>
        <v>0</v>
      </c>
      <c r="G238" s="674">
        <f>+[2]ก.พ.60!$L$12</f>
        <v>1</v>
      </c>
      <c r="H238" s="674">
        <f>+[2]มี.ค.60!$L$12</f>
        <v>3</v>
      </c>
      <c r="I238" s="674">
        <f>+[2]เม.ย.60!$L$12</f>
        <v>3</v>
      </c>
      <c r="J238" s="674">
        <f>+[2]พ.ค.60!$L$12</f>
        <v>3</v>
      </c>
      <c r="K238" s="674">
        <f>+[2]มิ.ย.60!$L$12</f>
        <v>3</v>
      </c>
      <c r="L238" s="674">
        <f>+[2]ก.ค.60!$L$12</f>
        <v>0</v>
      </c>
      <c r="M238" s="674">
        <f>+[2]ส.ค.60!$L$12</f>
        <v>1</v>
      </c>
      <c r="N238" s="674">
        <f>+[2]ก.ย.60!$L$12</f>
        <v>0</v>
      </c>
      <c r="O238" s="678">
        <f t="shared" si="27"/>
        <v>19</v>
      </c>
      <c r="P238" s="681">
        <f t="shared" si="28"/>
        <v>5</v>
      </c>
      <c r="Q238" s="674">
        <f t="shared" si="29"/>
        <v>9</v>
      </c>
      <c r="R238" s="678">
        <f t="shared" si="30"/>
        <v>18</v>
      </c>
      <c r="T238" s="474">
        <v>1009</v>
      </c>
      <c r="U238" s="475" t="s">
        <v>48</v>
      </c>
      <c r="V238" s="674">
        <v>5</v>
      </c>
      <c r="W238" s="674">
        <v>5</v>
      </c>
      <c r="X238" s="674">
        <v>5</v>
      </c>
      <c r="Y238" s="674">
        <v>6</v>
      </c>
      <c r="Z238" s="674">
        <v>5</v>
      </c>
      <c r="AA238" s="674">
        <v>5</v>
      </c>
      <c r="AB238" s="674">
        <v>5</v>
      </c>
      <c r="AC238" s="674">
        <v>10</v>
      </c>
      <c r="AD238" s="674">
        <v>11</v>
      </c>
      <c r="AE238" s="674">
        <v>15</v>
      </c>
      <c r="AF238" s="674">
        <v>16</v>
      </c>
      <c r="AG238" s="674">
        <v>15</v>
      </c>
      <c r="AH238" s="678">
        <f t="shared" si="31"/>
        <v>103</v>
      </c>
      <c r="AI238" s="681">
        <f t="shared" si="32"/>
        <v>15</v>
      </c>
      <c r="AJ238" s="674">
        <f t="shared" si="33"/>
        <v>31</v>
      </c>
      <c r="AK238" s="678">
        <f t="shared" si="34"/>
        <v>57</v>
      </c>
    </row>
    <row r="239" spans="1:47" x14ac:dyDescent="0.2">
      <c r="A239" s="474">
        <v>1010</v>
      </c>
      <c r="B239" s="475" t="s">
        <v>49</v>
      </c>
      <c r="C239" s="674">
        <f>+[2]ต.ค.59!$M$12</f>
        <v>0</v>
      </c>
      <c r="D239" s="674">
        <f>+[2]พ.ย.59!$M$12</f>
        <v>0</v>
      </c>
      <c r="E239" s="674">
        <f>+[2]ธ.ค.59!$M$12</f>
        <v>0</v>
      </c>
      <c r="F239" s="674">
        <f>+[2]ม.ค.60!$M$12</f>
        <v>0</v>
      </c>
      <c r="G239" s="674">
        <f>+[2]ก.พ.60!$M$12</f>
        <v>0</v>
      </c>
      <c r="H239" s="674">
        <f>+[2]มี.ค.60!$M$12</f>
        <v>0</v>
      </c>
      <c r="I239" s="674">
        <f>+[2]เม.ย.60!$M$12</f>
        <v>0</v>
      </c>
      <c r="J239" s="674">
        <f>+[2]พ.ค.60!$M$12</f>
        <v>0</v>
      </c>
      <c r="K239" s="674">
        <f>+[2]มิ.ย.60!$M$12</f>
        <v>12</v>
      </c>
      <c r="L239" s="674">
        <f>+[2]ก.ค.60!$M$12</f>
        <v>0</v>
      </c>
      <c r="M239" s="674">
        <f>+[2]ส.ค.60!$M$12</f>
        <v>0</v>
      </c>
      <c r="N239" s="674">
        <f>+[2]ก.ย.60!$M$12</f>
        <v>0</v>
      </c>
      <c r="O239" s="678">
        <f t="shared" si="27"/>
        <v>12</v>
      </c>
      <c r="P239" s="681">
        <f t="shared" si="28"/>
        <v>0</v>
      </c>
      <c r="Q239" s="674">
        <f t="shared" si="29"/>
        <v>0</v>
      </c>
      <c r="R239" s="678">
        <f t="shared" si="30"/>
        <v>12</v>
      </c>
      <c r="T239" s="474">
        <v>1010</v>
      </c>
      <c r="U239" s="475" t="s">
        <v>49</v>
      </c>
      <c r="V239" s="674">
        <v>0</v>
      </c>
      <c r="W239" s="674">
        <v>0</v>
      </c>
      <c r="X239" s="674">
        <v>0</v>
      </c>
      <c r="Y239" s="674">
        <v>1</v>
      </c>
      <c r="Z239" s="674">
        <v>0</v>
      </c>
      <c r="AA239" s="674">
        <v>0</v>
      </c>
      <c r="AB239" s="674">
        <v>0</v>
      </c>
      <c r="AC239" s="674">
        <v>0</v>
      </c>
      <c r="AD239" s="674">
        <v>1</v>
      </c>
      <c r="AE239" s="674">
        <v>0</v>
      </c>
      <c r="AF239" s="674">
        <v>1</v>
      </c>
      <c r="AG239" s="674">
        <v>0</v>
      </c>
      <c r="AH239" s="678">
        <f t="shared" si="31"/>
        <v>3</v>
      </c>
      <c r="AI239" s="681">
        <f t="shared" si="32"/>
        <v>0</v>
      </c>
      <c r="AJ239" s="674">
        <f t="shared" si="33"/>
        <v>1</v>
      </c>
      <c r="AK239" s="678">
        <f t="shared" si="34"/>
        <v>2</v>
      </c>
    </row>
    <row r="240" spans="1:47" x14ac:dyDescent="0.2">
      <c r="A240" s="474">
        <v>1011</v>
      </c>
      <c r="B240" s="475" t="s">
        <v>50</v>
      </c>
      <c r="C240" s="674">
        <f>+[2]ต.ค.59!$N$12</f>
        <v>0</v>
      </c>
      <c r="D240" s="674">
        <f>+[2]พ.ย.59!$N$12</f>
        <v>1</v>
      </c>
      <c r="E240" s="674">
        <f>+[2]ธ.ค.59!$N$12</f>
        <v>0</v>
      </c>
      <c r="F240" s="674">
        <f>+[2]ม.ค.60!$N$12</f>
        <v>0</v>
      </c>
      <c r="G240" s="674">
        <f>+[2]ก.พ.60!$N$12</f>
        <v>0</v>
      </c>
      <c r="H240" s="674">
        <f>+[2]มี.ค.60!$N$12</f>
        <v>14</v>
      </c>
      <c r="I240" s="674">
        <f>+[2]เม.ย.60!$N$12</f>
        <v>0</v>
      </c>
      <c r="J240" s="674">
        <f>+[2]พ.ค.60!$N$12</f>
        <v>0</v>
      </c>
      <c r="K240" s="674">
        <f>+[2]มิ.ย.60!$N$12</f>
        <v>0</v>
      </c>
      <c r="L240" s="674">
        <f>+[2]ก.ค.60!$N$12</f>
        <v>0</v>
      </c>
      <c r="M240" s="674">
        <f>+[2]ส.ค.60!$N$12</f>
        <v>0</v>
      </c>
      <c r="N240" s="674">
        <f>+[2]ก.ย.60!$N$12</f>
        <v>1</v>
      </c>
      <c r="O240" s="678">
        <f t="shared" si="27"/>
        <v>16</v>
      </c>
      <c r="P240" s="681">
        <f t="shared" si="28"/>
        <v>1</v>
      </c>
      <c r="Q240" s="674">
        <f t="shared" si="29"/>
        <v>15</v>
      </c>
      <c r="R240" s="678">
        <f t="shared" si="30"/>
        <v>15</v>
      </c>
      <c r="T240" s="474">
        <v>1011</v>
      </c>
      <c r="U240" s="475" t="s">
        <v>50</v>
      </c>
      <c r="V240" s="674">
        <v>0</v>
      </c>
      <c r="W240" s="674">
        <v>0</v>
      </c>
      <c r="X240" s="674">
        <v>1</v>
      </c>
      <c r="Y240" s="674">
        <v>0</v>
      </c>
      <c r="Z240" s="674">
        <v>0</v>
      </c>
      <c r="AA240" s="674">
        <v>0</v>
      </c>
      <c r="AB240" s="674">
        <v>0</v>
      </c>
      <c r="AC240" s="674">
        <v>1</v>
      </c>
      <c r="AD240" s="674">
        <v>0</v>
      </c>
      <c r="AE240" s="674">
        <v>1</v>
      </c>
      <c r="AF240" s="674">
        <v>0</v>
      </c>
      <c r="AG240" s="674">
        <v>1</v>
      </c>
      <c r="AH240" s="678">
        <f t="shared" si="31"/>
        <v>4</v>
      </c>
      <c r="AI240" s="681">
        <f t="shared" si="32"/>
        <v>1</v>
      </c>
      <c r="AJ240" s="674">
        <f t="shared" si="33"/>
        <v>1</v>
      </c>
      <c r="AK240" s="678">
        <f t="shared" si="34"/>
        <v>2</v>
      </c>
    </row>
    <row r="241" spans="1:37" x14ac:dyDescent="0.2">
      <c r="A241" s="474">
        <v>1012</v>
      </c>
      <c r="B241" s="475" t="s">
        <v>51</v>
      </c>
      <c r="C241" s="674">
        <f>+[2]ต.ค.59!$O$12</f>
        <v>3</v>
      </c>
      <c r="D241" s="674">
        <f>+[2]พ.ย.59!$O$12</f>
        <v>1</v>
      </c>
      <c r="E241" s="674">
        <f>+[2]ธ.ค.59!$O$12</f>
        <v>25</v>
      </c>
      <c r="F241" s="674">
        <f>+[2]ม.ค.60!$O$12</f>
        <v>11</v>
      </c>
      <c r="G241" s="674">
        <f>+[2]ก.พ.60!$O$12</f>
        <v>10</v>
      </c>
      <c r="H241" s="674">
        <f>+[2]มี.ค.60!$O$12</f>
        <v>7</v>
      </c>
      <c r="I241" s="674">
        <f>+[2]เม.ย.60!$O$12</f>
        <v>0</v>
      </c>
      <c r="J241" s="674">
        <f>+[2]พ.ค.60!$O$12</f>
        <v>2</v>
      </c>
      <c r="K241" s="674">
        <f>+[2]มิ.ย.60!$O$12</f>
        <v>2</v>
      </c>
      <c r="L241" s="674">
        <f>+[2]ก.ค.60!$O$12</f>
        <v>0</v>
      </c>
      <c r="M241" s="674">
        <f>+[2]ส.ค.60!$O$12</f>
        <v>0</v>
      </c>
      <c r="N241" s="674">
        <f>+[2]ก.ย.60!$O$12</f>
        <v>0</v>
      </c>
      <c r="O241" s="678">
        <f t="shared" si="27"/>
        <v>61</v>
      </c>
      <c r="P241" s="681">
        <f t="shared" si="28"/>
        <v>29</v>
      </c>
      <c r="Q241" s="674">
        <f t="shared" si="29"/>
        <v>57</v>
      </c>
      <c r="R241" s="678">
        <f t="shared" si="30"/>
        <v>61</v>
      </c>
      <c r="T241" s="474">
        <v>1012</v>
      </c>
      <c r="U241" s="475" t="s">
        <v>51</v>
      </c>
      <c r="V241" s="674">
        <v>3</v>
      </c>
      <c r="W241" s="674">
        <v>4</v>
      </c>
      <c r="X241" s="674">
        <v>3</v>
      </c>
      <c r="Y241" s="674">
        <v>3</v>
      </c>
      <c r="Z241" s="674">
        <v>3</v>
      </c>
      <c r="AA241" s="674">
        <v>4</v>
      </c>
      <c r="AB241" s="674">
        <v>3</v>
      </c>
      <c r="AC241" s="674">
        <v>6</v>
      </c>
      <c r="AD241" s="674">
        <v>7</v>
      </c>
      <c r="AE241" s="674">
        <v>10</v>
      </c>
      <c r="AF241" s="674">
        <v>9</v>
      </c>
      <c r="AG241" s="674">
        <v>10</v>
      </c>
      <c r="AH241" s="678">
        <f t="shared" si="31"/>
        <v>65</v>
      </c>
      <c r="AI241" s="681">
        <f t="shared" si="32"/>
        <v>10</v>
      </c>
      <c r="AJ241" s="674">
        <f t="shared" si="33"/>
        <v>20</v>
      </c>
      <c r="AK241" s="678">
        <f t="shared" si="34"/>
        <v>36</v>
      </c>
    </row>
    <row r="242" spans="1:37" x14ac:dyDescent="0.2">
      <c r="A242" s="474">
        <v>1013</v>
      </c>
      <c r="B242" s="475" t="s">
        <v>52</v>
      </c>
      <c r="C242" s="674">
        <f>+[2]ต.ค.59!$P$12</f>
        <v>1</v>
      </c>
      <c r="D242" s="674">
        <f>+[2]พ.ย.59!$P$12</f>
        <v>1</v>
      </c>
      <c r="E242" s="674">
        <f>+[2]ธ.ค.59!$P$12</f>
        <v>0</v>
      </c>
      <c r="F242" s="674">
        <f>+[2]ม.ค.60!$P$12</f>
        <v>1</v>
      </c>
      <c r="G242" s="674">
        <f>+[2]ก.พ.60!$P$12</f>
        <v>0</v>
      </c>
      <c r="H242" s="674">
        <f>+[2]มี.ค.60!$P$12</f>
        <v>0</v>
      </c>
      <c r="I242" s="674">
        <f>+[2]เม.ย.60!$P$12</f>
        <v>0</v>
      </c>
      <c r="J242" s="674">
        <f>+[2]พ.ค.60!$P$12</f>
        <v>0</v>
      </c>
      <c r="K242" s="674">
        <f>+[2]มิ.ย.60!$P$12</f>
        <v>0</v>
      </c>
      <c r="L242" s="674">
        <f>+[2]ก.ค.60!$P$12</f>
        <v>0</v>
      </c>
      <c r="M242" s="674">
        <f>+[2]ส.ค.60!$P$12</f>
        <v>0</v>
      </c>
      <c r="N242" s="674">
        <f>+[2]ก.ย.60!$P$12</f>
        <v>0</v>
      </c>
      <c r="O242" s="678">
        <f t="shared" si="27"/>
        <v>3</v>
      </c>
      <c r="P242" s="681">
        <f t="shared" si="28"/>
        <v>2</v>
      </c>
      <c r="Q242" s="674">
        <f t="shared" si="29"/>
        <v>3</v>
      </c>
      <c r="R242" s="678">
        <f t="shared" si="30"/>
        <v>3</v>
      </c>
      <c r="T242" s="474">
        <v>1013</v>
      </c>
      <c r="U242" s="475" t="s">
        <v>52</v>
      </c>
      <c r="V242" s="674">
        <v>0</v>
      </c>
      <c r="W242" s="674">
        <v>1</v>
      </c>
      <c r="X242" s="674">
        <v>0</v>
      </c>
      <c r="Y242" s="674">
        <v>0</v>
      </c>
      <c r="Z242" s="674">
        <v>0</v>
      </c>
      <c r="AA242" s="674">
        <v>1</v>
      </c>
      <c r="AB242" s="674">
        <v>0</v>
      </c>
      <c r="AC242" s="674">
        <v>0</v>
      </c>
      <c r="AD242" s="674">
        <v>1</v>
      </c>
      <c r="AE242" s="674">
        <v>1</v>
      </c>
      <c r="AF242" s="674">
        <v>0</v>
      </c>
      <c r="AG242" s="674">
        <v>1</v>
      </c>
      <c r="AH242" s="678">
        <f t="shared" si="31"/>
        <v>5</v>
      </c>
      <c r="AI242" s="681">
        <f t="shared" si="32"/>
        <v>1</v>
      </c>
      <c r="AJ242" s="674">
        <f t="shared" si="33"/>
        <v>2</v>
      </c>
      <c r="AK242" s="678">
        <f t="shared" si="34"/>
        <v>3</v>
      </c>
    </row>
    <row r="243" spans="1:37" x14ac:dyDescent="0.2">
      <c r="A243" s="474">
        <v>1014</v>
      </c>
      <c r="B243" s="475" t="s">
        <v>53</v>
      </c>
      <c r="C243" s="674">
        <f>+[2]ต.ค.59!$Q$12</f>
        <v>16</v>
      </c>
      <c r="D243" s="674">
        <f>+[2]พ.ย.59!$Q$12</f>
        <v>4</v>
      </c>
      <c r="E243" s="674">
        <f>+[2]ธ.ค.59!$Q$12</f>
        <v>4</v>
      </c>
      <c r="F243" s="674">
        <f>+[2]ม.ค.60!$Q$12</f>
        <v>4</v>
      </c>
      <c r="G243" s="674">
        <f>+[2]ก.พ.60!$Q$12</f>
        <v>0</v>
      </c>
      <c r="H243" s="674">
        <f>+[2]มี.ค.60!$Q$12</f>
        <v>0</v>
      </c>
      <c r="I243" s="674">
        <f>+[2]เม.ย.60!$Q$12</f>
        <v>1</v>
      </c>
      <c r="J243" s="674">
        <f>+[2]พ.ค.60!$Q$12</f>
        <v>0</v>
      </c>
      <c r="K243" s="674">
        <f>+[2]มิ.ย.60!$Q$12</f>
        <v>17</v>
      </c>
      <c r="L243" s="674">
        <f>+[2]ก.ค.60!$Q$12</f>
        <v>115</v>
      </c>
      <c r="M243" s="674">
        <f>+[2]ส.ค.60!$Q$12</f>
        <v>86</v>
      </c>
      <c r="N243" s="674">
        <f>+[2]ก.ย.60!$Q$12</f>
        <v>0</v>
      </c>
      <c r="O243" s="678">
        <f t="shared" si="27"/>
        <v>247</v>
      </c>
      <c r="P243" s="681">
        <f t="shared" si="28"/>
        <v>24</v>
      </c>
      <c r="Q243" s="674">
        <f t="shared" si="29"/>
        <v>28</v>
      </c>
      <c r="R243" s="678">
        <f t="shared" si="30"/>
        <v>46</v>
      </c>
      <c r="T243" s="474">
        <v>1014</v>
      </c>
      <c r="U243" s="475" t="s">
        <v>53</v>
      </c>
      <c r="V243" s="674">
        <v>6</v>
      </c>
      <c r="W243" s="674">
        <v>7</v>
      </c>
      <c r="X243" s="674">
        <v>6</v>
      </c>
      <c r="Y243" s="674">
        <v>6</v>
      </c>
      <c r="Z243" s="674">
        <v>7</v>
      </c>
      <c r="AA243" s="674">
        <v>6</v>
      </c>
      <c r="AB243" s="674">
        <v>6</v>
      </c>
      <c r="AC243" s="674">
        <v>13</v>
      </c>
      <c r="AD243" s="674">
        <v>13</v>
      </c>
      <c r="AE243" s="674">
        <v>19</v>
      </c>
      <c r="AF243" s="674">
        <v>19</v>
      </c>
      <c r="AG243" s="674">
        <v>19</v>
      </c>
      <c r="AH243" s="678">
        <f t="shared" si="31"/>
        <v>127</v>
      </c>
      <c r="AI243" s="681">
        <f t="shared" si="32"/>
        <v>19</v>
      </c>
      <c r="AJ243" s="674">
        <f t="shared" si="33"/>
        <v>38</v>
      </c>
      <c r="AK243" s="678">
        <f t="shared" si="34"/>
        <v>70</v>
      </c>
    </row>
    <row r="244" spans="1:37" x14ac:dyDescent="0.2">
      <c r="A244" s="474">
        <v>1015</v>
      </c>
      <c r="B244" s="475" t="s">
        <v>54</v>
      </c>
      <c r="C244" s="674">
        <f>+[2]ต.ค.59!$R$12</f>
        <v>0</v>
      </c>
      <c r="D244" s="674">
        <f>+[2]พ.ย.59!$R$12</f>
        <v>0</v>
      </c>
      <c r="E244" s="674">
        <f>+[2]ธ.ค.59!$R$12</f>
        <v>0</v>
      </c>
      <c r="F244" s="674">
        <f>+[2]ม.ค.60!$R$12</f>
        <v>0</v>
      </c>
      <c r="G244" s="674">
        <f>+[2]ก.พ.60!$R$12</f>
        <v>0</v>
      </c>
      <c r="H244" s="674">
        <f>+[2]มี.ค.60!$R$12</f>
        <v>0</v>
      </c>
      <c r="I244" s="674">
        <f>+[2]เม.ย.60!$R$12</f>
        <v>0</v>
      </c>
      <c r="J244" s="674">
        <f>+[2]พ.ค.60!$R$12</f>
        <v>0</v>
      </c>
      <c r="K244" s="674">
        <f>+[2]มิ.ย.60!$R$12</f>
        <v>0</v>
      </c>
      <c r="L244" s="674">
        <f>+[2]ก.ค.60!$R$12</f>
        <v>0</v>
      </c>
      <c r="M244" s="674">
        <f>+[2]ส.ค.60!$R$12</f>
        <v>0</v>
      </c>
      <c r="N244" s="674">
        <f>+[2]ก.ย.60!$R$12</f>
        <v>0</v>
      </c>
      <c r="O244" s="678">
        <f t="shared" si="27"/>
        <v>0</v>
      </c>
      <c r="P244" s="681">
        <f t="shared" si="28"/>
        <v>0</v>
      </c>
      <c r="Q244" s="674">
        <f t="shared" si="29"/>
        <v>0</v>
      </c>
      <c r="R244" s="678">
        <f t="shared" si="30"/>
        <v>0</v>
      </c>
      <c r="T244" s="474">
        <v>1015</v>
      </c>
      <c r="U244" s="475" t="s">
        <v>54</v>
      </c>
      <c r="V244" s="674">
        <v>0</v>
      </c>
      <c r="W244" s="674">
        <v>0</v>
      </c>
      <c r="X244" s="674">
        <v>0</v>
      </c>
      <c r="Y244" s="674">
        <v>0</v>
      </c>
      <c r="Z244" s="674">
        <v>0</v>
      </c>
      <c r="AA244" s="674">
        <v>0</v>
      </c>
      <c r="AB244" s="674">
        <v>0</v>
      </c>
      <c r="AC244" s="674">
        <v>0</v>
      </c>
      <c r="AD244" s="674">
        <v>0</v>
      </c>
      <c r="AE244" s="674">
        <v>0</v>
      </c>
      <c r="AF244" s="674">
        <v>0</v>
      </c>
      <c r="AG244" s="674">
        <v>0</v>
      </c>
      <c r="AH244" s="678">
        <f t="shared" si="31"/>
        <v>0</v>
      </c>
      <c r="AI244" s="681">
        <f t="shared" si="32"/>
        <v>0</v>
      </c>
      <c r="AJ244" s="674">
        <f t="shared" si="33"/>
        <v>0</v>
      </c>
      <c r="AK244" s="678">
        <f t="shared" si="34"/>
        <v>0</v>
      </c>
    </row>
    <row r="245" spans="1:37" x14ac:dyDescent="0.2">
      <c r="A245" s="474">
        <v>1016</v>
      </c>
      <c r="B245" s="475" t="s">
        <v>55</v>
      </c>
      <c r="C245" s="674">
        <f>+[2]ต.ค.59!$S$12</f>
        <v>5</v>
      </c>
      <c r="D245" s="674">
        <f>+[2]พ.ย.59!$S$12</f>
        <v>3</v>
      </c>
      <c r="E245" s="674">
        <f>+[2]ธ.ค.59!$S$12</f>
        <v>1</v>
      </c>
      <c r="F245" s="674">
        <f>+[2]ม.ค.60!$S$12</f>
        <v>0</v>
      </c>
      <c r="G245" s="674">
        <f>+[2]ก.พ.60!$S$12</f>
        <v>0</v>
      </c>
      <c r="H245" s="674">
        <f>+[2]มี.ค.60!$S$12</f>
        <v>1</v>
      </c>
      <c r="I245" s="674">
        <f>+[2]เม.ย.60!$S$12</f>
        <v>1</v>
      </c>
      <c r="J245" s="674">
        <f>+[2]พ.ค.60!$S$12</f>
        <v>0</v>
      </c>
      <c r="K245" s="674">
        <f>+[2]มิ.ย.60!$S$12</f>
        <v>0</v>
      </c>
      <c r="L245" s="674">
        <f>+[2]ก.ค.60!$S$12</f>
        <v>1</v>
      </c>
      <c r="M245" s="674">
        <f>+[2]ส.ค.60!$S$12</f>
        <v>0</v>
      </c>
      <c r="N245" s="674">
        <f>+[2]ก.ย.60!$S$12</f>
        <v>3</v>
      </c>
      <c r="O245" s="678">
        <f t="shared" si="27"/>
        <v>15</v>
      </c>
      <c r="P245" s="681">
        <f t="shared" si="28"/>
        <v>9</v>
      </c>
      <c r="Q245" s="674">
        <f t="shared" si="29"/>
        <v>10</v>
      </c>
      <c r="R245" s="678">
        <f t="shared" si="30"/>
        <v>11</v>
      </c>
      <c r="T245" s="474">
        <v>1016</v>
      </c>
      <c r="U245" s="475" t="s">
        <v>55</v>
      </c>
      <c r="V245" s="674">
        <v>2</v>
      </c>
      <c r="W245" s="674">
        <v>2</v>
      </c>
      <c r="X245" s="674">
        <v>2</v>
      </c>
      <c r="Y245" s="674">
        <v>2</v>
      </c>
      <c r="Z245" s="674">
        <v>2</v>
      </c>
      <c r="AA245" s="674">
        <v>2</v>
      </c>
      <c r="AB245" s="674">
        <v>2</v>
      </c>
      <c r="AC245" s="674">
        <v>4</v>
      </c>
      <c r="AD245" s="674">
        <v>3</v>
      </c>
      <c r="AE245" s="674">
        <v>6</v>
      </c>
      <c r="AF245" s="674">
        <v>6</v>
      </c>
      <c r="AG245" s="674">
        <v>6</v>
      </c>
      <c r="AH245" s="678">
        <f t="shared" si="31"/>
        <v>39</v>
      </c>
      <c r="AI245" s="681">
        <f t="shared" si="32"/>
        <v>6</v>
      </c>
      <c r="AJ245" s="674">
        <f t="shared" si="33"/>
        <v>12</v>
      </c>
      <c r="AK245" s="678">
        <f t="shared" si="34"/>
        <v>21</v>
      </c>
    </row>
    <row r="246" spans="1:37" x14ac:dyDescent="0.2">
      <c r="A246" s="474">
        <v>1017</v>
      </c>
      <c r="B246" s="475" t="s">
        <v>56</v>
      </c>
      <c r="C246" s="674">
        <f>+[2]ต.ค.59!$T$12</f>
        <v>0</v>
      </c>
      <c r="D246" s="674">
        <f>+[2]พ.ย.59!$T$12</f>
        <v>1</v>
      </c>
      <c r="E246" s="674">
        <f>+[2]ธ.ค.59!$T$12</f>
        <v>3</v>
      </c>
      <c r="F246" s="674">
        <f>+[2]ม.ค.60!$T$12</f>
        <v>1</v>
      </c>
      <c r="G246" s="674">
        <f>+[2]ก.พ.60!$T$12</f>
        <v>0</v>
      </c>
      <c r="H246" s="674">
        <f>+[2]มี.ค.60!$T$12</f>
        <v>0</v>
      </c>
      <c r="I246" s="674">
        <f>+[2]เม.ย.60!$T$12</f>
        <v>5</v>
      </c>
      <c r="J246" s="674">
        <f>+[2]พ.ค.60!$T$12</f>
        <v>0</v>
      </c>
      <c r="K246" s="674">
        <f>+[2]มิ.ย.60!$T$12</f>
        <v>0</v>
      </c>
      <c r="L246" s="674">
        <f>+[2]ก.ค.60!$T$12</f>
        <v>0</v>
      </c>
      <c r="M246" s="674">
        <f>+[2]ส.ค.60!$T$12</f>
        <v>1</v>
      </c>
      <c r="N246" s="674">
        <f>+[2]ก.ย.60!$T$12</f>
        <v>6</v>
      </c>
      <c r="O246" s="678">
        <f t="shared" si="27"/>
        <v>17</v>
      </c>
      <c r="P246" s="681">
        <f t="shared" si="28"/>
        <v>4</v>
      </c>
      <c r="Q246" s="674">
        <f t="shared" si="29"/>
        <v>5</v>
      </c>
      <c r="R246" s="678">
        <f t="shared" si="30"/>
        <v>10</v>
      </c>
      <c r="T246" s="474">
        <v>1017</v>
      </c>
      <c r="U246" s="475" t="s">
        <v>56</v>
      </c>
      <c r="V246" s="674">
        <v>2</v>
      </c>
      <c r="W246" s="674">
        <v>1</v>
      </c>
      <c r="X246" s="674">
        <v>2</v>
      </c>
      <c r="Y246" s="674">
        <v>1</v>
      </c>
      <c r="Z246" s="674">
        <v>2</v>
      </c>
      <c r="AA246" s="674">
        <v>1</v>
      </c>
      <c r="AB246" s="674">
        <v>2</v>
      </c>
      <c r="AC246" s="674">
        <v>3</v>
      </c>
      <c r="AD246" s="674">
        <v>3</v>
      </c>
      <c r="AE246" s="674">
        <v>5</v>
      </c>
      <c r="AF246" s="674">
        <v>4</v>
      </c>
      <c r="AG246" s="674">
        <v>5</v>
      </c>
      <c r="AH246" s="678">
        <f t="shared" si="31"/>
        <v>31</v>
      </c>
      <c r="AI246" s="681">
        <f t="shared" si="32"/>
        <v>5</v>
      </c>
      <c r="AJ246" s="674">
        <f t="shared" si="33"/>
        <v>9</v>
      </c>
      <c r="AK246" s="678">
        <f t="shared" si="34"/>
        <v>17</v>
      </c>
    </row>
    <row r="247" spans="1:37" x14ac:dyDescent="0.2">
      <c r="A247" s="474">
        <v>1018</v>
      </c>
      <c r="B247" s="475" t="s">
        <v>57</v>
      </c>
      <c r="C247" s="674">
        <f>+[2]ต.ค.59!$U$12</f>
        <v>0</v>
      </c>
      <c r="D247" s="674">
        <f>+[2]พ.ย.59!$U$12</f>
        <v>3</v>
      </c>
      <c r="E247" s="674">
        <f>+[2]ธ.ค.59!$U$12</f>
        <v>2</v>
      </c>
      <c r="F247" s="674">
        <f>+[2]ม.ค.60!$U$12</f>
        <v>0</v>
      </c>
      <c r="G247" s="674">
        <f>+[2]ก.พ.60!$U$12</f>
        <v>0</v>
      </c>
      <c r="H247" s="674">
        <f>+[2]มี.ค.60!$U$12</f>
        <v>1</v>
      </c>
      <c r="I247" s="674">
        <f>+[2]เม.ย.60!$U$12</f>
        <v>0</v>
      </c>
      <c r="J247" s="674">
        <f>+[2]พ.ค.60!$U$12</f>
        <v>0</v>
      </c>
      <c r="K247" s="674">
        <f>+[2]มิ.ย.60!$U$12</f>
        <v>0</v>
      </c>
      <c r="L247" s="674">
        <f>+[2]ก.ค.60!$U$12</f>
        <v>0</v>
      </c>
      <c r="M247" s="674">
        <f>+[2]ส.ค.60!$U$12</f>
        <v>1</v>
      </c>
      <c r="N247" s="674">
        <f>+[2]ก.ย.60!$U$12</f>
        <v>2</v>
      </c>
      <c r="O247" s="678">
        <f t="shared" si="27"/>
        <v>9</v>
      </c>
      <c r="P247" s="681">
        <f t="shared" si="28"/>
        <v>5</v>
      </c>
      <c r="Q247" s="674">
        <f t="shared" si="29"/>
        <v>6</v>
      </c>
      <c r="R247" s="678">
        <f t="shared" si="30"/>
        <v>6</v>
      </c>
      <c r="T247" s="474">
        <v>1018</v>
      </c>
      <c r="U247" s="475" t="s">
        <v>57</v>
      </c>
      <c r="V247" s="674">
        <v>2</v>
      </c>
      <c r="W247" s="674">
        <v>1</v>
      </c>
      <c r="X247" s="674">
        <v>2</v>
      </c>
      <c r="Y247" s="674">
        <v>1</v>
      </c>
      <c r="Z247" s="674">
        <v>2</v>
      </c>
      <c r="AA247" s="674">
        <v>1</v>
      </c>
      <c r="AB247" s="674">
        <v>2</v>
      </c>
      <c r="AC247" s="674">
        <v>3</v>
      </c>
      <c r="AD247" s="674">
        <v>3</v>
      </c>
      <c r="AE247" s="674">
        <v>5</v>
      </c>
      <c r="AF247" s="674">
        <v>4</v>
      </c>
      <c r="AG247" s="674">
        <v>5</v>
      </c>
      <c r="AH247" s="678">
        <f t="shared" si="31"/>
        <v>31</v>
      </c>
      <c r="AI247" s="681">
        <f t="shared" si="32"/>
        <v>5</v>
      </c>
      <c r="AJ247" s="674">
        <f t="shared" si="33"/>
        <v>9</v>
      </c>
      <c r="AK247" s="678">
        <f t="shared" si="34"/>
        <v>17</v>
      </c>
    </row>
    <row r="248" spans="1:37" x14ac:dyDescent="0.2">
      <c r="A248" s="474">
        <v>1019</v>
      </c>
      <c r="B248" s="475" t="s">
        <v>58</v>
      </c>
      <c r="C248" s="674">
        <f>+[2]ต.ค.59!$V$12</f>
        <v>0</v>
      </c>
      <c r="D248" s="674">
        <f>+[2]พ.ย.59!$V$12</f>
        <v>0</v>
      </c>
      <c r="E248" s="674">
        <f>+[2]ธ.ค.59!$V$12</f>
        <v>0</v>
      </c>
      <c r="F248" s="674">
        <f>+[2]ม.ค.60!$V$12</f>
        <v>0</v>
      </c>
      <c r="G248" s="674">
        <f>+[2]ก.พ.60!$V$12</f>
        <v>0</v>
      </c>
      <c r="H248" s="674">
        <f>+[2]มี.ค.60!$V$12</f>
        <v>0</v>
      </c>
      <c r="I248" s="674">
        <f>+[2]เม.ย.60!$V$12</f>
        <v>1</v>
      </c>
      <c r="J248" s="674">
        <f>+[2]พ.ค.60!$V$12</f>
        <v>0</v>
      </c>
      <c r="K248" s="674">
        <f>+[2]มิ.ย.60!$V$12</f>
        <v>0</v>
      </c>
      <c r="L248" s="674">
        <f>+[2]ก.ค.60!$V$12</f>
        <v>0</v>
      </c>
      <c r="M248" s="674">
        <f>+[2]ส.ค.60!$V$12</f>
        <v>0</v>
      </c>
      <c r="N248" s="674">
        <f>+[2]ก.ย.60!$V$12</f>
        <v>0</v>
      </c>
      <c r="O248" s="678">
        <f t="shared" si="27"/>
        <v>1</v>
      </c>
      <c r="P248" s="681">
        <f t="shared" si="28"/>
        <v>0</v>
      </c>
      <c r="Q248" s="674">
        <f t="shared" si="29"/>
        <v>0</v>
      </c>
      <c r="R248" s="678">
        <f t="shared" si="30"/>
        <v>1</v>
      </c>
      <c r="T248" s="474">
        <v>1019</v>
      </c>
      <c r="U248" s="475" t="s">
        <v>58</v>
      </c>
      <c r="V248" s="674">
        <v>0</v>
      </c>
      <c r="W248" s="674">
        <v>0</v>
      </c>
      <c r="X248" s="674">
        <v>0</v>
      </c>
      <c r="Y248" s="674">
        <v>1</v>
      </c>
      <c r="Z248" s="674">
        <v>0</v>
      </c>
      <c r="AA248" s="674">
        <v>0</v>
      </c>
      <c r="AB248" s="674">
        <v>0</v>
      </c>
      <c r="AC248" s="674">
        <v>0</v>
      </c>
      <c r="AD248" s="674">
        <v>1</v>
      </c>
      <c r="AE248" s="674">
        <v>0</v>
      </c>
      <c r="AF248" s="674">
        <v>1</v>
      </c>
      <c r="AG248" s="674">
        <v>0</v>
      </c>
      <c r="AH248" s="678">
        <f t="shared" si="31"/>
        <v>3</v>
      </c>
      <c r="AI248" s="681">
        <f t="shared" si="32"/>
        <v>0</v>
      </c>
      <c r="AJ248" s="674">
        <f t="shared" si="33"/>
        <v>1</v>
      </c>
      <c r="AK248" s="678">
        <f t="shared" si="34"/>
        <v>2</v>
      </c>
    </row>
    <row r="249" spans="1:37" x14ac:dyDescent="0.2">
      <c r="A249" s="474">
        <v>1020</v>
      </c>
      <c r="B249" s="475" t="s">
        <v>59</v>
      </c>
      <c r="C249" s="674">
        <f>+[2]ต.ค.59!$W$12</f>
        <v>2</v>
      </c>
      <c r="D249" s="674">
        <f>+[2]พ.ย.59!$W$12</f>
        <v>0</v>
      </c>
      <c r="E249" s="674">
        <f>+[2]ธ.ค.59!$W$12</f>
        <v>0</v>
      </c>
      <c r="F249" s="674">
        <f>+[2]ม.ค.60!$W$12</f>
        <v>4</v>
      </c>
      <c r="G249" s="674">
        <f>+[2]ก.พ.60!$W$12</f>
        <v>0</v>
      </c>
      <c r="H249" s="674">
        <f>+[2]มี.ค.60!$W$12</f>
        <v>2</v>
      </c>
      <c r="I249" s="674">
        <f>+[2]เม.ย.60!$W$12</f>
        <v>1</v>
      </c>
      <c r="J249" s="674">
        <f>+[2]พ.ค.60!$W$12</f>
        <v>2</v>
      </c>
      <c r="K249" s="674">
        <f>+[2]มิ.ย.60!$W$12</f>
        <v>1</v>
      </c>
      <c r="L249" s="674">
        <f>+[2]ก.ค.60!$W$12</f>
        <v>0</v>
      </c>
      <c r="M249" s="674">
        <f>+[2]ส.ค.60!$W$12</f>
        <v>1</v>
      </c>
      <c r="N249" s="674">
        <f>+[2]ก.ย.60!$W$12</f>
        <v>3</v>
      </c>
      <c r="O249" s="678">
        <f t="shared" si="27"/>
        <v>16</v>
      </c>
      <c r="P249" s="681">
        <f t="shared" si="28"/>
        <v>2</v>
      </c>
      <c r="Q249" s="674">
        <f t="shared" si="29"/>
        <v>8</v>
      </c>
      <c r="R249" s="678">
        <f t="shared" si="30"/>
        <v>12</v>
      </c>
      <c r="T249" s="474">
        <v>1020</v>
      </c>
      <c r="U249" s="475" t="s">
        <v>59</v>
      </c>
      <c r="V249" s="674">
        <v>2</v>
      </c>
      <c r="W249" s="674">
        <v>2</v>
      </c>
      <c r="X249" s="674">
        <v>2</v>
      </c>
      <c r="Y249" s="674">
        <v>2</v>
      </c>
      <c r="Z249" s="674">
        <v>2</v>
      </c>
      <c r="AA249" s="674">
        <v>2</v>
      </c>
      <c r="AB249" s="674">
        <v>2</v>
      </c>
      <c r="AC249" s="674">
        <v>4</v>
      </c>
      <c r="AD249" s="674">
        <v>4</v>
      </c>
      <c r="AE249" s="674">
        <v>6</v>
      </c>
      <c r="AF249" s="674">
        <v>6</v>
      </c>
      <c r="AG249" s="674">
        <v>6</v>
      </c>
      <c r="AH249" s="678">
        <f t="shared" si="31"/>
        <v>40</v>
      </c>
      <c r="AI249" s="681">
        <f t="shared" si="32"/>
        <v>6</v>
      </c>
      <c r="AJ249" s="674">
        <f t="shared" si="33"/>
        <v>12</v>
      </c>
      <c r="AK249" s="678">
        <f t="shared" si="34"/>
        <v>22</v>
      </c>
    </row>
    <row r="250" spans="1:37" x14ac:dyDescent="0.2">
      <c r="A250" s="474">
        <v>1021</v>
      </c>
      <c r="B250" s="475" t="s">
        <v>60</v>
      </c>
      <c r="C250" s="674">
        <f>+[2]ต.ค.59!$X$12</f>
        <v>0</v>
      </c>
      <c r="D250" s="674">
        <f>+[2]พ.ย.59!$X$12</f>
        <v>1</v>
      </c>
      <c r="E250" s="674">
        <f>+[2]ธ.ค.59!$X$12</f>
        <v>0</v>
      </c>
      <c r="F250" s="674">
        <f>+[2]ม.ค.60!$X$12</f>
        <v>0</v>
      </c>
      <c r="G250" s="674">
        <f>+[2]ก.พ.60!$X$12</f>
        <v>0</v>
      </c>
      <c r="H250" s="674">
        <f>+[2]มี.ค.60!$X$12</f>
        <v>1</v>
      </c>
      <c r="I250" s="674">
        <f>+[2]เม.ย.60!$X$12</f>
        <v>0</v>
      </c>
      <c r="J250" s="674">
        <f>+[2]พ.ค.60!$X$12</f>
        <v>0</v>
      </c>
      <c r="K250" s="674">
        <f>+[2]มิ.ย.60!$X$12</f>
        <v>7</v>
      </c>
      <c r="L250" s="674">
        <f>+[2]ก.ค.60!$X$12</f>
        <v>21</v>
      </c>
      <c r="M250" s="674">
        <f>+[2]ส.ค.60!$X$12</f>
        <v>0</v>
      </c>
      <c r="N250" s="674">
        <f>+[2]ก.ย.60!$X$12</f>
        <v>0</v>
      </c>
      <c r="O250" s="678">
        <f t="shared" si="27"/>
        <v>30</v>
      </c>
      <c r="P250" s="681">
        <f t="shared" si="28"/>
        <v>1</v>
      </c>
      <c r="Q250" s="674">
        <f t="shared" si="29"/>
        <v>2</v>
      </c>
      <c r="R250" s="678">
        <f t="shared" si="30"/>
        <v>9</v>
      </c>
      <c r="T250" s="474">
        <v>1021</v>
      </c>
      <c r="U250" s="475" t="s">
        <v>60</v>
      </c>
      <c r="V250" s="674">
        <v>1</v>
      </c>
      <c r="W250" s="674">
        <v>0</v>
      </c>
      <c r="X250" s="674">
        <v>1</v>
      </c>
      <c r="Y250" s="674">
        <v>0</v>
      </c>
      <c r="Z250" s="674">
        <v>1</v>
      </c>
      <c r="AA250" s="674">
        <v>1</v>
      </c>
      <c r="AB250" s="674">
        <v>0</v>
      </c>
      <c r="AC250" s="674">
        <v>1</v>
      </c>
      <c r="AD250" s="674">
        <v>2</v>
      </c>
      <c r="AE250" s="674">
        <v>1</v>
      </c>
      <c r="AF250" s="674">
        <v>2</v>
      </c>
      <c r="AG250" s="674">
        <v>2</v>
      </c>
      <c r="AH250" s="678">
        <f t="shared" si="31"/>
        <v>12</v>
      </c>
      <c r="AI250" s="681">
        <f t="shared" si="32"/>
        <v>2</v>
      </c>
      <c r="AJ250" s="674">
        <f t="shared" si="33"/>
        <v>4</v>
      </c>
      <c r="AK250" s="678">
        <f t="shared" si="34"/>
        <v>7</v>
      </c>
    </row>
    <row r="251" spans="1:37" x14ac:dyDescent="0.2">
      <c r="A251" s="474">
        <v>1022</v>
      </c>
      <c r="B251" s="475" t="s">
        <v>61</v>
      </c>
      <c r="C251" s="674">
        <f>+[2]ต.ค.59!$Y$12</f>
        <v>83</v>
      </c>
      <c r="D251" s="674">
        <f>+[2]พ.ย.59!$Y$12</f>
        <v>0</v>
      </c>
      <c r="E251" s="674">
        <f>+[2]ธ.ค.59!$Y$12</f>
        <v>41</v>
      </c>
      <c r="F251" s="674">
        <f>+[2]ม.ค.60!$Y$12</f>
        <v>6</v>
      </c>
      <c r="G251" s="674">
        <f>+[2]ก.พ.60!$Y$12</f>
        <v>0</v>
      </c>
      <c r="H251" s="674">
        <f>+[2]มี.ค.60!$Y$12</f>
        <v>22</v>
      </c>
      <c r="I251" s="674">
        <f>+[2]เม.ย.60!$Y$12</f>
        <v>14</v>
      </c>
      <c r="J251" s="674">
        <f>+[2]พ.ค.60!$Y$12</f>
        <v>3</v>
      </c>
      <c r="K251" s="674">
        <f>+[2]มิ.ย.60!$Y$12</f>
        <v>32</v>
      </c>
      <c r="L251" s="674">
        <f>+[2]ก.ค.60!$Y$12</f>
        <v>0</v>
      </c>
      <c r="M251" s="674">
        <f>+[2]ส.ค.60!$Y$12</f>
        <v>0</v>
      </c>
      <c r="N251" s="674">
        <f>+[2]ก.ย.60!$Y$12</f>
        <v>4</v>
      </c>
      <c r="O251" s="678">
        <f t="shared" si="27"/>
        <v>205</v>
      </c>
      <c r="P251" s="681">
        <f t="shared" si="28"/>
        <v>124</v>
      </c>
      <c r="Q251" s="674">
        <f t="shared" si="29"/>
        <v>152</v>
      </c>
      <c r="R251" s="678">
        <f t="shared" si="30"/>
        <v>201</v>
      </c>
      <c r="T251" s="474">
        <v>1022</v>
      </c>
      <c r="U251" s="475" t="s">
        <v>61</v>
      </c>
      <c r="V251" s="674">
        <v>5</v>
      </c>
      <c r="W251" s="674">
        <v>5</v>
      </c>
      <c r="X251" s="674">
        <v>6</v>
      </c>
      <c r="Y251" s="674">
        <v>5</v>
      </c>
      <c r="Z251" s="674">
        <v>5</v>
      </c>
      <c r="AA251" s="674">
        <v>5</v>
      </c>
      <c r="AB251" s="674">
        <v>5</v>
      </c>
      <c r="AC251" s="674">
        <v>11</v>
      </c>
      <c r="AD251" s="674">
        <v>10</v>
      </c>
      <c r="AE251" s="674">
        <v>16</v>
      </c>
      <c r="AF251" s="674">
        <v>15</v>
      </c>
      <c r="AG251" s="674">
        <v>16</v>
      </c>
      <c r="AH251" s="678">
        <f t="shared" si="31"/>
        <v>104</v>
      </c>
      <c r="AI251" s="681">
        <f t="shared" si="32"/>
        <v>16</v>
      </c>
      <c r="AJ251" s="674">
        <f t="shared" si="33"/>
        <v>31</v>
      </c>
      <c r="AK251" s="678">
        <f t="shared" si="34"/>
        <v>57</v>
      </c>
    </row>
    <row r="252" spans="1:37" x14ac:dyDescent="0.2">
      <c r="A252" s="474">
        <v>1023</v>
      </c>
      <c r="B252" s="475" t="s">
        <v>62</v>
      </c>
      <c r="C252" s="674">
        <f>+[2]ต.ค.59!$Z$12</f>
        <v>0</v>
      </c>
      <c r="D252" s="674">
        <f>+[2]พ.ย.59!$Z$12</f>
        <v>0</v>
      </c>
      <c r="E252" s="674">
        <f>+[2]ธ.ค.59!$Z$12</f>
        <v>0</v>
      </c>
      <c r="F252" s="674">
        <f>+[2]ม.ค.60!$Z$12</f>
        <v>0</v>
      </c>
      <c r="G252" s="674">
        <f>+[2]ก.พ.60!$Z$12</f>
        <v>1</v>
      </c>
      <c r="H252" s="674">
        <f>+[2]มี.ค.60!$Z$12</f>
        <v>0</v>
      </c>
      <c r="I252" s="674">
        <f>+[2]เม.ย.60!$Z$12</f>
        <v>0</v>
      </c>
      <c r="J252" s="674">
        <f>+[2]พ.ค.60!$Z$12</f>
        <v>1</v>
      </c>
      <c r="K252" s="674">
        <f>+[2]มิ.ย.60!$Z$12</f>
        <v>0</v>
      </c>
      <c r="L252" s="674">
        <f>+[2]ก.ค.60!$Z$12</f>
        <v>0</v>
      </c>
      <c r="M252" s="674">
        <f>+[2]ส.ค.60!$Z$12</f>
        <v>0</v>
      </c>
      <c r="N252" s="674">
        <f>+[2]ก.ย.60!$Z$12</f>
        <v>0</v>
      </c>
      <c r="O252" s="678">
        <f t="shared" si="27"/>
        <v>2</v>
      </c>
      <c r="P252" s="681">
        <f t="shared" si="28"/>
        <v>0</v>
      </c>
      <c r="Q252" s="674">
        <f t="shared" si="29"/>
        <v>1</v>
      </c>
      <c r="R252" s="678">
        <f t="shared" si="30"/>
        <v>2</v>
      </c>
      <c r="T252" s="474">
        <v>1023</v>
      </c>
      <c r="U252" s="475" t="s">
        <v>62</v>
      </c>
      <c r="V252" s="674">
        <v>1</v>
      </c>
      <c r="W252" s="674">
        <v>2</v>
      </c>
      <c r="X252" s="674">
        <v>1</v>
      </c>
      <c r="Y252" s="674">
        <v>2</v>
      </c>
      <c r="Z252" s="674">
        <v>1</v>
      </c>
      <c r="AA252" s="674">
        <v>1</v>
      </c>
      <c r="AB252" s="674">
        <v>2</v>
      </c>
      <c r="AC252" s="674">
        <v>3</v>
      </c>
      <c r="AD252" s="674">
        <v>2</v>
      </c>
      <c r="AE252" s="674">
        <v>5</v>
      </c>
      <c r="AF252" s="674">
        <v>4</v>
      </c>
      <c r="AG252" s="674">
        <v>4</v>
      </c>
      <c r="AH252" s="678">
        <f t="shared" si="31"/>
        <v>28</v>
      </c>
      <c r="AI252" s="681">
        <f t="shared" si="32"/>
        <v>4</v>
      </c>
      <c r="AJ252" s="674">
        <f t="shared" si="33"/>
        <v>8</v>
      </c>
      <c r="AK252" s="678">
        <f t="shared" si="34"/>
        <v>15</v>
      </c>
    </row>
    <row r="253" spans="1:37" x14ac:dyDescent="0.2">
      <c r="A253" s="474">
        <v>1024</v>
      </c>
      <c r="B253" s="475" t="s">
        <v>63</v>
      </c>
      <c r="C253" s="674">
        <f>+[2]ต.ค.59!$AA$12</f>
        <v>13</v>
      </c>
      <c r="D253" s="674">
        <f>+[2]พ.ย.59!$AA$12</f>
        <v>10</v>
      </c>
      <c r="E253" s="674">
        <f>+[2]ธ.ค.59!$AA$12</f>
        <v>73</v>
      </c>
      <c r="F253" s="674">
        <f>+[2]ม.ค.60!$AA$12</f>
        <v>68</v>
      </c>
      <c r="G253" s="674">
        <f>+[2]ก.พ.60!$AA$12</f>
        <v>14</v>
      </c>
      <c r="H253" s="674">
        <f>+[2]มี.ค.60!$AA$12</f>
        <v>14</v>
      </c>
      <c r="I253" s="674">
        <f>+[2]เม.ย.60!$AA$12</f>
        <v>11</v>
      </c>
      <c r="J253" s="674">
        <f>+[2]พ.ค.60!$AA$12</f>
        <v>11</v>
      </c>
      <c r="K253" s="674">
        <f>+[2]มิ.ย.60!$AA$12</f>
        <v>3</v>
      </c>
      <c r="L253" s="674">
        <f>+[2]ก.ค.60!$AA$12</f>
        <v>0</v>
      </c>
      <c r="M253" s="674">
        <f>+[2]ส.ค.60!$AA$12</f>
        <v>2</v>
      </c>
      <c r="N253" s="674">
        <f>+[2]ก.ย.60!$AA$12</f>
        <v>5</v>
      </c>
      <c r="O253" s="678">
        <f t="shared" si="27"/>
        <v>224</v>
      </c>
      <c r="P253" s="681">
        <f t="shared" si="28"/>
        <v>96</v>
      </c>
      <c r="Q253" s="674">
        <f t="shared" si="29"/>
        <v>192</v>
      </c>
      <c r="R253" s="678">
        <f t="shared" si="30"/>
        <v>217</v>
      </c>
      <c r="T253" s="474">
        <v>1024</v>
      </c>
      <c r="U253" s="475" t="s">
        <v>63</v>
      </c>
      <c r="V253" s="674">
        <v>9</v>
      </c>
      <c r="W253" s="674">
        <v>9</v>
      </c>
      <c r="X253" s="674">
        <v>9</v>
      </c>
      <c r="Y253" s="674">
        <v>9</v>
      </c>
      <c r="Z253" s="674">
        <v>9</v>
      </c>
      <c r="AA253" s="674">
        <v>8</v>
      </c>
      <c r="AB253" s="674">
        <v>9</v>
      </c>
      <c r="AC253" s="674">
        <v>18</v>
      </c>
      <c r="AD253" s="674">
        <v>18</v>
      </c>
      <c r="AE253" s="674">
        <v>27</v>
      </c>
      <c r="AF253" s="674">
        <v>26</v>
      </c>
      <c r="AG253" s="674">
        <v>27</v>
      </c>
      <c r="AH253" s="678">
        <f t="shared" si="31"/>
        <v>178</v>
      </c>
      <c r="AI253" s="681">
        <f t="shared" si="32"/>
        <v>27</v>
      </c>
      <c r="AJ253" s="674">
        <f t="shared" si="33"/>
        <v>53</v>
      </c>
      <c r="AK253" s="678">
        <f t="shared" si="34"/>
        <v>98</v>
      </c>
    </row>
    <row r="254" spans="1:37" x14ac:dyDescent="0.2">
      <c r="A254" s="474">
        <v>1025</v>
      </c>
      <c r="B254" s="475" t="s">
        <v>64</v>
      </c>
      <c r="C254" s="674">
        <f>+[2]ต.ค.59!$AB$12</f>
        <v>78</v>
      </c>
      <c r="D254" s="674">
        <f>+[2]พ.ย.59!$AB$12</f>
        <v>16</v>
      </c>
      <c r="E254" s="674">
        <f>+[2]ธ.ค.59!$AB$12</f>
        <v>41</v>
      </c>
      <c r="F254" s="674">
        <f>+[2]ม.ค.60!$AB$12</f>
        <v>9</v>
      </c>
      <c r="G254" s="674">
        <f>+[2]ก.พ.60!$AB$12</f>
        <v>11</v>
      </c>
      <c r="H254" s="674">
        <f>+[2]มี.ค.60!$AB$12</f>
        <v>6</v>
      </c>
      <c r="I254" s="674">
        <f>+[2]เม.ย.60!$AB$12</f>
        <v>18</v>
      </c>
      <c r="J254" s="674">
        <f>+[2]พ.ค.60!$AB$12</f>
        <v>7</v>
      </c>
      <c r="K254" s="674">
        <f>+[2]มิ.ย.60!$AB$12</f>
        <v>4</v>
      </c>
      <c r="L254" s="674">
        <f>+[2]ก.ค.60!$AB$12</f>
        <v>4</v>
      </c>
      <c r="M254" s="674">
        <f>+[2]ส.ค.60!$AB$12</f>
        <v>4</v>
      </c>
      <c r="N254" s="674">
        <f>+[2]ก.ย.60!$AB$12</f>
        <v>4</v>
      </c>
      <c r="O254" s="678">
        <f t="shared" si="27"/>
        <v>202</v>
      </c>
      <c r="P254" s="681">
        <f t="shared" si="28"/>
        <v>135</v>
      </c>
      <c r="Q254" s="674">
        <f t="shared" si="29"/>
        <v>161</v>
      </c>
      <c r="R254" s="678">
        <f t="shared" si="30"/>
        <v>190</v>
      </c>
      <c r="T254" s="474">
        <v>1025</v>
      </c>
      <c r="U254" s="475" t="s">
        <v>64</v>
      </c>
      <c r="V254" s="674">
        <v>15</v>
      </c>
      <c r="W254" s="674">
        <v>15</v>
      </c>
      <c r="X254" s="674">
        <v>15</v>
      </c>
      <c r="Y254" s="674">
        <v>15</v>
      </c>
      <c r="Z254" s="674">
        <v>15</v>
      </c>
      <c r="AA254" s="674">
        <v>15</v>
      </c>
      <c r="AB254" s="674">
        <v>15</v>
      </c>
      <c r="AC254" s="674">
        <v>30</v>
      </c>
      <c r="AD254" s="674">
        <v>29</v>
      </c>
      <c r="AE254" s="674">
        <v>45</v>
      </c>
      <c r="AF254" s="674">
        <v>45</v>
      </c>
      <c r="AG254" s="674">
        <v>45</v>
      </c>
      <c r="AH254" s="678">
        <f t="shared" si="31"/>
        <v>299</v>
      </c>
      <c r="AI254" s="681">
        <f t="shared" si="32"/>
        <v>45</v>
      </c>
      <c r="AJ254" s="674">
        <f t="shared" si="33"/>
        <v>90</v>
      </c>
      <c r="AK254" s="678">
        <f t="shared" si="34"/>
        <v>164</v>
      </c>
    </row>
    <row r="255" spans="1:37" x14ac:dyDescent="0.2">
      <c r="A255" s="474">
        <v>1026</v>
      </c>
      <c r="B255" s="475" t="s">
        <v>65</v>
      </c>
      <c r="C255" s="674">
        <f>+[2]ต.ค.59!$AC$12</f>
        <v>2</v>
      </c>
      <c r="D255" s="674">
        <f>+[2]พ.ย.59!$AC$12</f>
        <v>0</v>
      </c>
      <c r="E255" s="674">
        <f>+[2]ธ.ค.59!$AC$12</f>
        <v>0</v>
      </c>
      <c r="F255" s="674">
        <f>+[2]ม.ค.60!$AC$12</f>
        <v>0</v>
      </c>
      <c r="G255" s="674">
        <f>+[2]ก.พ.60!$AC$12</f>
        <v>0</v>
      </c>
      <c r="H255" s="674">
        <f>+[2]มี.ค.60!$AC$12</f>
        <v>0</v>
      </c>
      <c r="I255" s="674">
        <f>+[2]เม.ย.60!$AC$12</f>
        <v>1</v>
      </c>
      <c r="J255" s="674">
        <f>+[2]พ.ค.60!$AC$12</f>
        <v>0</v>
      </c>
      <c r="K255" s="674">
        <f>+[2]มิ.ย.60!$AC$12</f>
        <v>0</v>
      </c>
      <c r="L255" s="674">
        <f>+[2]ก.ค.60!$AC$12</f>
        <v>1</v>
      </c>
      <c r="M255" s="674">
        <f>+[2]ส.ค.60!$AC$12</f>
        <v>0</v>
      </c>
      <c r="N255" s="674">
        <f>+[2]ก.ย.60!$AC$12</f>
        <v>0</v>
      </c>
      <c r="O255" s="678">
        <f t="shared" si="27"/>
        <v>4</v>
      </c>
      <c r="P255" s="681">
        <f t="shared" si="28"/>
        <v>2</v>
      </c>
      <c r="Q255" s="674">
        <f t="shared" si="29"/>
        <v>2</v>
      </c>
      <c r="R255" s="678">
        <f t="shared" si="30"/>
        <v>3</v>
      </c>
      <c r="T255" s="474">
        <v>1026</v>
      </c>
      <c r="U255" s="475" t="s">
        <v>65</v>
      </c>
      <c r="V255" s="674">
        <v>1</v>
      </c>
      <c r="W255" s="674">
        <v>1</v>
      </c>
      <c r="X255" s="674">
        <v>0</v>
      </c>
      <c r="Y255" s="674">
        <v>1</v>
      </c>
      <c r="Z255" s="674">
        <v>1</v>
      </c>
      <c r="AA255" s="674">
        <v>1</v>
      </c>
      <c r="AB255" s="674">
        <v>1</v>
      </c>
      <c r="AC255" s="674">
        <v>1</v>
      </c>
      <c r="AD255" s="674">
        <v>2</v>
      </c>
      <c r="AE255" s="674">
        <v>2</v>
      </c>
      <c r="AF255" s="674">
        <v>3</v>
      </c>
      <c r="AG255" s="674">
        <v>2</v>
      </c>
      <c r="AH255" s="678">
        <f t="shared" si="31"/>
        <v>16</v>
      </c>
      <c r="AI255" s="681">
        <f t="shared" si="32"/>
        <v>2</v>
      </c>
      <c r="AJ255" s="674">
        <f t="shared" si="33"/>
        <v>5</v>
      </c>
      <c r="AK255" s="678">
        <f t="shared" si="34"/>
        <v>9</v>
      </c>
    </row>
    <row r="256" spans="1:37" x14ac:dyDescent="0.2">
      <c r="A256" s="474">
        <v>1027</v>
      </c>
      <c r="B256" s="475" t="s">
        <v>66</v>
      </c>
      <c r="C256" s="674">
        <f>+[2]ต.ค.59!$AD$12</f>
        <v>18</v>
      </c>
      <c r="D256" s="674">
        <f>+[2]พ.ย.59!$AD$12</f>
        <v>3</v>
      </c>
      <c r="E256" s="674">
        <f>+[2]ธ.ค.59!$AD$12</f>
        <v>8</v>
      </c>
      <c r="F256" s="674">
        <f>+[2]ม.ค.60!$AD$12</f>
        <v>0</v>
      </c>
      <c r="G256" s="674">
        <f>+[2]ก.พ.60!$AD$12</f>
        <v>0</v>
      </c>
      <c r="H256" s="674">
        <f>+[2]มี.ค.60!$AD$12</f>
        <v>1</v>
      </c>
      <c r="I256" s="674">
        <f>+[2]เม.ย.60!$AD$12</f>
        <v>2</v>
      </c>
      <c r="J256" s="674">
        <f>+[2]พ.ค.60!$AD$12</f>
        <v>0</v>
      </c>
      <c r="K256" s="674">
        <f>+[2]มิ.ย.60!$AD$12</f>
        <v>0</v>
      </c>
      <c r="L256" s="674">
        <f>+[2]ก.ค.60!$AD$12</f>
        <v>3</v>
      </c>
      <c r="M256" s="674">
        <f>+[2]ส.ค.60!$AD$12</f>
        <v>1</v>
      </c>
      <c r="N256" s="674">
        <f>+[2]ก.ย.60!$AD$12</f>
        <v>1</v>
      </c>
      <c r="O256" s="678">
        <f t="shared" si="27"/>
        <v>37</v>
      </c>
      <c r="P256" s="681">
        <f t="shared" si="28"/>
        <v>29</v>
      </c>
      <c r="Q256" s="674">
        <f t="shared" si="29"/>
        <v>30</v>
      </c>
      <c r="R256" s="678">
        <f t="shared" si="30"/>
        <v>32</v>
      </c>
      <c r="T256" s="474">
        <v>1027</v>
      </c>
      <c r="U256" s="475" t="s">
        <v>66</v>
      </c>
      <c r="V256" s="674">
        <v>2</v>
      </c>
      <c r="W256" s="674">
        <v>2</v>
      </c>
      <c r="X256" s="674">
        <v>2</v>
      </c>
      <c r="Y256" s="674">
        <v>3</v>
      </c>
      <c r="Z256" s="674">
        <v>2</v>
      </c>
      <c r="AA256" s="674">
        <v>2</v>
      </c>
      <c r="AB256" s="674">
        <v>2</v>
      </c>
      <c r="AC256" s="674">
        <v>4</v>
      </c>
      <c r="AD256" s="674">
        <v>5</v>
      </c>
      <c r="AE256" s="674">
        <v>6</v>
      </c>
      <c r="AF256" s="674">
        <v>7</v>
      </c>
      <c r="AG256" s="674">
        <v>6</v>
      </c>
      <c r="AH256" s="678">
        <f t="shared" si="31"/>
        <v>43</v>
      </c>
      <c r="AI256" s="681">
        <f t="shared" si="32"/>
        <v>6</v>
      </c>
      <c r="AJ256" s="674">
        <f t="shared" si="33"/>
        <v>13</v>
      </c>
      <c r="AK256" s="678">
        <f t="shared" si="34"/>
        <v>24</v>
      </c>
    </row>
    <row r="257" spans="1:37" x14ac:dyDescent="0.2">
      <c r="A257" s="474">
        <v>1028</v>
      </c>
      <c r="B257" s="475" t="s">
        <v>67</v>
      </c>
      <c r="C257" s="674">
        <f>+[2]ต.ค.59!$AE$12</f>
        <v>6</v>
      </c>
      <c r="D257" s="674">
        <f>+[2]พ.ย.59!$AE$12</f>
        <v>8</v>
      </c>
      <c r="E257" s="674">
        <f>+[2]ธ.ค.59!$AE$12</f>
        <v>8</v>
      </c>
      <c r="F257" s="674">
        <f>+[2]ม.ค.60!$AE$12</f>
        <v>3</v>
      </c>
      <c r="G257" s="674">
        <f>+[2]ก.พ.60!$AE$12</f>
        <v>2</v>
      </c>
      <c r="H257" s="674">
        <f>+[2]มี.ค.60!$AE$12</f>
        <v>3</v>
      </c>
      <c r="I257" s="674">
        <f>+[2]เม.ย.60!$AE$12</f>
        <v>6</v>
      </c>
      <c r="J257" s="674">
        <f>+[2]พ.ค.60!$AE$12</f>
        <v>3</v>
      </c>
      <c r="K257" s="674">
        <f>+[2]มิ.ย.60!$AE$12</f>
        <v>1</v>
      </c>
      <c r="L257" s="674">
        <f>+[2]ก.ค.60!$AE$12</f>
        <v>0</v>
      </c>
      <c r="M257" s="674">
        <f>+[2]ส.ค.60!$AE$12</f>
        <v>2</v>
      </c>
      <c r="N257" s="674">
        <f>+[2]ก.ย.60!$AE$12</f>
        <v>1</v>
      </c>
      <c r="O257" s="678">
        <f t="shared" si="27"/>
        <v>43</v>
      </c>
      <c r="P257" s="681">
        <f t="shared" si="28"/>
        <v>22</v>
      </c>
      <c r="Q257" s="674">
        <f t="shared" si="29"/>
        <v>30</v>
      </c>
      <c r="R257" s="678">
        <f t="shared" si="30"/>
        <v>40</v>
      </c>
      <c r="T257" s="474">
        <v>1028</v>
      </c>
      <c r="U257" s="475" t="s">
        <v>67</v>
      </c>
      <c r="V257" s="674">
        <v>2</v>
      </c>
      <c r="W257" s="674">
        <v>2</v>
      </c>
      <c r="X257" s="674">
        <v>3</v>
      </c>
      <c r="Y257" s="674">
        <v>2</v>
      </c>
      <c r="Z257" s="674">
        <v>2</v>
      </c>
      <c r="AA257" s="674">
        <v>2</v>
      </c>
      <c r="AB257" s="674">
        <v>2</v>
      </c>
      <c r="AC257" s="674">
        <v>5</v>
      </c>
      <c r="AD257" s="674">
        <v>4</v>
      </c>
      <c r="AE257" s="674">
        <v>7</v>
      </c>
      <c r="AF257" s="674">
        <v>6</v>
      </c>
      <c r="AG257" s="674">
        <v>7</v>
      </c>
      <c r="AH257" s="678">
        <f t="shared" si="31"/>
        <v>44</v>
      </c>
      <c r="AI257" s="681">
        <f t="shared" si="32"/>
        <v>7</v>
      </c>
      <c r="AJ257" s="674">
        <f t="shared" si="33"/>
        <v>13</v>
      </c>
      <c r="AK257" s="678">
        <f t="shared" si="34"/>
        <v>24</v>
      </c>
    </row>
    <row r="258" spans="1:37" x14ac:dyDescent="0.2">
      <c r="A258" s="474">
        <v>1029</v>
      </c>
      <c r="B258" s="475" t="s">
        <v>68</v>
      </c>
      <c r="C258" s="674">
        <f>+[2]ต.ค.59!$AF$12</f>
        <v>0</v>
      </c>
      <c r="D258" s="674">
        <f>+[2]พ.ย.59!$AF$12</f>
        <v>0</v>
      </c>
      <c r="E258" s="674">
        <f>+[2]ธ.ค.59!$AF$12</f>
        <v>3</v>
      </c>
      <c r="F258" s="674">
        <f>+[2]ม.ค.60!$AF$12</f>
        <v>0</v>
      </c>
      <c r="G258" s="674">
        <f>+[2]ก.พ.60!$AF$12</f>
        <v>0</v>
      </c>
      <c r="H258" s="674">
        <f>+[2]มี.ค.60!$AF$12</f>
        <v>0</v>
      </c>
      <c r="I258" s="674">
        <f>+[2]เม.ย.60!$AF$12</f>
        <v>2</v>
      </c>
      <c r="J258" s="674">
        <f>+[2]พ.ค.60!$AF$12</f>
        <v>0</v>
      </c>
      <c r="K258" s="674">
        <f>+[2]มิ.ย.60!$AF$12</f>
        <v>2</v>
      </c>
      <c r="L258" s="674">
        <f>+[2]ก.ค.60!$AF$12</f>
        <v>1</v>
      </c>
      <c r="M258" s="674">
        <f>+[2]ส.ค.60!$AF$12</f>
        <v>0</v>
      </c>
      <c r="N258" s="674">
        <f>+[2]ก.ย.60!$AF$12</f>
        <v>2</v>
      </c>
      <c r="O258" s="678">
        <f t="shared" si="27"/>
        <v>10</v>
      </c>
      <c r="P258" s="681">
        <f t="shared" si="28"/>
        <v>3</v>
      </c>
      <c r="Q258" s="674">
        <f t="shared" si="29"/>
        <v>3</v>
      </c>
      <c r="R258" s="678">
        <f t="shared" si="30"/>
        <v>7</v>
      </c>
      <c r="T258" s="474">
        <v>1029</v>
      </c>
      <c r="U258" s="475" t="s">
        <v>68</v>
      </c>
      <c r="V258" s="674">
        <v>0</v>
      </c>
      <c r="W258" s="674">
        <v>1</v>
      </c>
      <c r="X258" s="674">
        <v>0</v>
      </c>
      <c r="Y258" s="674">
        <v>0</v>
      </c>
      <c r="Z258" s="674">
        <v>1</v>
      </c>
      <c r="AA258" s="674">
        <v>0</v>
      </c>
      <c r="AB258" s="674">
        <v>0</v>
      </c>
      <c r="AC258" s="674">
        <v>1</v>
      </c>
      <c r="AD258" s="674">
        <v>0</v>
      </c>
      <c r="AE258" s="674">
        <v>1</v>
      </c>
      <c r="AF258" s="674">
        <v>1</v>
      </c>
      <c r="AG258" s="674">
        <v>1</v>
      </c>
      <c r="AH258" s="678">
        <f t="shared" si="31"/>
        <v>6</v>
      </c>
      <c r="AI258" s="681">
        <f t="shared" si="32"/>
        <v>1</v>
      </c>
      <c r="AJ258" s="674">
        <f t="shared" si="33"/>
        <v>2</v>
      </c>
      <c r="AK258" s="678">
        <f t="shared" si="34"/>
        <v>3</v>
      </c>
    </row>
    <row r="259" spans="1:37" ht="15" thickBot="1" x14ac:dyDescent="0.25">
      <c r="A259" s="587">
        <v>1030</v>
      </c>
      <c r="B259" s="588" t="s">
        <v>69</v>
      </c>
      <c r="C259" s="675">
        <f>+[2]ต.ค.59!$AG$12</f>
        <v>0</v>
      </c>
      <c r="D259" s="675">
        <f>+[2]พ.ย.59!$AG$12</f>
        <v>2</v>
      </c>
      <c r="E259" s="675">
        <f>+[2]ธ.ค.59!$AG$12</f>
        <v>0</v>
      </c>
      <c r="F259" s="675">
        <f>+[2]ม.ค.60!$AG$12</f>
        <v>2</v>
      </c>
      <c r="G259" s="675">
        <f>+[2]ก.พ.60!$AG$12</f>
        <v>1</v>
      </c>
      <c r="H259" s="675">
        <f>+[2]มี.ค.60!$AG$12</f>
        <v>10</v>
      </c>
      <c r="I259" s="675">
        <f>+[2]เม.ย.60!$AG$12</f>
        <v>0</v>
      </c>
      <c r="J259" s="675">
        <f>+[2]พ.ค.60!$AG$12</f>
        <v>2</v>
      </c>
      <c r="K259" s="675">
        <f>+[2]มิ.ย.60!$AG$12</f>
        <v>1</v>
      </c>
      <c r="L259" s="675">
        <f>+[2]ก.ค.60!$AG$12</f>
        <v>3</v>
      </c>
      <c r="M259" s="675">
        <f>+[2]ส.ค.60!$AG$12</f>
        <v>1</v>
      </c>
      <c r="N259" s="675">
        <f>+[2]ก.ย.60!$AG$12</f>
        <v>0</v>
      </c>
      <c r="O259" s="679">
        <f t="shared" si="27"/>
        <v>22</v>
      </c>
      <c r="P259" s="682">
        <f t="shared" si="28"/>
        <v>2</v>
      </c>
      <c r="Q259" s="675">
        <f t="shared" si="29"/>
        <v>15</v>
      </c>
      <c r="R259" s="679">
        <f t="shared" si="30"/>
        <v>18</v>
      </c>
      <c r="T259" s="587">
        <v>1030</v>
      </c>
      <c r="U259" s="588" t="s">
        <v>69</v>
      </c>
      <c r="V259" s="675">
        <v>3</v>
      </c>
      <c r="W259" s="675">
        <v>2</v>
      </c>
      <c r="X259" s="675">
        <v>3</v>
      </c>
      <c r="Y259" s="675">
        <v>2</v>
      </c>
      <c r="Z259" s="675">
        <v>3</v>
      </c>
      <c r="AA259" s="675">
        <v>3</v>
      </c>
      <c r="AB259" s="675">
        <v>2</v>
      </c>
      <c r="AC259" s="675">
        <v>5</v>
      </c>
      <c r="AD259" s="675">
        <v>6</v>
      </c>
      <c r="AE259" s="675">
        <v>7</v>
      </c>
      <c r="AF259" s="675">
        <v>8</v>
      </c>
      <c r="AG259" s="675">
        <v>8</v>
      </c>
      <c r="AH259" s="679">
        <f t="shared" si="31"/>
        <v>52</v>
      </c>
      <c r="AI259" s="682">
        <f t="shared" si="32"/>
        <v>8</v>
      </c>
      <c r="AJ259" s="675">
        <f t="shared" si="33"/>
        <v>16</v>
      </c>
      <c r="AK259" s="679">
        <f t="shared" si="34"/>
        <v>29</v>
      </c>
    </row>
    <row r="260" spans="1:37" ht="15" thickBot="1" x14ac:dyDescent="0.25"/>
    <row r="261" spans="1:37" x14ac:dyDescent="0.2">
      <c r="A261" s="205">
        <v>1</v>
      </c>
      <c r="B261" s="206">
        <v>2</v>
      </c>
      <c r="C261" s="206">
        <v>3</v>
      </c>
      <c r="D261" s="206">
        <v>4</v>
      </c>
      <c r="E261" s="206">
        <v>5</v>
      </c>
      <c r="F261" s="206">
        <v>6</v>
      </c>
      <c r="G261" s="206">
        <v>7</v>
      </c>
      <c r="H261" s="206">
        <v>8</v>
      </c>
      <c r="I261" s="206">
        <v>9</v>
      </c>
      <c r="J261" s="206">
        <v>10</v>
      </c>
      <c r="K261" s="206">
        <v>11</v>
      </c>
      <c r="L261" s="206">
        <v>12</v>
      </c>
      <c r="M261" s="206">
        <v>13</v>
      </c>
      <c r="N261" s="206">
        <v>14</v>
      </c>
      <c r="O261" s="207">
        <v>15</v>
      </c>
      <c r="P261" s="206">
        <v>16</v>
      </c>
      <c r="Q261" s="207">
        <v>17</v>
      </c>
      <c r="R261" s="206">
        <v>18</v>
      </c>
      <c r="S261" s="207">
        <v>19</v>
      </c>
      <c r="T261" s="206">
        <v>20</v>
      </c>
      <c r="U261" s="207">
        <v>21</v>
      </c>
      <c r="V261" s="206">
        <v>22</v>
      </c>
      <c r="W261" s="207">
        <v>23</v>
      </c>
      <c r="X261" s="206">
        <v>24</v>
      </c>
      <c r="Y261" s="207">
        <v>25</v>
      </c>
      <c r="Z261" s="206">
        <v>26</v>
      </c>
      <c r="AA261" s="207">
        <v>27</v>
      </c>
      <c r="AB261" s="206">
        <v>28</v>
      </c>
      <c r="AC261" s="207">
        <v>29</v>
      </c>
      <c r="AD261" s="206">
        <v>30</v>
      </c>
      <c r="AE261" s="207">
        <v>31</v>
      </c>
      <c r="AF261" s="206">
        <v>32</v>
      </c>
      <c r="AG261" s="207">
        <v>33</v>
      </c>
      <c r="AH261" s="206">
        <v>34</v>
      </c>
      <c r="AI261" s="207">
        <v>35</v>
      </c>
      <c r="AJ261" s="206">
        <v>36</v>
      </c>
      <c r="AK261" s="207">
        <v>37</v>
      </c>
    </row>
    <row r="262" spans="1:37" x14ac:dyDescent="0.2">
      <c r="A262" s="214" t="s">
        <v>149</v>
      </c>
      <c r="B262" s="208"/>
      <c r="C262" s="209"/>
      <c r="D262" s="209"/>
      <c r="E262" s="209"/>
      <c r="F262" s="209"/>
      <c r="G262" s="209"/>
      <c r="H262" s="209"/>
      <c r="I262" s="209"/>
      <c r="J262" s="209"/>
      <c r="K262" s="209"/>
      <c r="L262" s="209"/>
      <c r="M262" s="209"/>
      <c r="N262" s="209"/>
      <c r="O262" s="210"/>
      <c r="T262" s="214" t="s">
        <v>150</v>
      </c>
      <c r="U262" s="208"/>
      <c r="V262" s="209"/>
      <c r="W262" s="209"/>
      <c r="X262" s="209"/>
      <c r="Y262" s="209"/>
      <c r="Z262" s="209"/>
      <c r="AA262" s="209"/>
      <c r="AB262" s="209"/>
      <c r="AC262" s="209"/>
      <c r="AD262" s="209"/>
      <c r="AE262" s="209"/>
      <c r="AF262" s="209"/>
      <c r="AG262" s="209"/>
      <c r="AH262" s="210"/>
    </row>
    <row r="263" spans="1:37" x14ac:dyDescent="0.2">
      <c r="A263" s="551" t="s">
        <v>40</v>
      </c>
      <c r="B263" s="552" t="s">
        <v>41</v>
      </c>
      <c r="C263" s="553" t="s">
        <v>74</v>
      </c>
      <c r="D263" s="553" t="s">
        <v>75</v>
      </c>
      <c r="E263" s="553" t="s">
        <v>76</v>
      </c>
      <c r="F263" s="553" t="s">
        <v>77</v>
      </c>
      <c r="G263" s="553" t="s">
        <v>78</v>
      </c>
      <c r="H263" s="553" t="s">
        <v>79</v>
      </c>
      <c r="I263" s="553" t="s">
        <v>80</v>
      </c>
      <c r="J263" s="553" t="s">
        <v>81</v>
      </c>
      <c r="K263" s="553" t="s">
        <v>82</v>
      </c>
      <c r="L263" s="553" t="s">
        <v>83</v>
      </c>
      <c r="M263" s="553" t="s">
        <v>84</v>
      </c>
      <c r="N263" s="553" t="s">
        <v>85</v>
      </c>
      <c r="O263" s="683" t="s">
        <v>147</v>
      </c>
      <c r="P263" s="553" t="s">
        <v>118</v>
      </c>
      <c r="Q263" s="553" t="s">
        <v>119</v>
      </c>
      <c r="R263" s="553" t="s">
        <v>120</v>
      </c>
      <c r="T263" s="551" t="s">
        <v>40</v>
      </c>
      <c r="U263" s="552" t="s">
        <v>41</v>
      </c>
      <c r="V263" s="553" t="s">
        <v>74</v>
      </c>
      <c r="W263" s="553" t="s">
        <v>75</v>
      </c>
      <c r="X263" s="553" t="s">
        <v>76</v>
      </c>
      <c r="Y263" s="553" t="s">
        <v>77</v>
      </c>
      <c r="Z263" s="553" t="s">
        <v>78</v>
      </c>
      <c r="AA263" s="553" t="s">
        <v>79</v>
      </c>
      <c r="AB263" s="553" t="s">
        <v>80</v>
      </c>
      <c r="AC263" s="553" t="s">
        <v>81</v>
      </c>
      <c r="AD263" s="553" t="s">
        <v>82</v>
      </c>
      <c r="AE263" s="553" t="s">
        <v>83</v>
      </c>
      <c r="AF263" s="553" t="s">
        <v>84</v>
      </c>
      <c r="AG263" s="553" t="s">
        <v>85</v>
      </c>
      <c r="AH263" s="683" t="s">
        <v>147</v>
      </c>
      <c r="AI263" s="553" t="s">
        <v>118</v>
      </c>
      <c r="AJ263" s="553" t="s">
        <v>119</v>
      </c>
      <c r="AK263" s="553" t="s">
        <v>120</v>
      </c>
    </row>
    <row r="264" spans="1:37" x14ac:dyDescent="0.2">
      <c r="A264" s="565">
        <v>1003</v>
      </c>
      <c r="B264" s="566" t="s">
        <v>42</v>
      </c>
      <c r="C264" s="676">
        <f t="shared" ref="C264:N264" si="35">SUM(C265:C291)</f>
        <v>1343</v>
      </c>
      <c r="D264" s="676">
        <f t="shared" si="35"/>
        <v>1428</v>
      </c>
      <c r="E264" s="676">
        <f t="shared" si="35"/>
        <v>1225</v>
      </c>
      <c r="F264" s="676">
        <f t="shared" si="35"/>
        <v>1163</v>
      </c>
      <c r="G264" s="676">
        <f t="shared" si="35"/>
        <v>1359</v>
      </c>
      <c r="H264" s="676">
        <f t="shared" si="35"/>
        <v>1780</v>
      </c>
      <c r="I264" s="676">
        <f t="shared" si="35"/>
        <v>1112</v>
      </c>
      <c r="J264" s="676">
        <f t="shared" si="35"/>
        <v>1341</v>
      </c>
      <c r="K264" s="676">
        <f t="shared" si="35"/>
        <v>1389</v>
      </c>
      <c r="L264" s="676">
        <f t="shared" si="35"/>
        <v>1165</v>
      </c>
      <c r="M264" s="676">
        <f t="shared" si="35"/>
        <v>1762</v>
      </c>
      <c r="N264" s="676">
        <f t="shared" si="35"/>
        <v>2366</v>
      </c>
      <c r="O264" s="677">
        <f>SUM(C264:N264)</f>
        <v>17433</v>
      </c>
      <c r="P264" s="680">
        <f>SUM(C264:E264)</f>
        <v>3996</v>
      </c>
      <c r="Q264" s="676">
        <f>SUM(C264:H264)</f>
        <v>8298</v>
      </c>
      <c r="R264" s="677">
        <f>SUM(C264:K264)</f>
        <v>12140</v>
      </c>
      <c r="T264" s="565">
        <v>1003</v>
      </c>
      <c r="U264" s="566" t="s">
        <v>42</v>
      </c>
      <c r="V264" s="676">
        <f t="shared" ref="V264:AG264" si="36">SUM(V265:V291)</f>
        <v>1414.5236963601665</v>
      </c>
      <c r="W264" s="676">
        <f t="shared" si="36"/>
        <v>1519.5476583531115</v>
      </c>
      <c r="X264" s="676">
        <f t="shared" si="36"/>
        <v>1432.7758102981145</v>
      </c>
      <c r="Y264" s="676">
        <f t="shared" si="36"/>
        <v>1386.2750300223981</v>
      </c>
      <c r="Z264" s="676">
        <f t="shared" si="36"/>
        <v>1858.4170583833165</v>
      </c>
      <c r="AA264" s="676">
        <f t="shared" si="36"/>
        <v>1991.4107403808753</v>
      </c>
      <c r="AB264" s="676">
        <f t="shared" si="36"/>
        <v>1808.6372465131287</v>
      </c>
      <c r="AC264" s="676">
        <f t="shared" si="36"/>
        <v>1879.3220987639236</v>
      </c>
      <c r="AD264" s="676">
        <f t="shared" si="36"/>
        <v>1949.5110146156394</v>
      </c>
      <c r="AE264" s="676">
        <f t="shared" si="36"/>
        <v>1480.1958038670077</v>
      </c>
      <c r="AF264" s="676">
        <f t="shared" si="36"/>
        <v>1541.0919029958891</v>
      </c>
      <c r="AG264" s="676">
        <f t="shared" si="36"/>
        <v>1638.2919394464295</v>
      </c>
      <c r="AH264" s="677">
        <f>SUM(V264:AG264)</f>
        <v>19900</v>
      </c>
      <c r="AI264" s="680">
        <f>SUM(V264:X264)</f>
        <v>4366.8471650113925</v>
      </c>
      <c r="AJ264" s="676">
        <f>SUM(V264:AA264)</f>
        <v>9602.9499937979817</v>
      </c>
      <c r="AK264" s="677">
        <f>SUM(V264:AD264)</f>
        <v>15240.420353690672</v>
      </c>
    </row>
    <row r="265" spans="1:37" x14ac:dyDescent="0.2">
      <c r="A265" s="474">
        <v>1004</v>
      </c>
      <c r="B265" s="475" t="s">
        <v>43</v>
      </c>
      <c r="C265" s="674">
        <f>+C41-C233</f>
        <v>575</v>
      </c>
      <c r="D265" s="674">
        <f t="shared" ref="D265:N265" si="37">+D41-D233</f>
        <v>388</v>
      </c>
      <c r="E265" s="674">
        <f t="shared" si="37"/>
        <v>478</v>
      </c>
      <c r="F265" s="674">
        <f t="shared" si="37"/>
        <v>341</v>
      </c>
      <c r="G265" s="674">
        <f t="shared" si="37"/>
        <v>381</v>
      </c>
      <c r="H265" s="674">
        <f t="shared" si="37"/>
        <v>499</v>
      </c>
      <c r="I265" s="674">
        <f t="shared" si="37"/>
        <v>226</v>
      </c>
      <c r="J265" s="674">
        <f t="shared" si="37"/>
        <v>398</v>
      </c>
      <c r="K265" s="674">
        <f t="shared" si="37"/>
        <v>460</v>
      </c>
      <c r="L265" s="674">
        <f t="shared" si="37"/>
        <v>375</v>
      </c>
      <c r="M265" s="674">
        <f t="shared" si="37"/>
        <v>688</v>
      </c>
      <c r="N265" s="674">
        <f t="shared" si="37"/>
        <v>1469</v>
      </c>
      <c r="O265" s="678">
        <f t="shared" ref="O265:O291" si="38">SUM(C265:N265)</f>
        <v>6278</v>
      </c>
      <c r="P265" s="681">
        <f t="shared" ref="P265:P291" si="39">SUM(C265:E265)</f>
        <v>1441</v>
      </c>
      <c r="Q265" s="674">
        <f t="shared" ref="Q265:Q291" si="40">SUM(C265:H265)</f>
        <v>2662</v>
      </c>
      <c r="R265" s="678">
        <f t="shared" ref="R265:R291" si="41">SUM(C265:K265)</f>
        <v>3746</v>
      </c>
      <c r="T265" s="474">
        <v>1004</v>
      </c>
      <c r="U265" s="475" t="s">
        <v>43</v>
      </c>
      <c r="V265" s="674">
        <f>+S41-V233</f>
        <v>417.74921728240452</v>
      </c>
      <c r="W265" s="674">
        <f t="shared" ref="W265:AG265" si="42">+T41-W233</f>
        <v>505.22959716134426</v>
      </c>
      <c r="X265" s="674">
        <f t="shared" si="42"/>
        <v>456.91014402003759</v>
      </c>
      <c r="Y265" s="674">
        <f t="shared" si="42"/>
        <v>374.69317470256732</v>
      </c>
      <c r="Z265" s="674">
        <f t="shared" si="42"/>
        <v>515.65153412648715</v>
      </c>
      <c r="AA265" s="674">
        <f t="shared" si="42"/>
        <v>530.6632227092465</v>
      </c>
      <c r="AB265" s="674">
        <f t="shared" si="42"/>
        <v>473.24817365894381</v>
      </c>
      <c r="AC265" s="674">
        <f t="shared" si="42"/>
        <v>501.67251095804636</v>
      </c>
      <c r="AD265" s="674">
        <f t="shared" si="42"/>
        <v>554.19244416614481</v>
      </c>
      <c r="AE265" s="674">
        <f t="shared" si="42"/>
        <v>503.68419954080571</v>
      </c>
      <c r="AF265" s="674">
        <f t="shared" si="42"/>
        <v>579.70068879148403</v>
      </c>
      <c r="AG265" s="674">
        <f t="shared" si="42"/>
        <v>568.60509288248795</v>
      </c>
      <c r="AH265" s="678">
        <f t="shared" ref="AH265:AH291" si="43">SUM(V265:AG265)</f>
        <v>5982</v>
      </c>
      <c r="AI265" s="681">
        <f t="shared" ref="AI265:AI291" si="44">SUM(V265:X265)</f>
        <v>1379.8889584637864</v>
      </c>
      <c r="AJ265" s="674">
        <f t="shared" ref="AJ265:AJ291" si="45">SUM(V265:AA265)</f>
        <v>2800.8968900020873</v>
      </c>
      <c r="AK265" s="678">
        <f t="shared" ref="AK265:AK291" si="46">SUM(V265:AD265)</f>
        <v>4330.0100187852222</v>
      </c>
    </row>
    <row r="266" spans="1:37" x14ac:dyDescent="0.2">
      <c r="A266" s="474">
        <v>1005</v>
      </c>
      <c r="B266" s="475" t="s">
        <v>44</v>
      </c>
      <c r="C266" s="674">
        <f t="shared" ref="C266:N266" si="47">+C42-C234</f>
        <v>7</v>
      </c>
      <c r="D266" s="674">
        <f t="shared" si="47"/>
        <v>11</v>
      </c>
      <c r="E266" s="674">
        <f t="shared" si="47"/>
        <v>16</v>
      </c>
      <c r="F266" s="674">
        <f t="shared" si="47"/>
        <v>9</v>
      </c>
      <c r="G266" s="674">
        <f t="shared" si="47"/>
        <v>22</v>
      </c>
      <c r="H266" s="674">
        <f t="shared" si="47"/>
        <v>18</v>
      </c>
      <c r="I266" s="674">
        <f t="shared" si="47"/>
        <v>7</v>
      </c>
      <c r="J266" s="674">
        <f t="shared" si="47"/>
        <v>10</v>
      </c>
      <c r="K266" s="674">
        <f t="shared" si="47"/>
        <v>0</v>
      </c>
      <c r="L266" s="674">
        <f t="shared" si="47"/>
        <v>16</v>
      </c>
      <c r="M266" s="674">
        <f t="shared" si="47"/>
        <v>2</v>
      </c>
      <c r="N266" s="674">
        <f t="shared" si="47"/>
        <v>4</v>
      </c>
      <c r="O266" s="678">
        <f t="shared" si="38"/>
        <v>122</v>
      </c>
      <c r="P266" s="681">
        <f t="shared" si="39"/>
        <v>34</v>
      </c>
      <c r="Q266" s="674">
        <f t="shared" si="40"/>
        <v>83</v>
      </c>
      <c r="R266" s="678">
        <f t="shared" si="41"/>
        <v>100</v>
      </c>
      <c r="T266" s="474">
        <v>1005</v>
      </c>
      <c r="U266" s="475" t="s">
        <v>44</v>
      </c>
      <c r="V266" s="674">
        <f t="shared" ref="V266:AG266" si="48">+S42-V234</f>
        <v>5.9387755102040822</v>
      </c>
      <c r="W266" s="674">
        <f t="shared" si="48"/>
        <v>3.8571428571428577</v>
      </c>
      <c r="X266" s="674">
        <f t="shared" si="48"/>
        <v>6.2857142857142865</v>
      </c>
      <c r="Y266" s="674">
        <f t="shared" si="48"/>
        <v>9.0612244897959169</v>
      </c>
      <c r="Z266" s="674">
        <f t="shared" si="48"/>
        <v>14.26530612244898</v>
      </c>
      <c r="AA266" s="674">
        <f t="shared" si="48"/>
        <v>18.387755102040821</v>
      </c>
      <c r="AB266" s="674">
        <f t="shared" si="48"/>
        <v>11.489795918367347</v>
      </c>
      <c r="AC266" s="674">
        <f t="shared" si="48"/>
        <v>11.530612244897959</v>
      </c>
      <c r="AD266" s="674">
        <f t="shared" si="48"/>
        <v>6.3265306122448983</v>
      </c>
      <c r="AE266" s="674">
        <f t="shared" si="48"/>
        <v>1.8571428571428577</v>
      </c>
      <c r="AF266" s="674">
        <f t="shared" si="48"/>
        <v>5.2857142857142865</v>
      </c>
      <c r="AG266" s="674">
        <f t="shared" si="48"/>
        <v>6.7142857142857153</v>
      </c>
      <c r="AH266" s="678">
        <f t="shared" si="43"/>
        <v>101.00000000000003</v>
      </c>
      <c r="AI266" s="681">
        <f t="shared" si="44"/>
        <v>16.081632653061227</v>
      </c>
      <c r="AJ266" s="674">
        <f t="shared" si="45"/>
        <v>57.79591836734695</v>
      </c>
      <c r="AK266" s="678">
        <f t="shared" si="46"/>
        <v>87.142857142857153</v>
      </c>
    </row>
    <row r="267" spans="1:37" x14ac:dyDescent="0.2">
      <c r="A267" s="474">
        <v>1006</v>
      </c>
      <c r="B267" s="475" t="s">
        <v>45</v>
      </c>
      <c r="C267" s="674">
        <f t="shared" ref="C267:N267" si="49">+C43-C235</f>
        <v>80</v>
      </c>
      <c r="D267" s="674">
        <f t="shared" si="49"/>
        <v>114</v>
      </c>
      <c r="E267" s="674">
        <f t="shared" si="49"/>
        <v>73</v>
      </c>
      <c r="F267" s="674">
        <f t="shared" si="49"/>
        <v>104</v>
      </c>
      <c r="G267" s="674">
        <f t="shared" si="49"/>
        <v>113</v>
      </c>
      <c r="H267" s="674">
        <f t="shared" si="49"/>
        <v>77</v>
      </c>
      <c r="I267" s="674">
        <f t="shared" si="49"/>
        <v>55</v>
      </c>
      <c r="J267" s="674">
        <f t="shared" si="49"/>
        <v>78</v>
      </c>
      <c r="K267" s="674">
        <f t="shared" si="49"/>
        <v>131</v>
      </c>
      <c r="L267" s="674">
        <f t="shared" si="49"/>
        <v>119</v>
      </c>
      <c r="M267" s="674">
        <f t="shared" si="49"/>
        <v>98</v>
      </c>
      <c r="N267" s="674">
        <f t="shared" si="49"/>
        <v>69</v>
      </c>
      <c r="O267" s="678">
        <f t="shared" si="38"/>
        <v>1111</v>
      </c>
      <c r="P267" s="681">
        <f t="shared" si="39"/>
        <v>267</v>
      </c>
      <c r="Q267" s="674">
        <f t="shared" si="40"/>
        <v>561</v>
      </c>
      <c r="R267" s="678">
        <f t="shared" si="41"/>
        <v>825</v>
      </c>
      <c r="T267" s="474">
        <v>1006</v>
      </c>
      <c r="U267" s="475" t="s">
        <v>45</v>
      </c>
      <c r="V267" s="674">
        <f t="shared" ref="V267:AG267" si="50">+S43-V235</f>
        <v>119.56397660818715</v>
      </c>
      <c r="W267" s="674">
        <f t="shared" si="50"/>
        <v>94.498011695906428</v>
      </c>
      <c r="X267" s="674">
        <f t="shared" si="50"/>
        <v>96.115087719298259</v>
      </c>
      <c r="Y267" s="674">
        <f t="shared" si="50"/>
        <v>76.911345029239754</v>
      </c>
      <c r="Z267" s="674">
        <f t="shared" si="50"/>
        <v>124.50058479532163</v>
      </c>
      <c r="AA267" s="674">
        <f t="shared" si="50"/>
        <v>128.2030409356725</v>
      </c>
      <c r="AB267" s="674">
        <f t="shared" si="50"/>
        <v>91.104093567251468</v>
      </c>
      <c r="AC267" s="674">
        <f t="shared" si="50"/>
        <v>141.55555555555557</v>
      </c>
      <c r="AD267" s="674">
        <f t="shared" si="50"/>
        <v>122.19204678362574</v>
      </c>
      <c r="AE267" s="674">
        <f t="shared" si="50"/>
        <v>105.54198830409358</v>
      </c>
      <c r="AF267" s="674">
        <f t="shared" si="50"/>
        <v>91.115087719298259</v>
      </c>
      <c r="AG267" s="674">
        <f t="shared" si="50"/>
        <v>79.699181286549717</v>
      </c>
      <c r="AH267" s="678">
        <f t="shared" si="43"/>
        <v>1271</v>
      </c>
      <c r="AI267" s="681">
        <f t="shared" si="44"/>
        <v>310.17707602339181</v>
      </c>
      <c r="AJ267" s="674">
        <f t="shared" si="45"/>
        <v>639.79204678362566</v>
      </c>
      <c r="AK267" s="678">
        <f t="shared" si="46"/>
        <v>994.64374269005839</v>
      </c>
    </row>
    <row r="268" spans="1:37" x14ac:dyDescent="0.2">
      <c r="A268" s="474">
        <v>1007</v>
      </c>
      <c r="B268" s="475" t="s">
        <v>46</v>
      </c>
      <c r="C268" s="674">
        <f t="shared" ref="C268:N268" si="51">+C44-C236</f>
        <v>139</v>
      </c>
      <c r="D268" s="674">
        <f t="shared" si="51"/>
        <v>151</v>
      </c>
      <c r="E268" s="674">
        <f t="shared" si="51"/>
        <v>67</v>
      </c>
      <c r="F268" s="674">
        <f t="shared" si="51"/>
        <v>41</v>
      </c>
      <c r="G268" s="674">
        <f t="shared" si="51"/>
        <v>103</v>
      </c>
      <c r="H268" s="674">
        <f t="shared" si="51"/>
        <v>247</v>
      </c>
      <c r="I268" s="674">
        <f t="shared" si="51"/>
        <v>93</v>
      </c>
      <c r="J268" s="674">
        <f t="shared" si="51"/>
        <v>76</v>
      </c>
      <c r="K268" s="674">
        <f t="shared" si="51"/>
        <v>42</v>
      </c>
      <c r="L268" s="674">
        <f t="shared" si="51"/>
        <v>46</v>
      </c>
      <c r="M268" s="674">
        <f t="shared" si="51"/>
        <v>78</v>
      </c>
      <c r="N268" s="674">
        <f t="shared" si="51"/>
        <v>30</v>
      </c>
      <c r="O268" s="678">
        <f t="shared" si="38"/>
        <v>1113</v>
      </c>
      <c r="P268" s="681">
        <f t="shared" si="39"/>
        <v>357</v>
      </c>
      <c r="Q268" s="674">
        <f t="shared" si="40"/>
        <v>748</v>
      </c>
      <c r="R268" s="678">
        <f t="shared" si="41"/>
        <v>959</v>
      </c>
      <c r="T268" s="474">
        <v>1007</v>
      </c>
      <c r="U268" s="475" t="s">
        <v>46</v>
      </c>
      <c r="V268" s="674">
        <f t="shared" ref="V268:AG268" si="52">+S44-V236</f>
        <v>72.95952023988005</v>
      </c>
      <c r="W268" s="674">
        <f t="shared" si="52"/>
        <v>114.74032983508245</v>
      </c>
      <c r="X268" s="674">
        <f t="shared" si="52"/>
        <v>79.260569715142424</v>
      </c>
      <c r="Y268" s="674">
        <f t="shared" si="52"/>
        <v>65.326836581709145</v>
      </c>
      <c r="Z268" s="674">
        <f t="shared" si="52"/>
        <v>77.934032983508246</v>
      </c>
      <c r="AA268" s="674">
        <f t="shared" si="52"/>
        <v>84.229985007496254</v>
      </c>
      <c r="AB268" s="674">
        <f t="shared" si="52"/>
        <v>107.78110944527735</v>
      </c>
      <c r="AC268" s="674">
        <f t="shared" si="52"/>
        <v>98.49025487256371</v>
      </c>
      <c r="AD268" s="674">
        <f t="shared" si="52"/>
        <v>132.31694152923538</v>
      </c>
      <c r="AE268" s="674">
        <f t="shared" si="52"/>
        <v>96.500449775112429</v>
      </c>
      <c r="AF268" s="674">
        <f t="shared" si="52"/>
        <v>78.918740629685146</v>
      </c>
      <c r="AG268" s="674">
        <f t="shared" si="52"/>
        <v>88.541229385307332</v>
      </c>
      <c r="AH268" s="678">
        <f t="shared" si="43"/>
        <v>1097</v>
      </c>
      <c r="AI268" s="681">
        <f t="shared" si="44"/>
        <v>266.96041979010494</v>
      </c>
      <c r="AJ268" s="674">
        <f t="shared" si="45"/>
        <v>494.45127436281859</v>
      </c>
      <c r="AK268" s="678">
        <f t="shared" si="46"/>
        <v>833.03958020989501</v>
      </c>
    </row>
    <row r="269" spans="1:37" x14ac:dyDescent="0.2">
      <c r="A269" s="474">
        <v>1008</v>
      </c>
      <c r="B269" s="475" t="s">
        <v>47</v>
      </c>
      <c r="C269" s="674">
        <f t="shared" ref="C269:N269" si="53">+C45-C237</f>
        <v>19</v>
      </c>
      <c r="D269" s="674">
        <f t="shared" si="53"/>
        <v>17</v>
      </c>
      <c r="E269" s="674">
        <f t="shared" si="53"/>
        <v>10</v>
      </c>
      <c r="F269" s="674">
        <f t="shared" si="53"/>
        <v>13</v>
      </c>
      <c r="G269" s="674">
        <f t="shared" si="53"/>
        <v>10</v>
      </c>
      <c r="H269" s="674">
        <f t="shared" si="53"/>
        <v>23</v>
      </c>
      <c r="I269" s="674">
        <f t="shared" si="53"/>
        <v>26</v>
      </c>
      <c r="J269" s="674">
        <f t="shared" si="53"/>
        <v>15</v>
      </c>
      <c r="K269" s="674">
        <f t="shared" si="53"/>
        <v>15</v>
      </c>
      <c r="L269" s="674">
        <f t="shared" si="53"/>
        <v>7</v>
      </c>
      <c r="M269" s="674">
        <f t="shared" si="53"/>
        <v>10</v>
      </c>
      <c r="N269" s="674">
        <f t="shared" si="53"/>
        <v>7</v>
      </c>
      <c r="O269" s="678">
        <f t="shared" si="38"/>
        <v>172</v>
      </c>
      <c r="P269" s="681">
        <f t="shared" si="39"/>
        <v>46</v>
      </c>
      <c r="Q269" s="674">
        <f t="shared" si="40"/>
        <v>92</v>
      </c>
      <c r="R269" s="678">
        <f t="shared" si="41"/>
        <v>148</v>
      </c>
      <c r="T269" s="474">
        <v>1008</v>
      </c>
      <c r="U269" s="475" t="s">
        <v>47</v>
      </c>
      <c r="V269" s="674">
        <f t="shared" ref="V269:AG269" si="54">+S45-V237</f>
        <v>15.842767295597486</v>
      </c>
      <c r="W269" s="674">
        <f t="shared" si="54"/>
        <v>25.775681341719082</v>
      </c>
      <c r="X269" s="674">
        <f t="shared" si="54"/>
        <v>19.729559748427675</v>
      </c>
      <c r="Y269" s="674">
        <f t="shared" si="54"/>
        <v>18.865828092243191</v>
      </c>
      <c r="Z269" s="674">
        <f t="shared" si="54"/>
        <v>49.096436058700213</v>
      </c>
      <c r="AA269" s="674">
        <f t="shared" si="54"/>
        <v>79.32704402515725</v>
      </c>
      <c r="AB269" s="674">
        <f t="shared" si="54"/>
        <v>52.983228511530399</v>
      </c>
      <c r="AC269" s="674">
        <f t="shared" si="54"/>
        <v>29.094339622641513</v>
      </c>
      <c r="AD269" s="674">
        <f t="shared" si="54"/>
        <v>36.867924528301899</v>
      </c>
      <c r="AE269" s="674">
        <f t="shared" si="54"/>
        <v>22.048218029350107</v>
      </c>
      <c r="AF269" s="674">
        <f t="shared" si="54"/>
        <v>25.935010482180296</v>
      </c>
      <c r="AG269" s="674">
        <f t="shared" si="54"/>
        <v>16.433962264150949</v>
      </c>
      <c r="AH269" s="678">
        <f t="shared" si="43"/>
        <v>392.00000000000011</v>
      </c>
      <c r="AI269" s="681">
        <f t="shared" si="44"/>
        <v>61.348008385744244</v>
      </c>
      <c r="AJ269" s="674">
        <f t="shared" si="45"/>
        <v>208.6373165618449</v>
      </c>
      <c r="AK269" s="678">
        <f t="shared" si="46"/>
        <v>327.58280922431874</v>
      </c>
    </row>
    <row r="270" spans="1:37" x14ac:dyDescent="0.2">
      <c r="A270" s="474">
        <v>1009</v>
      </c>
      <c r="B270" s="475" t="s">
        <v>48</v>
      </c>
      <c r="C270" s="674">
        <f t="shared" ref="C270:N270" si="55">+C46-C238</f>
        <v>22</v>
      </c>
      <c r="D270" s="674">
        <f t="shared" si="55"/>
        <v>46</v>
      </c>
      <c r="E270" s="674">
        <f t="shared" si="55"/>
        <v>19</v>
      </c>
      <c r="F270" s="674">
        <f t="shared" si="55"/>
        <v>17</v>
      </c>
      <c r="G270" s="674">
        <f t="shared" si="55"/>
        <v>9</v>
      </c>
      <c r="H270" s="674">
        <f t="shared" si="55"/>
        <v>17</v>
      </c>
      <c r="I270" s="674">
        <f t="shared" si="55"/>
        <v>28</v>
      </c>
      <c r="J270" s="674">
        <f t="shared" si="55"/>
        <v>17</v>
      </c>
      <c r="K270" s="674">
        <f t="shared" si="55"/>
        <v>9</v>
      </c>
      <c r="L270" s="674">
        <f t="shared" si="55"/>
        <v>15</v>
      </c>
      <c r="M270" s="674">
        <f t="shared" si="55"/>
        <v>14</v>
      </c>
      <c r="N270" s="674">
        <f t="shared" si="55"/>
        <v>10</v>
      </c>
      <c r="O270" s="678">
        <f t="shared" si="38"/>
        <v>223</v>
      </c>
      <c r="P270" s="681">
        <f t="shared" si="39"/>
        <v>87</v>
      </c>
      <c r="Q270" s="674">
        <f t="shared" si="40"/>
        <v>130</v>
      </c>
      <c r="R270" s="678">
        <f t="shared" si="41"/>
        <v>184</v>
      </c>
      <c r="T270" s="474">
        <v>1009</v>
      </c>
      <c r="U270" s="475" t="s">
        <v>48</v>
      </c>
      <c r="V270" s="674">
        <f t="shared" ref="V270:AG270" si="56">+S46-V238</f>
        <v>47.071283095723018</v>
      </c>
      <c r="W270" s="674">
        <f t="shared" si="56"/>
        <v>35.812627291242364</v>
      </c>
      <c r="X270" s="674">
        <f t="shared" si="56"/>
        <v>40.738289205702657</v>
      </c>
      <c r="Y270" s="674">
        <f t="shared" si="56"/>
        <v>44.663951120162935</v>
      </c>
      <c r="Z270" s="674">
        <f t="shared" si="56"/>
        <v>63.959266802443992</v>
      </c>
      <c r="AA270" s="674">
        <f t="shared" si="56"/>
        <v>70.292260692464353</v>
      </c>
      <c r="AB270" s="674">
        <f t="shared" si="56"/>
        <v>57.62627291242363</v>
      </c>
      <c r="AC270" s="674">
        <f t="shared" si="56"/>
        <v>42.77494908350306</v>
      </c>
      <c r="AD270" s="674">
        <f t="shared" si="56"/>
        <v>84.69857433808555</v>
      </c>
      <c r="AE270" s="674">
        <f t="shared" si="56"/>
        <v>37.77494908350306</v>
      </c>
      <c r="AF270" s="674">
        <f t="shared" si="56"/>
        <v>31.145621181262733</v>
      </c>
      <c r="AG270" s="674">
        <f t="shared" si="56"/>
        <v>31.441955193482684</v>
      </c>
      <c r="AH270" s="678">
        <f t="shared" si="43"/>
        <v>588.00000000000023</v>
      </c>
      <c r="AI270" s="681">
        <f t="shared" si="44"/>
        <v>123.62219959266804</v>
      </c>
      <c r="AJ270" s="674">
        <f t="shared" si="45"/>
        <v>302.53767820773936</v>
      </c>
      <c r="AK270" s="678">
        <f t="shared" si="46"/>
        <v>487.63747454175166</v>
      </c>
    </row>
    <row r="271" spans="1:37" x14ac:dyDescent="0.2">
      <c r="A271" s="474">
        <v>1010</v>
      </c>
      <c r="B271" s="475" t="s">
        <v>49</v>
      </c>
      <c r="C271" s="674">
        <f t="shared" ref="C271:N271" si="57">+C47-C239</f>
        <v>13</v>
      </c>
      <c r="D271" s="674">
        <f t="shared" si="57"/>
        <v>7</v>
      </c>
      <c r="E271" s="674">
        <f t="shared" si="57"/>
        <v>25</v>
      </c>
      <c r="F271" s="674">
        <f t="shared" si="57"/>
        <v>17</v>
      </c>
      <c r="G271" s="674">
        <f t="shared" si="57"/>
        <v>21</v>
      </c>
      <c r="H271" s="674">
        <f t="shared" si="57"/>
        <v>18</v>
      </c>
      <c r="I271" s="674">
        <f t="shared" si="57"/>
        <v>21</v>
      </c>
      <c r="J271" s="674">
        <f t="shared" si="57"/>
        <v>17</v>
      </c>
      <c r="K271" s="674">
        <f t="shared" si="57"/>
        <v>38</v>
      </c>
      <c r="L271" s="674">
        <f t="shared" si="57"/>
        <v>17</v>
      </c>
      <c r="M271" s="674">
        <f t="shared" si="57"/>
        <v>23</v>
      </c>
      <c r="N271" s="674">
        <f t="shared" si="57"/>
        <v>7</v>
      </c>
      <c r="O271" s="678">
        <f t="shared" si="38"/>
        <v>224</v>
      </c>
      <c r="P271" s="681">
        <f t="shared" si="39"/>
        <v>45</v>
      </c>
      <c r="Q271" s="674">
        <f t="shared" si="40"/>
        <v>101</v>
      </c>
      <c r="R271" s="678">
        <f t="shared" si="41"/>
        <v>177</v>
      </c>
      <c r="T271" s="474">
        <v>1010</v>
      </c>
      <c r="U271" s="475" t="s">
        <v>49</v>
      </c>
      <c r="V271" s="674">
        <f t="shared" ref="V271:AG271" si="58">+S47-V239</f>
        <v>24.75</v>
      </c>
      <c r="W271" s="674">
        <f t="shared" si="58"/>
        <v>12</v>
      </c>
      <c r="X271" s="674">
        <f t="shared" si="58"/>
        <v>6.2499999999999991</v>
      </c>
      <c r="Y271" s="674">
        <f t="shared" si="58"/>
        <v>11.499999999999998</v>
      </c>
      <c r="Z271" s="674">
        <f t="shared" si="58"/>
        <v>15.249999999999996</v>
      </c>
      <c r="AA271" s="674">
        <f t="shared" si="58"/>
        <v>8.7499999999999982</v>
      </c>
      <c r="AB271" s="674">
        <f t="shared" si="58"/>
        <v>12.499999999999998</v>
      </c>
      <c r="AC271" s="674">
        <f t="shared" si="58"/>
        <v>16.749999999999996</v>
      </c>
      <c r="AD271" s="674">
        <f t="shared" si="58"/>
        <v>12.749999999999998</v>
      </c>
      <c r="AE271" s="674">
        <f t="shared" si="58"/>
        <v>10.999999999999998</v>
      </c>
      <c r="AF271" s="674">
        <f t="shared" si="58"/>
        <v>8.25</v>
      </c>
      <c r="AG271" s="674">
        <f t="shared" si="58"/>
        <v>9.25</v>
      </c>
      <c r="AH271" s="678">
        <f t="shared" si="43"/>
        <v>149</v>
      </c>
      <c r="AI271" s="681">
        <f t="shared" si="44"/>
        <v>43</v>
      </c>
      <c r="AJ271" s="674">
        <f t="shared" si="45"/>
        <v>78.5</v>
      </c>
      <c r="AK271" s="678">
        <f t="shared" si="46"/>
        <v>120.5</v>
      </c>
    </row>
    <row r="272" spans="1:37" x14ac:dyDescent="0.2">
      <c r="A272" s="474">
        <v>1011</v>
      </c>
      <c r="B272" s="475" t="s">
        <v>50</v>
      </c>
      <c r="C272" s="674">
        <f t="shared" ref="C272:N272" si="59">+C48-C240</f>
        <v>6</v>
      </c>
      <c r="D272" s="674">
        <f t="shared" si="59"/>
        <v>11</v>
      </c>
      <c r="E272" s="674">
        <f t="shared" si="59"/>
        <v>8</v>
      </c>
      <c r="F272" s="674">
        <f t="shared" si="59"/>
        <v>20</v>
      </c>
      <c r="G272" s="674">
        <f t="shared" si="59"/>
        <v>21</v>
      </c>
      <c r="H272" s="674">
        <f t="shared" si="59"/>
        <v>40</v>
      </c>
      <c r="I272" s="674">
        <f t="shared" si="59"/>
        <v>35</v>
      </c>
      <c r="J272" s="674">
        <f t="shared" si="59"/>
        <v>25</v>
      </c>
      <c r="K272" s="674">
        <f t="shared" si="59"/>
        <v>15</v>
      </c>
      <c r="L272" s="674">
        <f t="shared" si="59"/>
        <v>8</v>
      </c>
      <c r="M272" s="674">
        <f t="shared" si="59"/>
        <v>20</v>
      </c>
      <c r="N272" s="674">
        <f t="shared" si="59"/>
        <v>15</v>
      </c>
      <c r="O272" s="678">
        <f t="shared" si="38"/>
        <v>224</v>
      </c>
      <c r="P272" s="681">
        <f t="shared" si="39"/>
        <v>25</v>
      </c>
      <c r="Q272" s="674">
        <f t="shared" si="40"/>
        <v>106</v>
      </c>
      <c r="R272" s="678">
        <f t="shared" si="41"/>
        <v>181</v>
      </c>
      <c r="T272" s="474">
        <v>1011</v>
      </c>
      <c r="U272" s="475" t="s">
        <v>50</v>
      </c>
      <c r="V272" s="674">
        <f t="shared" ref="V272:AG272" si="60">+S48-V240</f>
        <v>11.748768472906406</v>
      </c>
      <c r="W272" s="674">
        <f t="shared" si="60"/>
        <v>12.793103448275861</v>
      </c>
      <c r="X272" s="674">
        <f t="shared" si="60"/>
        <v>9.1822660098522171</v>
      </c>
      <c r="Y272" s="674">
        <f t="shared" si="60"/>
        <v>11.226600985221674</v>
      </c>
      <c r="Z272" s="674">
        <f t="shared" si="60"/>
        <v>11.226600985221674</v>
      </c>
      <c r="AA272" s="674">
        <f t="shared" si="60"/>
        <v>15.403940886699509</v>
      </c>
      <c r="AB272" s="674">
        <f t="shared" si="60"/>
        <v>21.147783251231527</v>
      </c>
      <c r="AC272" s="674">
        <f t="shared" si="60"/>
        <v>18.320197044334975</v>
      </c>
      <c r="AD272" s="674">
        <f t="shared" si="60"/>
        <v>12.270935960591133</v>
      </c>
      <c r="AE272" s="674">
        <f t="shared" si="60"/>
        <v>10.487684729064039</v>
      </c>
      <c r="AF272" s="674">
        <f t="shared" si="60"/>
        <v>13.315270935960591</v>
      </c>
      <c r="AG272" s="674">
        <f t="shared" si="60"/>
        <v>7.876847290640395</v>
      </c>
      <c r="AH272" s="678">
        <f t="shared" si="43"/>
        <v>155</v>
      </c>
      <c r="AI272" s="681">
        <f t="shared" si="44"/>
        <v>33.724137931034484</v>
      </c>
      <c r="AJ272" s="674">
        <f t="shared" si="45"/>
        <v>71.581280788177338</v>
      </c>
      <c r="AK272" s="678">
        <f t="shared" si="46"/>
        <v>123.32019704433498</v>
      </c>
    </row>
    <row r="273" spans="1:37" x14ac:dyDescent="0.2">
      <c r="A273" s="474">
        <v>1012</v>
      </c>
      <c r="B273" s="475" t="s">
        <v>51</v>
      </c>
      <c r="C273" s="674">
        <f t="shared" ref="C273:N273" si="61">+C49-C241</f>
        <v>82</v>
      </c>
      <c r="D273" s="674">
        <f t="shared" si="61"/>
        <v>31</v>
      </c>
      <c r="E273" s="674">
        <f t="shared" si="61"/>
        <v>45</v>
      </c>
      <c r="F273" s="674">
        <f t="shared" si="61"/>
        <v>36</v>
      </c>
      <c r="G273" s="674">
        <f t="shared" si="61"/>
        <v>33</v>
      </c>
      <c r="H273" s="674">
        <f t="shared" si="61"/>
        <v>74</v>
      </c>
      <c r="I273" s="674">
        <f t="shared" si="61"/>
        <v>64</v>
      </c>
      <c r="J273" s="674">
        <f t="shared" si="61"/>
        <v>60</v>
      </c>
      <c r="K273" s="674">
        <f t="shared" si="61"/>
        <v>34</v>
      </c>
      <c r="L273" s="674">
        <f t="shared" si="61"/>
        <v>28</v>
      </c>
      <c r="M273" s="674">
        <f t="shared" si="61"/>
        <v>114</v>
      </c>
      <c r="N273" s="674">
        <f t="shared" si="61"/>
        <v>81</v>
      </c>
      <c r="O273" s="678">
        <f t="shared" si="38"/>
        <v>682</v>
      </c>
      <c r="P273" s="681">
        <f t="shared" si="39"/>
        <v>158</v>
      </c>
      <c r="Q273" s="674">
        <f t="shared" si="40"/>
        <v>301</v>
      </c>
      <c r="R273" s="678">
        <f t="shared" si="41"/>
        <v>459</v>
      </c>
      <c r="T273" s="474">
        <v>1012</v>
      </c>
      <c r="U273" s="475" t="s">
        <v>51</v>
      </c>
      <c r="V273" s="674">
        <f t="shared" ref="V273:AG273" si="62">+S49-V241</f>
        <v>34.222936074526167</v>
      </c>
      <c r="W273" s="674">
        <f t="shared" si="62"/>
        <v>53.460648891744285</v>
      </c>
      <c r="X273" s="674">
        <f t="shared" si="62"/>
        <v>54.82203662062318</v>
      </c>
      <c r="Y273" s="674">
        <f t="shared" si="62"/>
        <v>57.351750722775442</v>
      </c>
      <c r="Z273" s="674">
        <f t="shared" si="62"/>
        <v>188.53549630581426</v>
      </c>
      <c r="AA273" s="674">
        <f t="shared" si="62"/>
        <v>156.81753935110822</v>
      </c>
      <c r="AB273" s="674">
        <f t="shared" si="62"/>
        <v>122.76292964985541</v>
      </c>
      <c r="AC273" s="674">
        <f t="shared" si="62"/>
        <v>178.66912945711528</v>
      </c>
      <c r="AD273" s="674">
        <f t="shared" si="62"/>
        <v>63.831994860263379</v>
      </c>
      <c r="AE273" s="674">
        <f t="shared" si="62"/>
        <v>52.158689367169913</v>
      </c>
      <c r="AF273" s="674">
        <f t="shared" si="62"/>
        <v>37.980404754256334</v>
      </c>
      <c r="AG273" s="674">
        <f t="shared" si="62"/>
        <v>59.386443944747811</v>
      </c>
      <c r="AH273" s="678">
        <f t="shared" si="43"/>
        <v>1059.9999999999998</v>
      </c>
      <c r="AI273" s="681">
        <f t="shared" si="44"/>
        <v>142.50562158689362</v>
      </c>
      <c r="AJ273" s="674">
        <f t="shared" si="45"/>
        <v>545.21040796659156</v>
      </c>
      <c r="AK273" s="678">
        <f t="shared" si="46"/>
        <v>910.47446193382575</v>
      </c>
    </row>
    <row r="274" spans="1:37" x14ac:dyDescent="0.2">
      <c r="A274" s="474">
        <v>1013</v>
      </c>
      <c r="B274" s="475" t="s">
        <v>52</v>
      </c>
      <c r="C274" s="674">
        <f t="shared" ref="C274:N274" si="63">+C50-C242</f>
        <v>3</v>
      </c>
      <c r="D274" s="674">
        <f t="shared" si="63"/>
        <v>1</v>
      </c>
      <c r="E274" s="674">
        <f t="shared" si="63"/>
        <v>6</v>
      </c>
      <c r="F274" s="674">
        <f t="shared" si="63"/>
        <v>19</v>
      </c>
      <c r="G274" s="674">
        <f t="shared" si="63"/>
        <v>13</v>
      </c>
      <c r="H274" s="674">
        <f t="shared" si="63"/>
        <v>11</v>
      </c>
      <c r="I274" s="674">
        <f t="shared" si="63"/>
        <v>0</v>
      </c>
      <c r="J274" s="674">
        <f t="shared" si="63"/>
        <v>1</v>
      </c>
      <c r="K274" s="674">
        <f t="shared" si="63"/>
        <v>12</v>
      </c>
      <c r="L274" s="674">
        <f t="shared" si="63"/>
        <v>4</v>
      </c>
      <c r="M274" s="674">
        <f t="shared" si="63"/>
        <v>6</v>
      </c>
      <c r="N274" s="674">
        <f t="shared" si="63"/>
        <v>3</v>
      </c>
      <c r="O274" s="678">
        <f t="shared" si="38"/>
        <v>79</v>
      </c>
      <c r="P274" s="681">
        <f t="shared" si="39"/>
        <v>10</v>
      </c>
      <c r="Q274" s="674">
        <f t="shared" si="40"/>
        <v>53</v>
      </c>
      <c r="R274" s="678">
        <f t="shared" si="41"/>
        <v>66</v>
      </c>
      <c r="T274" s="474">
        <v>1013</v>
      </c>
      <c r="U274" s="475" t="s">
        <v>52</v>
      </c>
      <c r="V274" s="674">
        <f t="shared" ref="V274:AG274" si="64">+S50-V242</f>
        <v>1.5609756097560972</v>
      </c>
      <c r="W274" s="674">
        <f t="shared" si="64"/>
        <v>0.56097560975609717</v>
      </c>
      <c r="X274" s="674">
        <f t="shared" si="64"/>
        <v>2.7317073170731705</v>
      </c>
      <c r="Y274" s="674">
        <f t="shared" si="64"/>
        <v>4.48780487804878</v>
      </c>
      <c r="Z274" s="674">
        <f t="shared" si="64"/>
        <v>5.6585365853658516</v>
      </c>
      <c r="AA274" s="674">
        <f t="shared" si="64"/>
        <v>3.0975609756097553</v>
      </c>
      <c r="AB274" s="674">
        <f t="shared" si="64"/>
        <v>4.0975609756097553</v>
      </c>
      <c r="AC274" s="674">
        <f t="shared" si="64"/>
        <v>4.6829268292682915</v>
      </c>
      <c r="AD274" s="674">
        <f t="shared" si="64"/>
        <v>1.7317073170731705</v>
      </c>
      <c r="AE274" s="674">
        <f t="shared" si="64"/>
        <v>0.75609756097560954</v>
      </c>
      <c r="AF274" s="674">
        <f t="shared" si="64"/>
        <v>1.9512195121951217</v>
      </c>
      <c r="AG274" s="674">
        <f t="shared" si="64"/>
        <v>3.6829268292682915</v>
      </c>
      <c r="AH274" s="678">
        <f t="shared" si="43"/>
        <v>34.999999999999993</v>
      </c>
      <c r="AI274" s="681">
        <f t="shared" si="44"/>
        <v>4.8536585365853648</v>
      </c>
      <c r="AJ274" s="674">
        <f t="shared" si="45"/>
        <v>18.097560975609753</v>
      </c>
      <c r="AK274" s="678">
        <f t="shared" si="46"/>
        <v>28.609756097560972</v>
      </c>
    </row>
    <row r="275" spans="1:37" x14ac:dyDescent="0.2">
      <c r="A275" s="474">
        <v>1014</v>
      </c>
      <c r="B275" s="475" t="s">
        <v>53</v>
      </c>
      <c r="C275" s="674">
        <f t="shared" ref="C275:N275" si="65">+C51-C243</f>
        <v>70</v>
      </c>
      <c r="D275" s="674">
        <f t="shared" si="65"/>
        <v>119</v>
      </c>
      <c r="E275" s="674">
        <f t="shared" si="65"/>
        <v>72</v>
      </c>
      <c r="F275" s="674">
        <f t="shared" si="65"/>
        <v>55</v>
      </c>
      <c r="G275" s="674">
        <f t="shared" si="65"/>
        <v>97</v>
      </c>
      <c r="H275" s="674">
        <f t="shared" si="65"/>
        <v>111</v>
      </c>
      <c r="I275" s="674">
        <f t="shared" si="65"/>
        <v>74</v>
      </c>
      <c r="J275" s="674">
        <f t="shared" si="65"/>
        <v>79</v>
      </c>
      <c r="K275" s="674">
        <f t="shared" si="65"/>
        <v>132</v>
      </c>
      <c r="L275" s="674">
        <f t="shared" si="65"/>
        <v>113</v>
      </c>
      <c r="M275" s="674">
        <f t="shared" si="65"/>
        <v>193</v>
      </c>
      <c r="N275" s="674">
        <f t="shared" si="65"/>
        <v>222</v>
      </c>
      <c r="O275" s="678">
        <f t="shared" si="38"/>
        <v>1337</v>
      </c>
      <c r="P275" s="681">
        <f t="shared" si="39"/>
        <v>261</v>
      </c>
      <c r="Q275" s="674">
        <f t="shared" si="40"/>
        <v>524</v>
      </c>
      <c r="R275" s="678">
        <f t="shared" si="41"/>
        <v>809</v>
      </c>
      <c r="T275" s="474">
        <v>1014</v>
      </c>
      <c r="U275" s="475" t="s">
        <v>53</v>
      </c>
      <c r="V275" s="674">
        <f t="shared" ref="V275:AG275" si="66">+S51-V243</f>
        <v>94.823863636363626</v>
      </c>
      <c r="W275" s="674">
        <f t="shared" si="66"/>
        <v>117.58948863636363</v>
      </c>
      <c r="X275" s="674">
        <f t="shared" si="66"/>
        <v>81.50071022727272</v>
      </c>
      <c r="Y275" s="674">
        <f t="shared" si="66"/>
        <v>118.22940340909092</v>
      </c>
      <c r="Z275" s="674">
        <f t="shared" si="66"/>
        <v>87.342329545454533</v>
      </c>
      <c r="AA275" s="674">
        <f t="shared" si="66"/>
        <v>118.94957386363637</v>
      </c>
      <c r="AB275" s="674">
        <f t="shared" si="66"/>
        <v>168.28125</v>
      </c>
      <c r="AC275" s="674">
        <f t="shared" si="66"/>
        <v>178.56534090909091</v>
      </c>
      <c r="AD275" s="674">
        <f t="shared" si="66"/>
        <v>134.27485795454547</v>
      </c>
      <c r="AE275" s="674">
        <f t="shared" si="66"/>
        <v>96.587357954545453</v>
      </c>
      <c r="AF275" s="674">
        <f t="shared" si="66"/>
        <v>83.984375</v>
      </c>
      <c r="AG275" s="674">
        <f t="shared" si="66"/>
        <v>113.87144886363637</v>
      </c>
      <c r="AH275" s="678">
        <f t="shared" si="43"/>
        <v>1394</v>
      </c>
      <c r="AI275" s="681">
        <f t="shared" si="44"/>
        <v>293.9140625</v>
      </c>
      <c r="AJ275" s="674">
        <f t="shared" si="45"/>
        <v>618.43536931818187</v>
      </c>
      <c r="AK275" s="678">
        <f t="shared" si="46"/>
        <v>1099.5568181818182</v>
      </c>
    </row>
    <row r="276" spans="1:37" x14ac:dyDescent="0.2">
      <c r="A276" s="474">
        <v>1015</v>
      </c>
      <c r="B276" s="475" t="s">
        <v>54</v>
      </c>
      <c r="C276" s="674">
        <f t="shared" ref="C276:N276" si="67">+C52-C244</f>
        <v>14</v>
      </c>
      <c r="D276" s="674">
        <f t="shared" si="67"/>
        <v>11</v>
      </c>
      <c r="E276" s="674">
        <f t="shared" si="67"/>
        <v>30</v>
      </c>
      <c r="F276" s="674">
        <f t="shared" si="67"/>
        <v>22</v>
      </c>
      <c r="G276" s="674">
        <f t="shared" si="67"/>
        <v>13</v>
      </c>
      <c r="H276" s="674">
        <f t="shared" si="67"/>
        <v>19</v>
      </c>
      <c r="I276" s="674">
        <f t="shared" si="67"/>
        <v>8</v>
      </c>
      <c r="J276" s="674">
        <f t="shared" si="67"/>
        <v>17</v>
      </c>
      <c r="K276" s="674">
        <f t="shared" si="67"/>
        <v>8</v>
      </c>
      <c r="L276" s="674">
        <f t="shared" si="67"/>
        <v>15</v>
      </c>
      <c r="M276" s="674">
        <f t="shared" si="67"/>
        <v>34</v>
      </c>
      <c r="N276" s="674">
        <f t="shared" si="67"/>
        <v>23</v>
      </c>
      <c r="O276" s="678">
        <f t="shared" si="38"/>
        <v>214</v>
      </c>
      <c r="P276" s="681">
        <f t="shared" si="39"/>
        <v>55</v>
      </c>
      <c r="Q276" s="674">
        <f t="shared" si="40"/>
        <v>109</v>
      </c>
      <c r="R276" s="678">
        <f t="shared" si="41"/>
        <v>142</v>
      </c>
      <c r="T276" s="474">
        <v>1015</v>
      </c>
      <c r="U276" s="475" t="s">
        <v>54</v>
      </c>
      <c r="V276" s="674">
        <f t="shared" ref="V276:AG276" si="68">+S52-V244</f>
        <v>13.283544303797468</v>
      </c>
      <c r="W276" s="674">
        <f t="shared" si="68"/>
        <v>22.306329113924047</v>
      </c>
      <c r="X276" s="674">
        <f t="shared" si="68"/>
        <v>13.534177215189871</v>
      </c>
      <c r="Y276" s="674">
        <f t="shared" si="68"/>
        <v>16.291139240506329</v>
      </c>
      <c r="Z276" s="674">
        <f t="shared" si="68"/>
        <v>23.559493670886074</v>
      </c>
      <c r="AA276" s="674">
        <f t="shared" si="68"/>
        <v>26.316455696202528</v>
      </c>
      <c r="AB276" s="674">
        <f t="shared" si="68"/>
        <v>16.792405063291135</v>
      </c>
      <c r="AC276" s="674">
        <f t="shared" si="68"/>
        <v>10.777215189873417</v>
      </c>
      <c r="AD276" s="674">
        <f t="shared" si="68"/>
        <v>9.7746835443037963</v>
      </c>
      <c r="AE276" s="674">
        <f t="shared" si="68"/>
        <v>14.286075949367088</v>
      </c>
      <c r="AF276" s="674">
        <f t="shared" si="68"/>
        <v>17.293670886075947</v>
      </c>
      <c r="AG276" s="674">
        <f t="shared" si="68"/>
        <v>13.784810126582276</v>
      </c>
      <c r="AH276" s="678">
        <f t="shared" si="43"/>
        <v>197.99999999999997</v>
      </c>
      <c r="AI276" s="681">
        <f t="shared" si="44"/>
        <v>49.124050632911384</v>
      </c>
      <c r="AJ276" s="674">
        <f t="shared" si="45"/>
        <v>115.29113924050631</v>
      </c>
      <c r="AK276" s="678">
        <f t="shared" si="46"/>
        <v>152.63544303797465</v>
      </c>
    </row>
    <row r="277" spans="1:37" x14ac:dyDescent="0.2">
      <c r="A277" s="474">
        <v>1016</v>
      </c>
      <c r="B277" s="475" t="s">
        <v>55</v>
      </c>
      <c r="C277" s="674">
        <f t="shared" ref="C277:N277" si="69">+C53-C245</f>
        <v>17</v>
      </c>
      <c r="D277" s="674">
        <f t="shared" si="69"/>
        <v>12</v>
      </c>
      <c r="E277" s="674">
        <f t="shared" si="69"/>
        <v>12</v>
      </c>
      <c r="F277" s="674">
        <f t="shared" si="69"/>
        <v>14</v>
      </c>
      <c r="G277" s="674">
        <f t="shared" si="69"/>
        <v>14</v>
      </c>
      <c r="H277" s="674">
        <f t="shared" si="69"/>
        <v>27</v>
      </c>
      <c r="I277" s="674">
        <f t="shared" si="69"/>
        <v>8</v>
      </c>
      <c r="J277" s="674">
        <f t="shared" si="69"/>
        <v>14</v>
      </c>
      <c r="K277" s="674">
        <f t="shared" si="69"/>
        <v>18</v>
      </c>
      <c r="L277" s="674">
        <f t="shared" si="69"/>
        <v>11</v>
      </c>
      <c r="M277" s="674">
        <f t="shared" si="69"/>
        <v>21</v>
      </c>
      <c r="N277" s="674">
        <f t="shared" si="69"/>
        <v>22</v>
      </c>
      <c r="O277" s="678">
        <f t="shared" si="38"/>
        <v>190</v>
      </c>
      <c r="P277" s="681">
        <f t="shared" si="39"/>
        <v>41</v>
      </c>
      <c r="Q277" s="674">
        <f t="shared" si="40"/>
        <v>96</v>
      </c>
      <c r="R277" s="678">
        <f t="shared" si="41"/>
        <v>136</v>
      </c>
      <c r="T277" s="474">
        <v>1016</v>
      </c>
      <c r="U277" s="475" t="s">
        <v>55</v>
      </c>
      <c r="V277" s="674">
        <f t="shared" ref="V277:AG277" si="70">+S53-V245</f>
        <v>17.067653276955603</v>
      </c>
      <c r="W277" s="674">
        <f t="shared" si="70"/>
        <v>14.766384778012686</v>
      </c>
      <c r="X277" s="674">
        <f t="shared" si="70"/>
        <v>11.150105708245245</v>
      </c>
      <c r="Y277" s="674">
        <f t="shared" si="70"/>
        <v>13.780126849894293</v>
      </c>
      <c r="Z277" s="674">
        <f t="shared" si="70"/>
        <v>33.505285412262154</v>
      </c>
      <c r="AA277" s="674">
        <f t="shared" si="70"/>
        <v>34.491543340380552</v>
      </c>
      <c r="AB277" s="674">
        <f t="shared" si="70"/>
        <v>15.095137420718814</v>
      </c>
      <c r="AC277" s="674">
        <f t="shared" si="70"/>
        <v>32.491543340380552</v>
      </c>
      <c r="AD277" s="674">
        <f t="shared" si="70"/>
        <v>41.710359408033831</v>
      </c>
      <c r="AE277" s="674">
        <f t="shared" si="70"/>
        <v>14.38266384778013</v>
      </c>
      <c r="AF277" s="674">
        <f t="shared" si="70"/>
        <v>18.985200845665965</v>
      </c>
      <c r="AG277" s="674">
        <f t="shared" si="70"/>
        <v>24.573995771670191</v>
      </c>
      <c r="AH277" s="678">
        <f t="shared" si="43"/>
        <v>272.00000000000006</v>
      </c>
      <c r="AI277" s="681">
        <f t="shared" si="44"/>
        <v>42.984143763213538</v>
      </c>
      <c r="AJ277" s="674">
        <f t="shared" si="45"/>
        <v>124.76109936575054</v>
      </c>
      <c r="AK277" s="678">
        <f t="shared" si="46"/>
        <v>214.05813953488376</v>
      </c>
    </row>
    <row r="278" spans="1:37" x14ac:dyDescent="0.2">
      <c r="A278" s="474">
        <v>1017</v>
      </c>
      <c r="B278" s="475" t="s">
        <v>56</v>
      </c>
      <c r="C278" s="674">
        <f t="shared" ref="C278:N278" si="71">+C54-C246</f>
        <v>32</v>
      </c>
      <c r="D278" s="674">
        <f t="shared" si="71"/>
        <v>41</v>
      </c>
      <c r="E278" s="674">
        <f t="shared" si="71"/>
        <v>11</v>
      </c>
      <c r="F278" s="674">
        <f t="shared" si="71"/>
        <v>33</v>
      </c>
      <c r="G278" s="674">
        <f t="shared" si="71"/>
        <v>29</v>
      </c>
      <c r="H278" s="674">
        <f t="shared" si="71"/>
        <v>43</v>
      </c>
      <c r="I278" s="674">
        <f t="shared" si="71"/>
        <v>39</v>
      </c>
      <c r="J278" s="674">
        <f t="shared" si="71"/>
        <v>41</v>
      </c>
      <c r="K278" s="674">
        <f t="shared" si="71"/>
        <v>16</v>
      </c>
      <c r="L278" s="674">
        <f t="shared" si="71"/>
        <v>19</v>
      </c>
      <c r="M278" s="674">
        <f t="shared" si="71"/>
        <v>27</v>
      </c>
      <c r="N278" s="674">
        <f t="shared" si="71"/>
        <v>20</v>
      </c>
      <c r="O278" s="678">
        <f t="shared" si="38"/>
        <v>351</v>
      </c>
      <c r="P278" s="681">
        <f t="shared" si="39"/>
        <v>84</v>
      </c>
      <c r="Q278" s="674">
        <f t="shared" si="40"/>
        <v>189</v>
      </c>
      <c r="R278" s="678">
        <f t="shared" si="41"/>
        <v>285</v>
      </c>
      <c r="T278" s="474">
        <v>1017</v>
      </c>
      <c r="U278" s="475" t="s">
        <v>56</v>
      </c>
      <c r="V278" s="674">
        <f t="shared" ref="V278:AG278" si="72">+S54-V246</f>
        <v>46.934705464868706</v>
      </c>
      <c r="W278" s="674">
        <f t="shared" si="72"/>
        <v>33.3584102200142</v>
      </c>
      <c r="X278" s="674">
        <f t="shared" si="72"/>
        <v>39.299503193754433</v>
      </c>
      <c r="Y278" s="674">
        <f t="shared" si="72"/>
        <v>29.540809084457063</v>
      </c>
      <c r="Z278" s="674">
        <f t="shared" si="72"/>
        <v>43.811213626685593</v>
      </c>
      <c r="AA278" s="674">
        <f t="shared" si="72"/>
        <v>40.299503193754433</v>
      </c>
      <c r="AB278" s="674">
        <f t="shared" si="72"/>
        <v>36.523066004258347</v>
      </c>
      <c r="AC278" s="674">
        <f t="shared" si="72"/>
        <v>33.440738112136266</v>
      </c>
      <c r="AD278" s="674">
        <f t="shared" si="72"/>
        <v>50.446415897799866</v>
      </c>
      <c r="AE278" s="674">
        <f t="shared" si="72"/>
        <v>34.911284599006393</v>
      </c>
      <c r="AF278" s="674">
        <f t="shared" si="72"/>
        <v>36.258339247693399</v>
      </c>
      <c r="AG278" s="674">
        <f t="shared" si="72"/>
        <v>33.176011355571333</v>
      </c>
      <c r="AH278" s="678">
        <f t="shared" si="43"/>
        <v>458</v>
      </c>
      <c r="AI278" s="681">
        <f t="shared" si="44"/>
        <v>119.59261887863734</v>
      </c>
      <c r="AJ278" s="674">
        <f t="shared" si="45"/>
        <v>233.24414478353441</v>
      </c>
      <c r="AK278" s="678">
        <f t="shared" si="46"/>
        <v>353.65436479772887</v>
      </c>
    </row>
    <row r="279" spans="1:37" x14ac:dyDescent="0.2">
      <c r="A279" s="474">
        <v>1018</v>
      </c>
      <c r="B279" s="475" t="s">
        <v>57</v>
      </c>
      <c r="C279" s="674">
        <f t="shared" ref="C279:N279" si="73">+C55-C247</f>
        <v>5</v>
      </c>
      <c r="D279" s="674">
        <f t="shared" si="73"/>
        <v>4</v>
      </c>
      <c r="E279" s="674">
        <f t="shared" si="73"/>
        <v>18</v>
      </c>
      <c r="F279" s="674">
        <f t="shared" si="73"/>
        <v>8</v>
      </c>
      <c r="G279" s="674">
        <f t="shared" si="73"/>
        <v>14</v>
      </c>
      <c r="H279" s="674">
        <f t="shared" si="73"/>
        <v>23</v>
      </c>
      <c r="I279" s="674">
        <f t="shared" si="73"/>
        <v>6</v>
      </c>
      <c r="J279" s="674">
        <f t="shared" si="73"/>
        <v>12</v>
      </c>
      <c r="K279" s="674">
        <f t="shared" si="73"/>
        <v>2</v>
      </c>
      <c r="L279" s="674">
        <f t="shared" si="73"/>
        <v>3</v>
      </c>
      <c r="M279" s="674">
        <f t="shared" si="73"/>
        <v>11</v>
      </c>
      <c r="N279" s="674">
        <f t="shared" si="73"/>
        <v>11</v>
      </c>
      <c r="O279" s="678">
        <f t="shared" si="38"/>
        <v>117</v>
      </c>
      <c r="P279" s="681">
        <f t="shared" si="39"/>
        <v>27</v>
      </c>
      <c r="Q279" s="674">
        <f t="shared" si="40"/>
        <v>72</v>
      </c>
      <c r="R279" s="678">
        <f t="shared" si="41"/>
        <v>92</v>
      </c>
      <c r="T279" s="474">
        <v>1018</v>
      </c>
      <c r="U279" s="475" t="s">
        <v>57</v>
      </c>
      <c r="V279" s="674">
        <f t="shared" ref="V279:AG279" si="74">+S55-V247</f>
        <v>10.218181818181819</v>
      </c>
      <c r="W279" s="674">
        <f t="shared" si="74"/>
        <v>18.854545454545452</v>
      </c>
      <c r="X279" s="674">
        <f t="shared" si="74"/>
        <v>20.399999999999999</v>
      </c>
      <c r="Y279" s="674">
        <f t="shared" si="74"/>
        <v>17.83636363636364</v>
      </c>
      <c r="Z279" s="674">
        <f t="shared" si="74"/>
        <v>31.6</v>
      </c>
      <c r="AA279" s="674">
        <f t="shared" si="74"/>
        <v>31.581818181818178</v>
      </c>
      <c r="AB279" s="674">
        <f t="shared" si="74"/>
        <v>10.218181818181819</v>
      </c>
      <c r="AC279" s="674">
        <f t="shared" si="74"/>
        <v>16.345454545454544</v>
      </c>
      <c r="AD279" s="674">
        <f t="shared" si="74"/>
        <v>23.472727272727273</v>
      </c>
      <c r="AE279" s="674">
        <f t="shared" si="74"/>
        <v>13.83636363636364</v>
      </c>
      <c r="AF279" s="674">
        <f t="shared" si="74"/>
        <v>16.872727272727271</v>
      </c>
      <c r="AG279" s="674">
        <f t="shared" si="74"/>
        <v>9.7636363636363619</v>
      </c>
      <c r="AH279" s="678">
        <f t="shared" si="43"/>
        <v>221</v>
      </c>
      <c r="AI279" s="681">
        <f t="shared" si="44"/>
        <v>49.472727272727269</v>
      </c>
      <c r="AJ279" s="674">
        <f t="shared" si="45"/>
        <v>130.4909090909091</v>
      </c>
      <c r="AK279" s="678">
        <f t="shared" si="46"/>
        <v>180.52727272727273</v>
      </c>
    </row>
    <row r="280" spans="1:37" x14ac:dyDescent="0.2">
      <c r="A280" s="474">
        <v>1019</v>
      </c>
      <c r="B280" s="475" t="s">
        <v>58</v>
      </c>
      <c r="C280" s="674">
        <f t="shared" ref="C280:N280" si="75">+C56-C248</f>
        <v>7</v>
      </c>
      <c r="D280" s="674">
        <f t="shared" si="75"/>
        <v>3</v>
      </c>
      <c r="E280" s="674">
        <f t="shared" si="75"/>
        <v>5</v>
      </c>
      <c r="F280" s="674">
        <f t="shared" si="75"/>
        <v>6</v>
      </c>
      <c r="G280" s="674">
        <f t="shared" si="75"/>
        <v>11</v>
      </c>
      <c r="H280" s="674">
        <f t="shared" si="75"/>
        <v>27</v>
      </c>
      <c r="I280" s="674">
        <f t="shared" si="75"/>
        <v>13</v>
      </c>
      <c r="J280" s="674">
        <f t="shared" si="75"/>
        <v>6</v>
      </c>
      <c r="K280" s="674">
        <f t="shared" si="75"/>
        <v>11</v>
      </c>
      <c r="L280" s="674">
        <f t="shared" si="75"/>
        <v>4</v>
      </c>
      <c r="M280" s="674">
        <f t="shared" si="75"/>
        <v>3</v>
      </c>
      <c r="N280" s="674">
        <f t="shared" si="75"/>
        <v>6</v>
      </c>
      <c r="O280" s="678">
        <f t="shared" si="38"/>
        <v>102</v>
      </c>
      <c r="P280" s="681">
        <f t="shared" si="39"/>
        <v>15</v>
      </c>
      <c r="Q280" s="674">
        <f t="shared" si="40"/>
        <v>59</v>
      </c>
      <c r="R280" s="678">
        <f t="shared" si="41"/>
        <v>89</v>
      </c>
      <c r="T280" s="474">
        <v>1019</v>
      </c>
      <c r="U280" s="475" t="s">
        <v>58</v>
      </c>
      <c r="V280" s="674">
        <f t="shared" ref="V280:AG280" si="76">+S56-V248</f>
        <v>11.803278688524591</v>
      </c>
      <c r="W280" s="674">
        <f t="shared" si="76"/>
        <v>7.3770491803278695</v>
      </c>
      <c r="X280" s="674">
        <f t="shared" si="76"/>
        <v>6.1967213114754101</v>
      </c>
      <c r="Y280" s="674">
        <f t="shared" si="76"/>
        <v>3.1311475409836067</v>
      </c>
      <c r="Z280" s="674">
        <f t="shared" si="76"/>
        <v>5.3114754098360653</v>
      </c>
      <c r="AA280" s="674">
        <f t="shared" si="76"/>
        <v>17.114754098360653</v>
      </c>
      <c r="AB280" s="674">
        <f t="shared" si="76"/>
        <v>11.803278688524591</v>
      </c>
      <c r="AC280" s="674">
        <f t="shared" si="76"/>
        <v>15.639344262295085</v>
      </c>
      <c r="AD280" s="674">
        <f t="shared" si="76"/>
        <v>8.1475409836065591</v>
      </c>
      <c r="AE280" s="674">
        <f t="shared" si="76"/>
        <v>8.8524590163934427</v>
      </c>
      <c r="AF280" s="674">
        <f t="shared" si="76"/>
        <v>4.9016393442622954</v>
      </c>
      <c r="AG280" s="674">
        <f t="shared" si="76"/>
        <v>4.721311475409836</v>
      </c>
      <c r="AH280" s="678">
        <f t="shared" si="43"/>
        <v>105</v>
      </c>
      <c r="AI280" s="681">
        <f t="shared" si="44"/>
        <v>25.377049180327869</v>
      </c>
      <c r="AJ280" s="674">
        <f t="shared" si="45"/>
        <v>50.93442622950819</v>
      </c>
      <c r="AK280" s="678">
        <f t="shared" si="46"/>
        <v>86.524590163934434</v>
      </c>
    </row>
    <row r="281" spans="1:37" x14ac:dyDescent="0.2">
      <c r="A281" s="474">
        <v>1020</v>
      </c>
      <c r="B281" s="475" t="s">
        <v>59</v>
      </c>
      <c r="C281" s="674">
        <f t="shared" ref="C281:N281" si="77">+C57-C249</f>
        <v>35</v>
      </c>
      <c r="D281" s="674">
        <f t="shared" si="77"/>
        <v>21</v>
      </c>
      <c r="E281" s="674">
        <f t="shared" si="77"/>
        <v>17</v>
      </c>
      <c r="F281" s="674">
        <f t="shared" si="77"/>
        <v>45</v>
      </c>
      <c r="G281" s="674">
        <f t="shared" si="77"/>
        <v>54</v>
      </c>
      <c r="H281" s="674">
        <f t="shared" si="77"/>
        <v>31</v>
      </c>
      <c r="I281" s="674">
        <f t="shared" si="77"/>
        <v>24</v>
      </c>
      <c r="J281" s="674">
        <f t="shared" si="77"/>
        <v>50</v>
      </c>
      <c r="K281" s="674">
        <f t="shared" si="77"/>
        <v>29</v>
      </c>
      <c r="L281" s="674">
        <f t="shared" si="77"/>
        <v>37</v>
      </c>
      <c r="M281" s="674">
        <f t="shared" si="77"/>
        <v>37</v>
      </c>
      <c r="N281" s="674">
        <f t="shared" si="77"/>
        <v>61</v>
      </c>
      <c r="O281" s="678">
        <f t="shared" si="38"/>
        <v>441</v>
      </c>
      <c r="P281" s="681">
        <f t="shared" si="39"/>
        <v>73</v>
      </c>
      <c r="Q281" s="674">
        <f t="shared" si="40"/>
        <v>203</v>
      </c>
      <c r="R281" s="678">
        <f t="shared" si="41"/>
        <v>306</v>
      </c>
      <c r="T281" s="474">
        <v>1020</v>
      </c>
      <c r="U281" s="475" t="s">
        <v>59</v>
      </c>
      <c r="V281" s="674">
        <f t="shared" ref="V281:AG281" si="78">+S57-V249</f>
        <v>53.29244712990937</v>
      </c>
      <c r="W281" s="674">
        <f t="shared" si="78"/>
        <v>81.526888217522668</v>
      </c>
      <c r="X281" s="674">
        <f t="shared" si="78"/>
        <v>32.116616314199398</v>
      </c>
      <c r="Y281" s="674">
        <f t="shared" si="78"/>
        <v>45.057401812688823</v>
      </c>
      <c r="Z281" s="674">
        <f t="shared" si="78"/>
        <v>43.096676737160124</v>
      </c>
      <c r="AA281" s="674">
        <f t="shared" si="78"/>
        <v>79.174018126888228</v>
      </c>
      <c r="AB281" s="674">
        <f t="shared" si="78"/>
        <v>42.704531722054377</v>
      </c>
      <c r="AC281" s="674">
        <f t="shared" si="78"/>
        <v>47.76314199395771</v>
      </c>
      <c r="AD281" s="674">
        <f t="shared" si="78"/>
        <v>68.154682779456195</v>
      </c>
      <c r="AE281" s="674">
        <f t="shared" si="78"/>
        <v>28.900906344410878</v>
      </c>
      <c r="AF281" s="674">
        <f t="shared" si="78"/>
        <v>53.606042296072509</v>
      </c>
      <c r="AG281" s="674">
        <f t="shared" si="78"/>
        <v>33.606646525679757</v>
      </c>
      <c r="AH281" s="678">
        <f t="shared" si="43"/>
        <v>609</v>
      </c>
      <c r="AI281" s="681">
        <f t="shared" si="44"/>
        <v>166.93595166163144</v>
      </c>
      <c r="AJ281" s="674">
        <f t="shared" si="45"/>
        <v>334.26404833836864</v>
      </c>
      <c r="AK281" s="678">
        <f t="shared" si="46"/>
        <v>492.88640483383693</v>
      </c>
    </row>
    <row r="282" spans="1:37" x14ac:dyDescent="0.2">
      <c r="A282" s="474">
        <v>1021</v>
      </c>
      <c r="B282" s="475" t="s">
        <v>60</v>
      </c>
      <c r="C282" s="674">
        <f t="shared" ref="C282:N282" si="79">+C58-C250</f>
        <v>5</v>
      </c>
      <c r="D282" s="674">
        <f t="shared" si="79"/>
        <v>15</v>
      </c>
      <c r="E282" s="674">
        <f t="shared" si="79"/>
        <v>11</v>
      </c>
      <c r="F282" s="674">
        <f t="shared" si="79"/>
        <v>8</v>
      </c>
      <c r="G282" s="674">
        <f t="shared" si="79"/>
        <v>16</v>
      </c>
      <c r="H282" s="674">
        <f t="shared" si="79"/>
        <v>13</v>
      </c>
      <c r="I282" s="674">
        <f t="shared" si="79"/>
        <v>7</v>
      </c>
      <c r="J282" s="674">
        <f t="shared" si="79"/>
        <v>17</v>
      </c>
      <c r="K282" s="674">
        <f t="shared" si="79"/>
        <v>18</v>
      </c>
      <c r="L282" s="674">
        <f t="shared" si="79"/>
        <v>14</v>
      </c>
      <c r="M282" s="674">
        <f t="shared" si="79"/>
        <v>21</v>
      </c>
      <c r="N282" s="674">
        <f t="shared" si="79"/>
        <v>17</v>
      </c>
      <c r="O282" s="678">
        <f t="shared" si="38"/>
        <v>162</v>
      </c>
      <c r="P282" s="681">
        <f t="shared" si="39"/>
        <v>31</v>
      </c>
      <c r="Q282" s="674">
        <f t="shared" si="40"/>
        <v>68</v>
      </c>
      <c r="R282" s="678">
        <f t="shared" si="41"/>
        <v>110</v>
      </c>
      <c r="T282" s="474">
        <v>1021</v>
      </c>
      <c r="U282" s="475" t="s">
        <v>60</v>
      </c>
      <c r="V282" s="674">
        <f t="shared" ref="V282:AG282" si="80">+S58-V250</f>
        <v>18.958949096880133</v>
      </c>
      <c r="W282" s="674">
        <f t="shared" si="80"/>
        <v>15.604269293924466</v>
      </c>
      <c r="X282" s="674">
        <f t="shared" si="80"/>
        <v>14.604269293924466</v>
      </c>
      <c r="Y282" s="674">
        <f t="shared" si="80"/>
        <v>19.958949096880133</v>
      </c>
      <c r="Z282" s="674">
        <f t="shared" si="80"/>
        <v>22.587848932676522</v>
      </c>
      <c r="AA282" s="674">
        <f t="shared" si="80"/>
        <v>20.410509031198689</v>
      </c>
      <c r="AB282" s="674">
        <f t="shared" si="80"/>
        <v>14.152709359605913</v>
      </c>
      <c r="AC282" s="674">
        <f t="shared" si="80"/>
        <v>16.055829228243024</v>
      </c>
      <c r="AD282" s="674">
        <f t="shared" si="80"/>
        <v>11.789819376026273</v>
      </c>
      <c r="AE282" s="674">
        <f t="shared" si="80"/>
        <v>11.701149425287356</v>
      </c>
      <c r="AF282" s="674">
        <f t="shared" si="80"/>
        <v>13.241379310344827</v>
      </c>
      <c r="AG282" s="674">
        <f t="shared" si="80"/>
        <v>29.934318555008208</v>
      </c>
      <c r="AH282" s="678">
        <f t="shared" si="43"/>
        <v>209</v>
      </c>
      <c r="AI282" s="681">
        <f t="shared" si="44"/>
        <v>49.167487684729068</v>
      </c>
      <c r="AJ282" s="674">
        <f t="shared" si="45"/>
        <v>112.12479474548441</v>
      </c>
      <c r="AK282" s="678">
        <f t="shared" si="46"/>
        <v>154.1231527093596</v>
      </c>
    </row>
    <row r="283" spans="1:37" x14ac:dyDescent="0.2">
      <c r="A283" s="474">
        <v>1022</v>
      </c>
      <c r="B283" s="475" t="s">
        <v>61</v>
      </c>
      <c r="C283" s="674">
        <f t="shared" ref="C283:N283" si="81">+C59-C251</f>
        <v>4</v>
      </c>
      <c r="D283" s="674">
        <f t="shared" si="81"/>
        <v>121</v>
      </c>
      <c r="E283" s="674">
        <f t="shared" si="81"/>
        <v>28</v>
      </c>
      <c r="F283" s="674">
        <f t="shared" si="81"/>
        <v>85</v>
      </c>
      <c r="G283" s="674">
        <f t="shared" si="81"/>
        <v>144</v>
      </c>
      <c r="H283" s="674">
        <f t="shared" si="81"/>
        <v>119</v>
      </c>
      <c r="I283" s="674">
        <f t="shared" si="81"/>
        <v>108</v>
      </c>
      <c r="J283" s="674">
        <f t="shared" si="81"/>
        <v>102</v>
      </c>
      <c r="K283" s="674">
        <f t="shared" si="81"/>
        <v>41</v>
      </c>
      <c r="L283" s="674">
        <f t="shared" si="81"/>
        <v>67</v>
      </c>
      <c r="M283" s="674">
        <f t="shared" si="81"/>
        <v>101</v>
      </c>
      <c r="N283" s="674">
        <f t="shared" si="81"/>
        <v>101</v>
      </c>
      <c r="O283" s="678">
        <f t="shared" si="38"/>
        <v>1021</v>
      </c>
      <c r="P283" s="681">
        <f t="shared" si="39"/>
        <v>153</v>
      </c>
      <c r="Q283" s="674">
        <f t="shared" si="40"/>
        <v>501</v>
      </c>
      <c r="R283" s="678">
        <f t="shared" si="41"/>
        <v>752</v>
      </c>
      <c r="T283" s="474">
        <v>1022</v>
      </c>
      <c r="U283" s="475" t="s">
        <v>61</v>
      </c>
      <c r="V283" s="674">
        <f t="shared" ref="V283:AG283" si="82">+S59-V251</f>
        <v>64.928491620111728</v>
      </c>
      <c r="W283" s="674">
        <f t="shared" si="82"/>
        <v>46.1173184357542</v>
      </c>
      <c r="X283" s="674">
        <f t="shared" si="82"/>
        <v>108.09385474860336</v>
      </c>
      <c r="Y283" s="674">
        <f t="shared" si="82"/>
        <v>137.7195530726257</v>
      </c>
      <c r="Z283" s="674">
        <f t="shared" si="82"/>
        <v>83.739664804469285</v>
      </c>
      <c r="AA283" s="674">
        <f t="shared" si="82"/>
        <v>114.81899441340785</v>
      </c>
      <c r="AB283" s="674">
        <f t="shared" si="82"/>
        <v>87.829050279329635</v>
      </c>
      <c r="AC283" s="674">
        <f t="shared" si="82"/>
        <v>69.560893854748628</v>
      </c>
      <c r="AD283" s="674">
        <f t="shared" si="82"/>
        <v>93.052513966480461</v>
      </c>
      <c r="AE283" s="674">
        <f t="shared" si="82"/>
        <v>46.158659217877101</v>
      </c>
      <c r="AF283" s="674">
        <f t="shared" si="82"/>
        <v>59.83575418994414</v>
      </c>
      <c r="AG283" s="674">
        <f t="shared" si="82"/>
        <v>82.145251396648064</v>
      </c>
      <c r="AH283" s="678">
        <f t="shared" si="43"/>
        <v>994.00000000000023</v>
      </c>
      <c r="AI283" s="681">
        <f t="shared" si="44"/>
        <v>219.13966480446931</v>
      </c>
      <c r="AJ283" s="674">
        <f t="shared" si="45"/>
        <v>555.41787709497214</v>
      </c>
      <c r="AK283" s="678">
        <f t="shared" si="46"/>
        <v>805.86033519553087</v>
      </c>
    </row>
    <row r="284" spans="1:37" x14ac:dyDescent="0.2">
      <c r="A284" s="474">
        <v>1023</v>
      </c>
      <c r="B284" s="475" t="s">
        <v>62</v>
      </c>
      <c r="C284" s="674">
        <f t="shared" ref="C284:N284" si="83">+C60-C252</f>
        <v>7</v>
      </c>
      <c r="D284" s="674">
        <f t="shared" si="83"/>
        <v>24</v>
      </c>
      <c r="E284" s="674">
        <f t="shared" si="83"/>
        <v>16</v>
      </c>
      <c r="F284" s="674">
        <f t="shared" si="83"/>
        <v>77</v>
      </c>
      <c r="G284" s="674">
        <f t="shared" si="83"/>
        <v>9</v>
      </c>
      <c r="H284" s="674">
        <f t="shared" si="83"/>
        <v>39</v>
      </c>
      <c r="I284" s="674">
        <f t="shared" si="83"/>
        <v>16</v>
      </c>
      <c r="J284" s="674">
        <f t="shared" si="83"/>
        <v>15</v>
      </c>
      <c r="K284" s="674">
        <f t="shared" si="83"/>
        <v>17</v>
      </c>
      <c r="L284" s="674">
        <f t="shared" si="83"/>
        <v>7</v>
      </c>
      <c r="M284" s="674">
        <f t="shared" si="83"/>
        <v>9</v>
      </c>
      <c r="N284" s="674">
        <f t="shared" si="83"/>
        <v>6</v>
      </c>
      <c r="O284" s="678">
        <f t="shared" si="38"/>
        <v>242</v>
      </c>
      <c r="P284" s="681">
        <f t="shared" si="39"/>
        <v>47</v>
      </c>
      <c r="Q284" s="674">
        <f t="shared" si="40"/>
        <v>172</v>
      </c>
      <c r="R284" s="678">
        <f t="shared" si="41"/>
        <v>220</v>
      </c>
      <c r="T284" s="474">
        <v>1023</v>
      </c>
      <c r="U284" s="475" t="s">
        <v>62</v>
      </c>
      <c r="V284" s="674">
        <f t="shared" ref="V284:AG284" si="84">+S60-V252</f>
        <v>17.167061611374407</v>
      </c>
      <c r="W284" s="674">
        <f t="shared" si="84"/>
        <v>11.067535545023697</v>
      </c>
      <c r="X284" s="674">
        <f t="shared" si="84"/>
        <v>7.9241706161137451</v>
      </c>
      <c r="Y284" s="674">
        <f t="shared" si="84"/>
        <v>14.57345971563981</v>
      </c>
      <c r="Z284" s="674">
        <f t="shared" si="84"/>
        <v>14.298578199052134</v>
      </c>
      <c r="AA284" s="674">
        <f t="shared" si="84"/>
        <v>19.716824644549764</v>
      </c>
      <c r="AB284" s="674">
        <f t="shared" si="84"/>
        <v>27.959715639810426</v>
      </c>
      <c r="AC284" s="674">
        <f t="shared" si="84"/>
        <v>42.258293838862564</v>
      </c>
      <c r="AD284" s="674">
        <f t="shared" si="84"/>
        <v>20.629146919431282</v>
      </c>
      <c r="AE284" s="674">
        <f t="shared" si="84"/>
        <v>12.84834123222749</v>
      </c>
      <c r="AF284" s="674">
        <f t="shared" si="84"/>
        <v>41.895734597156398</v>
      </c>
      <c r="AG284" s="674">
        <f t="shared" si="84"/>
        <v>10.661137440758296</v>
      </c>
      <c r="AH284" s="678">
        <f t="shared" si="43"/>
        <v>241.00000000000003</v>
      </c>
      <c r="AI284" s="681">
        <f t="shared" si="44"/>
        <v>36.158767772511851</v>
      </c>
      <c r="AJ284" s="674">
        <f t="shared" si="45"/>
        <v>84.747630331753555</v>
      </c>
      <c r="AK284" s="678">
        <f t="shared" si="46"/>
        <v>175.59478672985784</v>
      </c>
    </row>
    <row r="285" spans="1:37" x14ac:dyDescent="0.2">
      <c r="A285" s="474">
        <v>1024</v>
      </c>
      <c r="B285" s="475" t="s">
        <v>63</v>
      </c>
      <c r="C285" s="674">
        <f t="shared" ref="C285:N285" si="85">+C61-C253</f>
        <v>64</v>
      </c>
      <c r="D285" s="674">
        <f t="shared" si="85"/>
        <v>156</v>
      </c>
      <c r="E285" s="674">
        <f t="shared" si="85"/>
        <v>92</v>
      </c>
      <c r="F285" s="674">
        <f t="shared" si="85"/>
        <v>100</v>
      </c>
      <c r="G285" s="674">
        <f t="shared" si="85"/>
        <v>115</v>
      </c>
      <c r="H285" s="674">
        <f t="shared" si="85"/>
        <v>141</v>
      </c>
      <c r="I285" s="674">
        <f t="shared" si="85"/>
        <v>138</v>
      </c>
      <c r="J285" s="674">
        <f t="shared" si="85"/>
        <v>155</v>
      </c>
      <c r="K285" s="674">
        <f t="shared" si="85"/>
        <v>129</v>
      </c>
      <c r="L285" s="674">
        <f t="shared" si="85"/>
        <v>103</v>
      </c>
      <c r="M285" s="674">
        <f t="shared" si="85"/>
        <v>110</v>
      </c>
      <c r="N285" s="674">
        <f t="shared" si="85"/>
        <v>95</v>
      </c>
      <c r="O285" s="678">
        <f t="shared" si="38"/>
        <v>1398</v>
      </c>
      <c r="P285" s="681">
        <f t="shared" si="39"/>
        <v>312</v>
      </c>
      <c r="Q285" s="674">
        <f t="shared" si="40"/>
        <v>668</v>
      </c>
      <c r="R285" s="678">
        <f t="shared" si="41"/>
        <v>1090</v>
      </c>
      <c r="T285" s="474">
        <v>1024</v>
      </c>
      <c r="U285" s="475" t="s">
        <v>63</v>
      </c>
      <c r="V285" s="674">
        <f t="shared" ref="V285:AG285" si="86">+S61-V253</f>
        <v>147.68797797491584</v>
      </c>
      <c r="W285" s="674">
        <f t="shared" si="86"/>
        <v>104.17987152034262</v>
      </c>
      <c r="X285" s="674">
        <f t="shared" si="86"/>
        <v>150.3337412052615</v>
      </c>
      <c r="Y285" s="674">
        <f t="shared" si="86"/>
        <v>110.0593453655552</v>
      </c>
      <c r="Z285" s="674">
        <f t="shared" si="86"/>
        <v>155.33129397369225</v>
      </c>
      <c r="AA285" s="674">
        <f t="shared" si="86"/>
        <v>136.34108289996939</v>
      </c>
      <c r="AB285" s="674">
        <f t="shared" si="86"/>
        <v>148.27592535943714</v>
      </c>
      <c r="AC285" s="674">
        <f t="shared" si="86"/>
        <v>120.16763536249616</v>
      </c>
      <c r="AD285" s="674">
        <f t="shared" si="86"/>
        <v>216.29703273172223</v>
      </c>
      <c r="AE285" s="674">
        <f t="shared" si="86"/>
        <v>127.04221474457017</v>
      </c>
      <c r="AF285" s="674">
        <f t="shared" si="86"/>
        <v>135.68553074334659</v>
      </c>
      <c r="AG285" s="674">
        <f t="shared" si="86"/>
        <v>192.59834811869069</v>
      </c>
      <c r="AH285" s="678">
        <f t="shared" si="43"/>
        <v>1743.9999999999998</v>
      </c>
      <c r="AI285" s="681">
        <f t="shared" si="44"/>
        <v>402.20159070051994</v>
      </c>
      <c r="AJ285" s="674">
        <f t="shared" si="45"/>
        <v>803.93331293973677</v>
      </c>
      <c r="AK285" s="678">
        <f t="shared" si="46"/>
        <v>1288.6739063933924</v>
      </c>
    </row>
    <row r="286" spans="1:37" x14ac:dyDescent="0.2">
      <c r="A286" s="474">
        <v>1025</v>
      </c>
      <c r="B286" s="475" t="s">
        <v>64</v>
      </c>
      <c r="C286" s="674">
        <f t="shared" ref="C286:N286" si="87">+C62-C254</f>
        <v>11</v>
      </c>
      <c r="D286" s="674">
        <f t="shared" si="87"/>
        <v>14</v>
      </c>
      <c r="E286" s="674">
        <f t="shared" si="87"/>
        <v>22</v>
      </c>
      <c r="F286" s="674">
        <f t="shared" si="87"/>
        <v>7</v>
      </c>
      <c r="G286" s="674">
        <f t="shared" si="87"/>
        <v>28</v>
      </c>
      <c r="H286" s="674">
        <f t="shared" si="87"/>
        <v>18</v>
      </c>
      <c r="I286" s="674">
        <f t="shared" si="87"/>
        <v>24</v>
      </c>
      <c r="J286" s="674">
        <f t="shared" si="87"/>
        <v>44</v>
      </c>
      <c r="K286" s="674">
        <f t="shared" si="87"/>
        <v>76</v>
      </c>
      <c r="L286" s="674">
        <f t="shared" si="87"/>
        <v>29</v>
      </c>
      <c r="M286" s="674">
        <f t="shared" si="87"/>
        <v>55</v>
      </c>
      <c r="N286" s="674">
        <f t="shared" si="87"/>
        <v>22</v>
      </c>
      <c r="O286" s="678">
        <f t="shared" si="38"/>
        <v>350</v>
      </c>
      <c r="P286" s="681">
        <f t="shared" si="39"/>
        <v>47</v>
      </c>
      <c r="Q286" s="674">
        <f t="shared" si="40"/>
        <v>100</v>
      </c>
      <c r="R286" s="678">
        <f t="shared" si="41"/>
        <v>244</v>
      </c>
      <c r="T286" s="474">
        <v>1025</v>
      </c>
      <c r="U286" s="475" t="s">
        <v>64</v>
      </c>
      <c r="V286" s="674">
        <f t="shared" ref="V286:AG286" si="88">+S62-V254</f>
        <v>46.762087490406749</v>
      </c>
      <c r="W286" s="674">
        <f t="shared" si="88"/>
        <v>53.735226400613968</v>
      </c>
      <c r="X286" s="674">
        <f t="shared" si="88"/>
        <v>58.716039907904829</v>
      </c>
      <c r="Y286" s="674">
        <f t="shared" si="88"/>
        <v>59.712202609363004</v>
      </c>
      <c r="Z286" s="674">
        <f t="shared" si="88"/>
        <v>128.44742900997699</v>
      </c>
      <c r="AA286" s="674">
        <f t="shared" si="88"/>
        <v>146.37835763622408</v>
      </c>
      <c r="AB286" s="674">
        <f t="shared" si="88"/>
        <v>120.47812739831159</v>
      </c>
      <c r="AC286" s="674">
        <f t="shared" si="88"/>
        <v>113.44742900997699</v>
      </c>
      <c r="AD286" s="674">
        <f t="shared" si="88"/>
        <v>84.562547966231776</v>
      </c>
      <c r="AE286" s="674">
        <f t="shared" si="88"/>
        <v>61.589409056024536</v>
      </c>
      <c r="AF286" s="674">
        <f t="shared" si="88"/>
        <v>66.570222563315426</v>
      </c>
      <c r="AG286" s="674">
        <f t="shared" si="88"/>
        <v>58.600920951650025</v>
      </c>
      <c r="AH286" s="678">
        <f t="shared" si="43"/>
        <v>999</v>
      </c>
      <c r="AI286" s="681">
        <f t="shared" si="44"/>
        <v>159.21335379892554</v>
      </c>
      <c r="AJ286" s="674">
        <f t="shared" si="45"/>
        <v>493.75134305448967</v>
      </c>
      <c r="AK286" s="678">
        <f t="shared" si="46"/>
        <v>812.23944742901006</v>
      </c>
    </row>
    <row r="287" spans="1:37" x14ac:dyDescent="0.2">
      <c r="A287" s="474">
        <v>1026</v>
      </c>
      <c r="B287" s="475" t="s">
        <v>65</v>
      </c>
      <c r="C287" s="674">
        <f t="shared" ref="C287:N287" si="89">+C63-C255</f>
        <v>3</v>
      </c>
      <c r="D287" s="674">
        <f t="shared" si="89"/>
        <v>10</v>
      </c>
      <c r="E287" s="674">
        <f t="shared" si="89"/>
        <v>7</v>
      </c>
      <c r="F287" s="674">
        <f t="shared" si="89"/>
        <v>7</v>
      </c>
      <c r="G287" s="674">
        <f t="shared" si="89"/>
        <v>5</v>
      </c>
      <c r="H287" s="674">
        <f t="shared" si="89"/>
        <v>10</v>
      </c>
      <c r="I287" s="674">
        <f t="shared" si="89"/>
        <v>2</v>
      </c>
      <c r="J287" s="674">
        <f t="shared" si="89"/>
        <v>2</v>
      </c>
      <c r="K287" s="674">
        <f t="shared" si="89"/>
        <v>9</v>
      </c>
      <c r="L287" s="674">
        <f t="shared" si="89"/>
        <v>6</v>
      </c>
      <c r="M287" s="674">
        <f t="shared" si="89"/>
        <v>2</v>
      </c>
      <c r="N287" s="674">
        <f t="shared" si="89"/>
        <v>3</v>
      </c>
      <c r="O287" s="678">
        <f t="shared" si="38"/>
        <v>66</v>
      </c>
      <c r="P287" s="681">
        <f t="shared" si="39"/>
        <v>20</v>
      </c>
      <c r="Q287" s="674">
        <f t="shared" si="40"/>
        <v>42</v>
      </c>
      <c r="R287" s="678">
        <f t="shared" si="41"/>
        <v>55</v>
      </c>
      <c r="T287" s="474">
        <v>1026</v>
      </c>
      <c r="U287" s="475" t="s">
        <v>65</v>
      </c>
      <c r="V287" s="674">
        <f t="shared" ref="V287:AG287" si="90">+S63-V255</f>
        <v>5.1363636363636367</v>
      </c>
      <c r="W287" s="674">
        <f t="shared" si="90"/>
        <v>8.8181818181818183</v>
      </c>
      <c r="X287" s="674">
        <f t="shared" si="90"/>
        <v>3.6818181818181821</v>
      </c>
      <c r="Y287" s="674">
        <f t="shared" si="90"/>
        <v>4.2159090909090917</v>
      </c>
      <c r="Z287" s="674">
        <f t="shared" si="90"/>
        <v>6.9772727272727275</v>
      </c>
      <c r="AA287" s="674">
        <f t="shared" si="90"/>
        <v>9.4318181818181834</v>
      </c>
      <c r="AB287" s="674">
        <f t="shared" si="90"/>
        <v>9.7386363636363633</v>
      </c>
      <c r="AC287" s="674">
        <f t="shared" si="90"/>
        <v>8.8181818181818183</v>
      </c>
      <c r="AD287" s="674">
        <f t="shared" si="90"/>
        <v>19.170454545454547</v>
      </c>
      <c r="AE287" s="674">
        <f t="shared" si="90"/>
        <v>2.9090909090909092</v>
      </c>
      <c r="AF287" s="674">
        <f t="shared" si="90"/>
        <v>0.375</v>
      </c>
      <c r="AG287" s="674">
        <f t="shared" si="90"/>
        <v>12.727272727272728</v>
      </c>
      <c r="AH287" s="678">
        <f t="shared" si="43"/>
        <v>92.000000000000014</v>
      </c>
      <c r="AI287" s="681">
        <f t="shared" si="44"/>
        <v>17.636363636363637</v>
      </c>
      <c r="AJ287" s="674">
        <f t="shared" si="45"/>
        <v>38.26136363636364</v>
      </c>
      <c r="AK287" s="678">
        <f t="shared" si="46"/>
        <v>75.988636363636374</v>
      </c>
    </row>
    <row r="288" spans="1:37" x14ac:dyDescent="0.2">
      <c r="A288" s="474">
        <v>1027</v>
      </c>
      <c r="B288" s="475" t="s">
        <v>66</v>
      </c>
      <c r="C288" s="674">
        <f t="shared" ref="C288:N288" si="91">+C64-C256</f>
        <v>14</v>
      </c>
      <c r="D288" s="674">
        <f t="shared" si="91"/>
        <v>6</v>
      </c>
      <c r="E288" s="674">
        <f t="shared" si="91"/>
        <v>7</v>
      </c>
      <c r="F288" s="674">
        <f t="shared" si="91"/>
        <v>10</v>
      </c>
      <c r="G288" s="674">
        <f t="shared" si="91"/>
        <v>7</v>
      </c>
      <c r="H288" s="674">
        <f t="shared" si="91"/>
        <v>9</v>
      </c>
      <c r="I288" s="674">
        <f t="shared" si="91"/>
        <v>11</v>
      </c>
      <c r="J288" s="674">
        <f t="shared" si="91"/>
        <v>17</v>
      </c>
      <c r="K288" s="674">
        <f t="shared" si="91"/>
        <v>21</v>
      </c>
      <c r="L288" s="674">
        <f t="shared" si="91"/>
        <v>17</v>
      </c>
      <c r="M288" s="674">
        <f t="shared" si="91"/>
        <v>13</v>
      </c>
      <c r="N288" s="674">
        <f t="shared" si="91"/>
        <v>7</v>
      </c>
      <c r="O288" s="678">
        <f t="shared" si="38"/>
        <v>139</v>
      </c>
      <c r="P288" s="681">
        <f t="shared" si="39"/>
        <v>27</v>
      </c>
      <c r="Q288" s="674">
        <f t="shared" si="40"/>
        <v>53</v>
      </c>
      <c r="R288" s="678">
        <f t="shared" si="41"/>
        <v>102</v>
      </c>
      <c r="T288" s="474">
        <v>1027</v>
      </c>
      <c r="U288" s="475" t="s">
        <v>66</v>
      </c>
      <c r="V288" s="674">
        <f t="shared" ref="V288:AG288" si="92">+S64-V256</f>
        <v>15.055492638731597</v>
      </c>
      <c r="W288" s="674">
        <f t="shared" si="92"/>
        <v>12.497168742921856</v>
      </c>
      <c r="X288" s="674">
        <f t="shared" si="92"/>
        <v>14.202718006795013</v>
      </c>
      <c r="Y288" s="674">
        <f t="shared" si="92"/>
        <v>11.21291053227633</v>
      </c>
      <c r="Z288" s="674">
        <f t="shared" si="92"/>
        <v>13.06568516421291</v>
      </c>
      <c r="AA288" s="674">
        <f t="shared" si="92"/>
        <v>16.761041902604752</v>
      </c>
      <c r="AB288" s="674">
        <f t="shared" si="92"/>
        <v>31.542468856172142</v>
      </c>
      <c r="AC288" s="674">
        <f t="shared" si="92"/>
        <v>29.826727066817661</v>
      </c>
      <c r="AD288" s="674">
        <f t="shared" si="92"/>
        <v>15.750849377123437</v>
      </c>
      <c r="AE288" s="674">
        <f t="shared" si="92"/>
        <v>21.004530011325027</v>
      </c>
      <c r="AF288" s="674">
        <f t="shared" si="92"/>
        <v>12.045300113250278</v>
      </c>
      <c r="AG288" s="674">
        <f t="shared" si="92"/>
        <v>15.035107587768969</v>
      </c>
      <c r="AH288" s="678">
        <f t="shared" si="43"/>
        <v>207.99999999999997</v>
      </c>
      <c r="AI288" s="681">
        <f t="shared" si="44"/>
        <v>41.755379388448461</v>
      </c>
      <c r="AJ288" s="674">
        <f t="shared" si="45"/>
        <v>82.795016987542454</v>
      </c>
      <c r="AK288" s="678">
        <f t="shared" si="46"/>
        <v>159.9150622876557</v>
      </c>
    </row>
    <row r="289" spans="1:37" x14ac:dyDescent="0.2">
      <c r="A289" s="474">
        <v>1028</v>
      </c>
      <c r="B289" s="475" t="s">
        <v>67</v>
      </c>
      <c r="C289" s="674">
        <f t="shared" ref="C289:N289" si="93">+C65-C257</f>
        <v>60</v>
      </c>
      <c r="D289" s="674">
        <f t="shared" si="93"/>
        <v>58</v>
      </c>
      <c r="E289" s="674">
        <f t="shared" si="93"/>
        <v>112</v>
      </c>
      <c r="F289" s="674">
        <f t="shared" si="93"/>
        <v>59</v>
      </c>
      <c r="G289" s="674">
        <f t="shared" si="93"/>
        <v>54</v>
      </c>
      <c r="H289" s="674">
        <f t="shared" si="93"/>
        <v>83</v>
      </c>
      <c r="I289" s="674">
        <f t="shared" si="93"/>
        <v>54</v>
      </c>
      <c r="J289" s="674">
        <f t="shared" si="93"/>
        <v>55</v>
      </c>
      <c r="K289" s="674">
        <f t="shared" si="93"/>
        <v>54</v>
      </c>
      <c r="L289" s="674">
        <f t="shared" si="93"/>
        <v>53</v>
      </c>
      <c r="M289" s="674">
        <f t="shared" si="93"/>
        <v>56</v>
      </c>
      <c r="N289" s="674">
        <f t="shared" si="93"/>
        <v>42</v>
      </c>
      <c r="O289" s="678">
        <f t="shared" si="38"/>
        <v>740</v>
      </c>
      <c r="P289" s="681">
        <f t="shared" si="39"/>
        <v>230</v>
      </c>
      <c r="Q289" s="674">
        <f t="shared" si="40"/>
        <v>426</v>
      </c>
      <c r="R289" s="678">
        <f t="shared" si="41"/>
        <v>589</v>
      </c>
      <c r="T289" s="474">
        <v>1028</v>
      </c>
      <c r="U289" s="475" t="s">
        <v>67</v>
      </c>
      <c r="V289" s="674">
        <f t="shared" ref="V289:AG289" si="94">+S65-V257</f>
        <v>78.32948666931955</v>
      </c>
      <c r="W289" s="674">
        <f t="shared" si="94"/>
        <v>74.276163947473137</v>
      </c>
      <c r="X289" s="674">
        <f t="shared" si="94"/>
        <v>78.803422204536417</v>
      </c>
      <c r="Y289" s="674">
        <f t="shared" si="94"/>
        <v>68.380421806605654</v>
      </c>
      <c r="Z289" s="674">
        <f t="shared" si="94"/>
        <v>54.746518105849589</v>
      </c>
      <c r="AA289" s="674">
        <f t="shared" si="94"/>
        <v>35.585356148030243</v>
      </c>
      <c r="AB289" s="674">
        <f t="shared" si="94"/>
        <v>67.274970155193003</v>
      </c>
      <c r="AC289" s="674">
        <f t="shared" si="94"/>
        <v>46.956227616394749</v>
      </c>
      <c r="AD289" s="674">
        <f t="shared" si="94"/>
        <v>70.802228412256284</v>
      </c>
      <c r="AE289" s="674">
        <f t="shared" si="94"/>
        <v>125.65419816951851</v>
      </c>
      <c r="AF289" s="674">
        <f t="shared" si="94"/>
        <v>92.385196975726231</v>
      </c>
      <c r="AG289" s="674">
        <f t="shared" si="94"/>
        <v>88.805809789096713</v>
      </c>
      <c r="AH289" s="678">
        <f t="shared" si="43"/>
        <v>882</v>
      </c>
      <c r="AI289" s="681">
        <f t="shared" si="44"/>
        <v>231.40907282132909</v>
      </c>
      <c r="AJ289" s="674">
        <f t="shared" si="45"/>
        <v>390.12136888181459</v>
      </c>
      <c r="AK289" s="678">
        <f t="shared" si="46"/>
        <v>575.15479506565862</v>
      </c>
    </row>
    <row r="290" spans="1:37" x14ac:dyDescent="0.2">
      <c r="A290" s="474">
        <v>1029</v>
      </c>
      <c r="B290" s="475" t="s">
        <v>68</v>
      </c>
      <c r="C290" s="674">
        <f t="shared" ref="C290:N290" si="95">+C66-C258</f>
        <v>22</v>
      </c>
      <c r="D290" s="674">
        <f t="shared" si="95"/>
        <v>17</v>
      </c>
      <c r="E290" s="674">
        <f t="shared" si="95"/>
        <v>8</v>
      </c>
      <c r="F290" s="674">
        <f t="shared" si="95"/>
        <v>5</v>
      </c>
      <c r="G290" s="674">
        <f t="shared" si="95"/>
        <v>18</v>
      </c>
      <c r="H290" s="674">
        <f t="shared" si="95"/>
        <v>15</v>
      </c>
      <c r="I290" s="674">
        <f t="shared" si="95"/>
        <v>11</v>
      </c>
      <c r="J290" s="674">
        <f t="shared" si="95"/>
        <v>5</v>
      </c>
      <c r="K290" s="674">
        <f t="shared" si="95"/>
        <v>49</v>
      </c>
      <c r="L290" s="674">
        <f t="shared" si="95"/>
        <v>23</v>
      </c>
      <c r="M290" s="674">
        <f t="shared" si="95"/>
        <v>4</v>
      </c>
      <c r="N290" s="674">
        <f t="shared" si="95"/>
        <v>2</v>
      </c>
      <c r="O290" s="678">
        <f t="shared" si="38"/>
        <v>179</v>
      </c>
      <c r="P290" s="681">
        <f t="shared" si="39"/>
        <v>47</v>
      </c>
      <c r="Q290" s="674">
        <f t="shared" si="40"/>
        <v>85</v>
      </c>
      <c r="R290" s="678">
        <f t="shared" si="41"/>
        <v>150</v>
      </c>
      <c r="T290" s="474">
        <v>1029</v>
      </c>
      <c r="U290" s="475" t="s">
        <v>68</v>
      </c>
      <c r="V290" s="674">
        <f t="shared" ref="V290:AG290" si="96">+S66-V258</f>
        <v>4.4287369640787952</v>
      </c>
      <c r="W290" s="674">
        <f t="shared" si="96"/>
        <v>12.286210892236385</v>
      </c>
      <c r="X290" s="674">
        <f t="shared" si="96"/>
        <v>9.9119351100811119</v>
      </c>
      <c r="Y290" s="674">
        <f t="shared" si="96"/>
        <v>18.558516801853997</v>
      </c>
      <c r="Z290" s="674">
        <f t="shared" si="96"/>
        <v>27.681344148319813</v>
      </c>
      <c r="AA290" s="674">
        <f t="shared" si="96"/>
        <v>21.51100811123986</v>
      </c>
      <c r="AB290" s="674">
        <f t="shared" si="96"/>
        <v>16.238702201622246</v>
      </c>
      <c r="AC290" s="674">
        <f t="shared" si="96"/>
        <v>23.252607184241018</v>
      </c>
      <c r="AD290" s="674">
        <f t="shared" si="96"/>
        <v>14.762456546929315</v>
      </c>
      <c r="AE290" s="674">
        <f t="shared" si="96"/>
        <v>7.6465816917728837</v>
      </c>
      <c r="AF290" s="674">
        <f t="shared" si="96"/>
        <v>3.8505214368482044</v>
      </c>
      <c r="AG290" s="674">
        <f t="shared" si="96"/>
        <v>15.871378910776361</v>
      </c>
      <c r="AH290" s="678">
        <f t="shared" si="43"/>
        <v>176</v>
      </c>
      <c r="AI290" s="681">
        <f t="shared" si="44"/>
        <v>26.626882966396295</v>
      </c>
      <c r="AJ290" s="674">
        <f t="shared" si="45"/>
        <v>94.377752027809962</v>
      </c>
      <c r="AK290" s="678">
        <f t="shared" si="46"/>
        <v>148.63151796060254</v>
      </c>
    </row>
    <row r="291" spans="1:37" ht="15" thickBot="1" x14ac:dyDescent="0.25">
      <c r="A291" s="587">
        <v>1030</v>
      </c>
      <c r="B291" s="588" t="s">
        <v>69</v>
      </c>
      <c r="C291" s="675">
        <f t="shared" ref="C291:N291" si="97">+C67-C259</f>
        <v>27</v>
      </c>
      <c r="D291" s="675">
        <f t="shared" si="97"/>
        <v>19</v>
      </c>
      <c r="E291" s="675">
        <f t="shared" si="97"/>
        <v>10</v>
      </c>
      <c r="F291" s="675">
        <f t="shared" si="97"/>
        <v>5</v>
      </c>
      <c r="G291" s="675">
        <f t="shared" si="97"/>
        <v>5</v>
      </c>
      <c r="H291" s="675">
        <f t="shared" si="97"/>
        <v>28</v>
      </c>
      <c r="I291" s="675">
        <f t="shared" si="97"/>
        <v>14</v>
      </c>
      <c r="J291" s="675">
        <f t="shared" si="97"/>
        <v>13</v>
      </c>
      <c r="K291" s="675">
        <f t="shared" si="97"/>
        <v>3</v>
      </c>
      <c r="L291" s="675">
        <f t="shared" si="97"/>
        <v>9</v>
      </c>
      <c r="M291" s="675">
        <f t="shared" si="97"/>
        <v>12</v>
      </c>
      <c r="N291" s="675">
        <f t="shared" si="97"/>
        <v>11</v>
      </c>
      <c r="O291" s="679">
        <f t="shared" si="38"/>
        <v>156</v>
      </c>
      <c r="P291" s="682">
        <f t="shared" si="39"/>
        <v>56</v>
      </c>
      <c r="Q291" s="675">
        <f t="shared" si="40"/>
        <v>94</v>
      </c>
      <c r="R291" s="679">
        <f t="shared" si="41"/>
        <v>124</v>
      </c>
      <c r="T291" s="587">
        <v>1030</v>
      </c>
      <c r="U291" s="588" t="s">
        <v>69</v>
      </c>
      <c r="V291" s="675">
        <f t="shared" ref="V291:AG291" si="98">+S67-V259</f>
        <v>17.237154150197625</v>
      </c>
      <c r="W291" s="675">
        <f t="shared" si="98"/>
        <v>26.458498023715411</v>
      </c>
      <c r="X291" s="675">
        <f t="shared" si="98"/>
        <v>10.280632411067192</v>
      </c>
      <c r="Y291" s="675">
        <f t="shared" si="98"/>
        <v>23.928853754940707</v>
      </c>
      <c r="Z291" s="675">
        <f t="shared" si="98"/>
        <v>17.237154150197625</v>
      </c>
      <c r="AA291" s="675">
        <f t="shared" si="98"/>
        <v>27.355731225296442</v>
      </c>
      <c r="AB291" s="675">
        <f t="shared" si="98"/>
        <v>28.988142292490114</v>
      </c>
      <c r="AC291" s="675">
        <f t="shared" si="98"/>
        <v>30.415019762845851</v>
      </c>
      <c r="AD291" s="675">
        <f t="shared" si="98"/>
        <v>39.533596837944657</v>
      </c>
      <c r="AE291" s="675">
        <f t="shared" si="98"/>
        <v>10.07509881422925</v>
      </c>
      <c r="AF291" s="675">
        <f t="shared" si="98"/>
        <v>9.7075098814229257</v>
      </c>
      <c r="AG291" s="675">
        <f t="shared" si="98"/>
        <v>26.782608695652172</v>
      </c>
      <c r="AH291" s="679">
        <f t="shared" si="43"/>
        <v>267.99999999999994</v>
      </c>
      <c r="AI291" s="682">
        <f t="shared" si="44"/>
        <v>53.97628458498022</v>
      </c>
      <c r="AJ291" s="675">
        <f t="shared" si="45"/>
        <v>122.49802371541499</v>
      </c>
      <c r="AK291" s="679">
        <f t="shared" si="46"/>
        <v>221.4347826086956</v>
      </c>
    </row>
  </sheetData>
  <mergeCells count="10">
    <mergeCell ref="C3:F3"/>
    <mergeCell ref="G3:J3"/>
    <mergeCell ref="K3:N3"/>
    <mergeCell ref="O3:R3"/>
    <mergeCell ref="C2:R2"/>
    <mergeCell ref="S2:AH2"/>
    <mergeCell ref="S3:V3"/>
    <mergeCell ref="W3:Z3"/>
    <mergeCell ref="AA3:AD3"/>
    <mergeCell ref="AE3:AH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view="pageLayout" zoomScale="70" zoomScaleNormal="100" zoomScalePageLayoutView="70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6.75" style="158" bestFit="1" customWidth="1"/>
    <col min="3" max="5" width="5.75" style="158" bestFit="1" customWidth="1"/>
    <col min="6" max="6" width="6.875" style="158" bestFit="1" customWidth="1"/>
    <col min="7" max="8" width="6.75" style="158" bestFit="1" customWidth="1"/>
    <col min="9" max="10" width="6.875" style="158" bestFit="1" customWidth="1"/>
    <col min="11" max="11" width="6.75" style="158" bestFit="1" customWidth="1"/>
    <col min="12" max="12" width="7" style="158" bestFit="1" customWidth="1"/>
    <col min="13" max="13" width="6.75" style="158" bestFit="1" customWidth="1"/>
    <col min="14" max="14" width="6.8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40" width="7.125" style="158" customWidth="1"/>
    <col min="41" max="47" width="7.125" customWidth="1"/>
    <col min="48" max="48" width="6.875" bestFit="1" customWidth="1"/>
    <col min="49" max="49" width="8.25" bestFit="1" customWidth="1"/>
    <col min="50" max="50" width="7.625" bestFit="1" customWidth="1"/>
    <col min="51" max="51" width="8.875" customWidth="1"/>
    <col min="52" max="53" width="7.125" bestFit="1" customWidth="1"/>
    <col min="54" max="54" width="7" bestFit="1" customWidth="1"/>
    <col min="55" max="55" width="7.125" bestFit="1" customWidth="1"/>
    <col min="56" max="56" width="7" bestFit="1" customWidth="1"/>
    <col min="57" max="57" width="6.875" bestFit="1" customWidth="1"/>
    <col min="58" max="58" width="7.125" bestFit="1" customWidth="1"/>
    <col min="59" max="59" width="7" bestFit="1" customWidth="1"/>
    <col min="60" max="61" width="6.875" bestFit="1" customWidth="1"/>
    <col min="62" max="62" width="7" bestFit="1" customWidth="1"/>
    <col min="63" max="63" width="6.875" bestFit="1" customWidth="1"/>
    <col min="64" max="64" width="7" bestFit="1" customWidth="1"/>
    <col min="65" max="65" width="6.875" bestFit="1" customWidth="1"/>
    <col min="66" max="67" width="7" bestFit="1" customWidth="1"/>
  </cols>
  <sheetData>
    <row r="1" spans="1:66" ht="27" thickBot="1" x14ac:dyDescent="0.25">
      <c r="A1" s="248">
        <v>1010</v>
      </c>
      <c r="B1" s="817" t="str">
        <f>+VLOOKUP($A$1,data!$A$4:$AH$32,2,0)</f>
        <v>แม่ฮ่องสอน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1010</v>
      </c>
      <c r="T1" s="817" t="str">
        <f>+VLOOKUP($A$1,data!$A$4:$AH$32,2,0)</f>
        <v>แม่ฮ่องสอน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1010</v>
      </c>
      <c r="AJ1" s="817" t="str">
        <f>+VLOOKUP($A$1,data!$A$4:$AH$32,2,0)</f>
        <v>แม่ฮ่องสอน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1010</v>
      </c>
      <c r="AZ1" s="817" t="str">
        <f>+VLOOKUP($A$1,data!$A$4:$AH$32,2,0)</f>
        <v>แม่ฮ่องสอน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68</v>
      </c>
      <c r="C18" s="406">
        <f>+VLOOKUP($A$1,data!$A$37:$AU$67,36)</f>
        <v>15</v>
      </c>
      <c r="D18" s="406">
        <f>+VLOOKUP($A$1,data!$A$37:$AU$67,37)</f>
        <v>10</v>
      </c>
      <c r="E18" s="406">
        <f>+VLOOKUP($A$1,data!$A$37:$AU$67,38)</f>
        <v>19</v>
      </c>
      <c r="F18" s="406">
        <f>+VLOOKUP($A$1,data!$A$37:$AU$67,39)</f>
        <v>11</v>
      </c>
      <c r="G18" s="406">
        <f>+VLOOKUP($A$1,data!$A$37:$AU$67,40)</f>
        <v>20</v>
      </c>
      <c r="H18" s="406">
        <f>+VLOOKUP($A$1,data!$A$37:$AU$67,41)</f>
        <v>27</v>
      </c>
      <c r="I18" s="406">
        <f>+VLOOKUP($A$1,data!$A$37:$AU$67,42)</f>
        <v>32</v>
      </c>
      <c r="J18" s="406">
        <f>+VLOOKUP($A$1,data!$A$37:$AU$67,43)</f>
        <v>27</v>
      </c>
      <c r="K18" s="406">
        <f>+VLOOKUP($A$1,data!$A$37:$AU$67,44)</f>
        <v>17</v>
      </c>
      <c r="L18" s="406">
        <f>+VLOOKUP($A$1,data!$A$37:$AU$67,45)</f>
        <v>15</v>
      </c>
      <c r="M18" s="406">
        <f>+VLOOKUP($A$1,data!$A$37:$AU$67,46)</f>
        <v>27</v>
      </c>
      <c r="N18" s="406">
        <f>SUM(B18:M18)</f>
        <v>288</v>
      </c>
      <c r="O18" s="406">
        <f>SUM(B18:M18)</f>
        <v>288</v>
      </c>
      <c r="P18" s="407">
        <f>+O20-O18</f>
        <v>-52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0.129799</v>
      </c>
      <c r="AK18" s="418">
        <f>+VLOOKUP($A$1,data!$A$69:$AU$99,36)</f>
        <v>0.13081899999999999</v>
      </c>
      <c r="AL18" s="418">
        <f>+VLOOKUP($A$1,data!$A$69:$AU$99,37)</f>
        <v>0.13022900000000001</v>
      </c>
      <c r="AM18" s="418">
        <f>+VLOOKUP($A$1,data!$A$69:$AU$99,38)</f>
        <v>0.13394700000000001</v>
      </c>
      <c r="AN18" s="418">
        <f>+VLOOKUP($A$1,data!$A$69:$AU$99,39)</f>
        <v>0.13251199999999999</v>
      </c>
      <c r="AO18" s="418">
        <f>+VLOOKUP($A$1,data!$A$69:$AU$99,40)</f>
        <v>0.132109</v>
      </c>
      <c r="AP18" s="418">
        <f>+VLOOKUP($A$1,data!$A$69:$AU$99,41)</f>
        <v>0.15196899999999999</v>
      </c>
      <c r="AQ18" s="418">
        <f>+VLOOKUP($A$1,data!$A$69:$AU$99,42)</f>
        <v>0.165716</v>
      </c>
      <c r="AR18" s="418">
        <f>+VLOOKUP($A$1,data!$A$69:$AU$99,43)</f>
        <v>0.153169</v>
      </c>
      <c r="AS18" s="418">
        <f>+VLOOKUP($A$1,data!$A$69:$AU$99,44)</f>
        <v>0.12987099999999999</v>
      </c>
      <c r="AT18" s="418">
        <f>+VLOOKUP($A$1,data!$A$69:$AU$99,45)</f>
        <v>0.13083</v>
      </c>
      <c r="AU18" s="418">
        <f>+VLOOKUP($A$1,data!$A$69:$AU$99,46)</f>
        <v>0.12870899999999999</v>
      </c>
      <c r="AV18" s="418">
        <f>SUM(AJ18:AU18)</f>
        <v>1.6496790000000001</v>
      </c>
      <c r="AW18" s="418">
        <f>SUM(AJ18:AU18)</f>
        <v>1.6496790000000001</v>
      </c>
      <c r="AX18" s="419">
        <f>+AW20-AW18</f>
        <v>-8.5629999999998763E-3</v>
      </c>
      <c r="AY18" s="308" t="s">
        <v>92</v>
      </c>
      <c r="AZ18" s="309">
        <f>+VLOOKUP($A$1,data!$A$101:$AU$131,35)</f>
        <v>5.2833790000000005E-2</v>
      </c>
      <c r="BA18" s="309">
        <f>+VLOOKUP($A$1,data!$A$101:$AU$131,36)</f>
        <v>5.2708309999999994E-2</v>
      </c>
      <c r="BB18" s="309">
        <f>+VLOOKUP($A$1,data!$A$101:$AU$131,37)</f>
        <v>5.265829000000001E-2</v>
      </c>
      <c r="BC18" s="309">
        <f>+VLOOKUP($A$1,data!$A$101:$AU$131,38)</f>
        <v>5.8513200000000008E-2</v>
      </c>
      <c r="BD18" s="309">
        <f>+VLOOKUP($A$1,data!$A$101:$AU$131,39)</f>
        <v>5.6217250000000003E-2</v>
      </c>
      <c r="BE18" s="309">
        <f>+VLOOKUP($A$1,data!$A$101:$AU$131,40)</f>
        <v>6.7840589999999992E-2</v>
      </c>
      <c r="BF18" s="309">
        <f>+VLOOKUP($A$1,data!$A$101:$AU$131,41)</f>
        <v>6.2913499999999997E-2</v>
      </c>
      <c r="BG18" s="309">
        <f>+VLOOKUP($A$1,data!$A$101:$AU$131,42)</f>
        <v>6.8131589999999992E-2</v>
      </c>
      <c r="BH18" s="309">
        <f>+VLOOKUP($A$1,data!$A$101:$AU$131,43)</f>
        <v>5.241554000000001E-2</v>
      </c>
      <c r="BI18" s="309">
        <f>+VLOOKUP($A$1,data!$A$101:$AU$131,44)</f>
        <v>4.8534140000000017E-2</v>
      </c>
      <c r="BJ18" s="309">
        <f>+VLOOKUP($A$1,data!$A$101:$AU$131,45)</f>
        <v>4.6869070000000006E-2</v>
      </c>
      <c r="BK18" s="309">
        <f>+VLOOKUP($A$1,data!$A$101:$AU$131,46)</f>
        <v>4.2260089999999993E-2</v>
      </c>
      <c r="BL18" s="309">
        <f>SUM(AZ18:BK18)</f>
        <v>0.66189536000000004</v>
      </c>
      <c r="BM18" s="309">
        <f>SUM(AZ18:BK18)</f>
        <v>0.66189536000000004</v>
      </c>
      <c r="BN18" s="310">
        <f>+BM20-BM18</f>
        <v>-6.9458790000000104E-2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24.75</v>
      </c>
      <c r="C19" s="409">
        <f>+VLOOKUP($A$1,data!$A$37:$AU$67,20)</f>
        <v>12</v>
      </c>
      <c r="D19" s="409">
        <f>+VLOOKUP($A$1,data!$A$37:$AU$67,21)</f>
        <v>6.2499999999999991</v>
      </c>
      <c r="E19" s="409">
        <f>+VLOOKUP($A$1,data!$A$37:$AU$67,22)</f>
        <v>12.499999999999998</v>
      </c>
      <c r="F19" s="409">
        <f>+VLOOKUP($A$1,data!$A$37:$AU$67,23)</f>
        <v>15.249999999999996</v>
      </c>
      <c r="G19" s="409">
        <f>+VLOOKUP($A$1,data!$A$37:$AU$67,24)</f>
        <v>8.7499999999999982</v>
      </c>
      <c r="H19" s="409">
        <f>+VLOOKUP($A$1,data!$A$37:$AU$67,25)</f>
        <v>12.499999999999998</v>
      </c>
      <c r="I19" s="409">
        <f>+VLOOKUP($A$1,data!$A$37:$AU$67,26)</f>
        <v>16.749999999999996</v>
      </c>
      <c r="J19" s="409">
        <f>+VLOOKUP($A$1,data!$A$37:$AU$67,27)</f>
        <v>13.749999999999998</v>
      </c>
      <c r="K19" s="409">
        <f>+VLOOKUP($A$1,data!$A$37:$AU$67,28)</f>
        <v>10.999999999999998</v>
      </c>
      <c r="L19" s="409">
        <f>+VLOOKUP($A$1,data!$A$37:$AU$67,29)</f>
        <v>9.25</v>
      </c>
      <c r="M19" s="409">
        <f>+VLOOKUP($A$1,data!$A$37:$AU$67,30)</f>
        <v>9.25</v>
      </c>
      <c r="N19" s="409">
        <f>SUM(B19:M19)</f>
        <v>152</v>
      </c>
      <c r="O19" s="630">
        <f t="shared" ref="O19:O20" si="0">SUM(B19:M19)</f>
        <v>152</v>
      </c>
      <c r="P19" s="412">
        <f>+O20-O19</f>
        <v>84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0.13873199999999999</v>
      </c>
      <c r="AK19" s="423">
        <f>+VLOOKUP($A$1,data!$A$69:$AU$99,20)</f>
        <v>0.14119799999999999</v>
      </c>
      <c r="AL19" s="423">
        <f>+VLOOKUP($A$1,data!$A$69:$AU$99,21)</f>
        <v>0.13215499999999999</v>
      </c>
      <c r="AM19" s="423">
        <f>+VLOOKUP($A$1,data!$A$69:$AU$99,22)</f>
        <v>0.14472099999999999</v>
      </c>
      <c r="AN19" s="423">
        <f>+VLOOKUP($A$1,data!$A$69:$AU$99,23)</f>
        <v>0.14008899999999999</v>
      </c>
      <c r="AO19" s="423">
        <f>+VLOOKUP($A$1,data!$A$69:$AU$99,24)</f>
        <v>0.135962</v>
      </c>
      <c r="AP19" s="423">
        <f>+VLOOKUP($A$1,data!$A$69:$AU$99,25)</f>
        <v>0.157583</v>
      </c>
      <c r="AQ19" s="423">
        <f>+VLOOKUP($A$1,data!$A$69:$AU$99,26)</f>
        <v>0.167437</v>
      </c>
      <c r="AR19" s="423">
        <f>+VLOOKUP($A$1,data!$A$69:$AU$99,27)</f>
        <v>0.15882299999999999</v>
      </c>
      <c r="AS19" s="423">
        <f>+VLOOKUP($A$1,data!$A$69:$AU$99,28)</f>
        <v>0.13993</v>
      </c>
      <c r="AT19" s="423">
        <f>+VLOOKUP($A$1,data!$A$69:$AU$99,29)</f>
        <v>0.138462</v>
      </c>
      <c r="AU19" s="423">
        <f>+VLOOKUP($A$1,data!$A$69:$AU$99,30)</f>
        <v>0.13896800000000001</v>
      </c>
      <c r="AV19" s="423">
        <f>SUM(AJ19:AU19)</f>
        <v>1.7340600000000002</v>
      </c>
      <c r="AW19" s="424">
        <f t="shared" ref="AW19:AW20" si="1">SUM(AJ19:AU19)</f>
        <v>1.7340600000000002</v>
      </c>
      <c r="AX19" s="425">
        <f>+AW20-AW19</f>
        <v>-9.2943999999999916E-2</v>
      </c>
      <c r="AY19" s="311" t="s">
        <v>94</v>
      </c>
      <c r="AZ19" s="312">
        <f>+VLOOKUP($A$1,data!$A$101:$AU$131,19)</f>
        <v>5.6201000000000001E-2</v>
      </c>
      <c r="BA19" s="312">
        <f>+VLOOKUP($A$1,data!$A$101:$AU$131,20)</f>
        <v>5.815E-2</v>
      </c>
      <c r="BB19" s="312">
        <f>+VLOOKUP($A$1,data!$A$101:$AU$131,21)</f>
        <v>5.6008000000000002E-2</v>
      </c>
      <c r="BC19" s="312">
        <f>+VLOOKUP($A$1,data!$A$101:$AU$131,22)</f>
        <v>5.7292999999999997E-2</v>
      </c>
      <c r="BD19" s="312">
        <f>+VLOOKUP($A$1,data!$A$101:$AU$131,23)</f>
        <v>5.4697000000000003E-2</v>
      </c>
      <c r="BE19" s="312">
        <f>+VLOOKUP($A$1,data!$A$101:$AU$131,24)</f>
        <v>5.8030999999999999E-2</v>
      </c>
      <c r="BF19" s="312">
        <f>+VLOOKUP($A$1,data!$A$101:$AU$131,25)</f>
        <v>5.7820999999999997E-2</v>
      </c>
      <c r="BG19" s="312">
        <f>+VLOOKUP($A$1,data!$A$101:$AU$131,26)</f>
        <v>5.6250000000000001E-2</v>
      </c>
      <c r="BH19" s="312">
        <f>+VLOOKUP($A$1,data!$A$101:$AU$131,27)</f>
        <v>4.4655E-2</v>
      </c>
      <c r="BI19" s="312">
        <f>+VLOOKUP($A$1,data!$A$101:$AU$131,28)</f>
        <v>4.8384000000000003E-2</v>
      </c>
      <c r="BJ19" s="312">
        <f>+VLOOKUP($A$1,data!$A$101:$AU$131,29)</f>
        <v>4.6167E-2</v>
      </c>
      <c r="BK19" s="312">
        <f>+VLOOKUP($A$1,data!$A$101:$AU$131,30)</f>
        <v>4.7703000000000002E-2</v>
      </c>
      <c r="BL19" s="312">
        <f>SUM(AZ19:BK19)</f>
        <v>0.64136000000000004</v>
      </c>
      <c r="BM19" s="313">
        <f t="shared" ref="BM19:BM20" si="2">SUM(AZ19:BK19)</f>
        <v>0.64136000000000004</v>
      </c>
      <c r="BN19" s="314">
        <f>+BM20-BM19</f>
        <v>-4.8923430000000101E-2</v>
      </c>
    </row>
    <row r="20" spans="1:66" s="247" customFormat="1" ht="19.5" thickBot="1" x14ac:dyDescent="0.35">
      <c r="A20" s="413" t="s">
        <v>93</v>
      </c>
      <c r="B20" s="414">
        <f>+VLOOKUP($A$1,data!$A$37:$AU$67,3)</f>
        <v>13</v>
      </c>
      <c r="C20" s="414">
        <f>+VLOOKUP($A$1,data!$A$37:$AU$67,4)</f>
        <v>7</v>
      </c>
      <c r="D20" s="414">
        <f>+VLOOKUP($A$1,data!$A$37:$AU$67,5)</f>
        <v>25</v>
      </c>
      <c r="E20" s="414">
        <f>+VLOOKUP($A$1,data!$A$37:$AU$67,6)</f>
        <v>17</v>
      </c>
      <c r="F20" s="414">
        <f>+VLOOKUP($A$1,data!$A$37:$AU$67,7)</f>
        <v>21</v>
      </c>
      <c r="G20" s="414">
        <f>+VLOOKUP($A$1,data!$A$37:$AU$67,8)</f>
        <v>18</v>
      </c>
      <c r="H20" s="414">
        <f>+VLOOKUP($A$1,data!$A$37:$AU$67,9)</f>
        <v>21</v>
      </c>
      <c r="I20" s="414">
        <f>+VLOOKUP($A$1,data!$A$37:$AU$67,10)</f>
        <v>17</v>
      </c>
      <c r="J20" s="414">
        <f>+VLOOKUP($A$1,data!$A$37:$AU$67,11)</f>
        <v>50</v>
      </c>
      <c r="K20" s="414">
        <f>+VLOOKUP($A$1,data!$A$37:$AU$67,12)</f>
        <v>17</v>
      </c>
      <c r="L20" s="414">
        <f>+VLOOKUP($A$1,data!$A$37:$AU$67,13)</f>
        <v>23</v>
      </c>
      <c r="M20" s="414">
        <f>+VLOOKUP($A$1,data!$A$37:$AU$67,14)</f>
        <v>7</v>
      </c>
      <c r="N20" s="414">
        <f>SUM(B20:M20)</f>
        <v>236</v>
      </c>
      <c r="O20" s="631">
        <f t="shared" si="0"/>
        <v>236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0.124324</v>
      </c>
      <c r="AK20" s="420">
        <f>+VLOOKUP($A$1,data!$A$69:$AU$99,4)</f>
        <v>0.13219</v>
      </c>
      <c r="AL20" s="420">
        <f>+VLOOKUP($A$1,data!$A$69:$AU$99,5)</f>
        <v>0.129694</v>
      </c>
      <c r="AM20" s="420">
        <f>+VLOOKUP($A$1,data!$A$69:$AU$99,6)</f>
        <v>0.13628999999999999</v>
      </c>
      <c r="AN20" s="420">
        <f>+VLOOKUP($A$1,data!$A$69:$AU$99,7)</f>
        <v>0.130992</v>
      </c>
      <c r="AO20" s="420">
        <f>+VLOOKUP($A$1,data!$A$69:$AU$99,8)</f>
        <v>0.13189400000000001</v>
      </c>
      <c r="AP20" s="420">
        <f>+VLOOKUP($A$1,data!$A$69:$AU$99,9)</f>
        <v>0.158301</v>
      </c>
      <c r="AQ20" s="420">
        <f>+VLOOKUP($A$1,data!$A$69:$AU$99,10)</f>
        <v>0.14590900000000001</v>
      </c>
      <c r="AR20" s="420">
        <f>+VLOOKUP($A$1,data!$A$69:$AU$99,11)</f>
        <v>0.14452699999999999</v>
      </c>
      <c r="AS20" s="420">
        <f>+VLOOKUP($A$1,data!$A$69:$AU$99,12)</f>
        <v>0.13176599999999999</v>
      </c>
      <c r="AT20" s="420">
        <f>+VLOOKUP($A$1,data!$A$69:$AU$99,13)</f>
        <v>0.134133</v>
      </c>
      <c r="AU20" s="420">
        <f>+VLOOKUP($A$1,data!$A$69:$AU$99,14)</f>
        <v>0.141096</v>
      </c>
      <c r="AV20" s="420">
        <f>SUM(AJ20:AU20)</f>
        <v>1.6411160000000002</v>
      </c>
      <c r="AW20" s="421">
        <f t="shared" si="1"/>
        <v>1.6411160000000002</v>
      </c>
      <c r="AX20" s="422"/>
      <c r="AY20" s="315" t="s">
        <v>93</v>
      </c>
      <c r="AZ20" s="316">
        <f>+VLOOKUP($A$1,data!$A$101:$AU$131,3)</f>
        <v>4.2768160000000006E-2</v>
      </c>
      <c r="BA20" s="316">
        <f>+VLOOKUP($A$1,data!$A$101:$AU$131,4)</f>
        <v>4.7806359999999985E-2</v>
      </c>
      <c r="BB20" s="316">
        <f>+VLOOKUP($A$1,data!$A$101:$AU$131,5)</f>
        <v>5.1619880000000007E-2</v>
      </c>
      <c r="BC20" s="316">
        <f>+VLOOKUP($A$1,data!$A$101:$AU$131,6)</f>
        <v>6.1678570000000009E-2</v>
      </c>
      <c r="BD20" s="316">
        <f>+VLOOKUP($A$1,data!$A$101:$AU$131,7)</f>
        <v>4.9772420000000012E-2</v>
      </c>
      <c r="BE20" s="316">
        <f>+VLOOKUP($A$1,data!$A$101:$AU$131,8)</f>
        <v>5.3018570000000008E-2</v>
      </c>
      <c r="BF20" s="316">
        <f>+VLOOKUP($A$1,data!$A$101:$AU$131,9)</f>
        <v>5.3125910000000005E-2</v>
      </c>
      <c r="BG20" s="316">
        <f>+VLOOKUP($A$1,data!$A$101:$AU$131,10)</f>
        <v>5.069572E-2</v>
      </c>
      <c r="BH20" s="316">
        <f>+VLOOKUP($A$1,data!$A$101:$AU$131,11)</f>
        <v>4.0397920000000011E-2</v>
      </c>
      <c r="BI20" s="316">
        <f>+VLOOKUP($A$1,data!$A$101:$AU$131,12)</f>
        <v>4.7239600000000007E-2</v>
      </c>
      <c r="BJ20" s="316">
        <f>+VLOOKUP($A$1,data!$A$101:$AU$131,13)</f>
        <v>4.9594130000000007E-2</v>
      </c>
      <c r="BK20" s="316">
        <f>+VLOOKUP($A$1,data!$A$101:$AU$131,14)</f>
        <v>4.4719329999999988E-2</v>
      </c>
      <c r="BL20" s="316">
        <f>SUM(AZ20:BK20)</f>
        <v>0.59243656999999994</v>
      </c>
      <c r="BM20" s="317">
        <f t="shared" si="2"/>
        <v>0.59243656999999994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43</v>
      </c>
      <c r="W21" s="671">
        <f>+VLOOKUP($A$1,data!$A$261:$AK$291,16)</f>
        <v>45</v>
      </c>
      <c r="X21" s="671">
        <f>+VLOOKUP($A$1,data!$A$261:$AK$291,36)</f>
        <v>78.5</v>
      </c>
      <c r="Y21" s="671">
        <f>+VLOOKUP($A$1,data!$A$261:$AK$291,17)</f>
        <v>101</v>
      </c>
      <c r="Z21" s="671">
        <f>+VLOOKUP($A$1,data!$A$261:$AK$291,37)</f>
        <v>120.5</v>
      </c>
      <c r="AA21" s="671">
        <f>+VLOOKUP($A$1,data!$A$261:$AK$291,18)</f>
        <v>177</v>
      </c>
      <c r="AB21" s="671">
        <f>+VLOOKUP($A$1,data!$A$261:$AK$291,34)</f>
        <v>149</v>
      </c>
      <c r="AC21" s="671">
        <f>+VLOOKUP($A$1,data!$A$261:$AK$291,15)</f>
        <v>224</v>
      </c>
      <c r="AD21" s="671">
        <f>+AA21-Z21</f>
        <v>56.5</v>
      </c>
      <c r="AE21" s="684">
        <f>+AC21-AB21</f>
        <v>75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0</v>
      </c>
      <c r="W22" s="672">
        <f>+VLOOKUP($A$1,data!$A$229:$AK$259,16)</f>
        <v>0</v>
      </c>
      <c r="X22" s="672">
        <f>+VLOOKUP($A$1,data!$A$229:$AK$259,36)</f>
        <v>1</v>
      </c>
      <c r="Y22" s="672">
        <f>+VLOOKUP($A$1,data!$A$229:$AK$259,17)</f>
        <v>0</v>
      </c>
      <c r="Z22" s="672">
        <f>+VLOOKUP($A$1,data!$A$229:$AK$259,37)</f>
        <v>2</v>
      </c>
      <c r="AA22" s="672">
        <f>+VLOOKUP($A$1,data!$A$229:$AK$259,18)</f>
        <v>12</v>
      </c>
      <c r="AB22" s="672">
        <f>+VLOOKUP($A$1,data!$A$229:$AK$259,34)</f>
        <v>3</v>
      </c>
      <c r="AC22" s="765">
        <f>+VLOOKUP($A$1,data!$A$229:$AK$259,15)</f>
        <v>12</v>
      </c>
      <c r="AD22" s="671">
        <f>+AA22-Z22</f>
        <v>10</v>
      </c>
      <c r="AE22" s="685">
        <f>+AC22-AB22</f>
        <v>9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43</v>
      </c>
      <c r="W23" s="689">
        <f t="shared" ref="W23:AC23" si="3">SUM(W21:W22)</f>
        <v>45</v>
      </c>
      <c r="X23" s="689">
        <f t="shared" si="3"/>
        <v>79.5</v>
      </c>
      <c r="Y23" s="689">
        <f t="shared" si="3"/>
        <v>101</v>
      </c>
      <c r="Z23" s="689">
        <f t="shared" si="3"/>
        <v>122.5</v>
      </c>
      <c r="AA23" s="689">
        <f t="shared" si="3"/>
        <v>189</v>
      </c>
      <c r="AB23" s="689">
        <f t="shared" si="3"/>
        <v>152</v>
      </c>
      <c r="AC23" s="764">
        <f t="shared" si="3"/>
        <v>236</v>
      </c>
      <c r="AD23" s="689">
        <f>+AA23-Z23</f>
        <v>66.5</v>
      </c>
      <c r="AE23" s="686">
        <f>+AC23-AB23</f>
        <v>84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68</v>
      </c>
      <c r="D39" s="406">
        <f t="shared" ref="D39:N41" si="4">+C39+C18</f>
        <v>83</v>
      </c>
      <c r="E39" s="406">
        <f t="shared" si="4"/>
        <v>93</v>
      </c>
      <c r="F39" s="406">
        <f t="shared" si="4"/>
        <v>112</v>
      </c>
      <c r="G39" s="406">
        <f t="shared" si="4"/>
        <v>123</v>
      </c>
      <c r="H39" s="406">
        <f t="shared" si="4"/>
        <v>143</v>
      </c>
      <c r="I39" s="406">
        <f t="shared" si="4"/>
        <v>170</v>
      </c>
      <c r="J39" s="406">
        <f t="shared" si="4"/>
        <v>202</v>
      </c>
      <c r="K39" s="406">
        <f t="shared" si="4"/>
        <v>229</v>
      </c>
      <c r="L39" s="406">
        <f t="shared" si="4"/>
        <v>246</v>
      </c>
      <c r="M39" s="406">
        <f t="shared" si="4"/>
        <v>261</v>
      </c>
      <c r="N39" s="406">
        <f t="shared" si="4"/>
        <v>288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0.129799</v>
      </c>
      <c r="AL39" s="418">
        <f t="shared" ref="AL39:AV41" si="5">+AK39+AK18</f>
        <v>0.26061800000000002</v>
      </c>
      <c r="AM39" s="418">
        <f t="shared" si="5"/>
        <v>0.39084700000000006</v>
      </c>
      <c r="AN39" s="418">
        <f t="shared" si="5"/>
        <v>0.52479400000000009</v>
      </c>
      <c r="AO39" s="418">
        <f t="shared" si="5"/>
        <v>0.65730600000000006</v>
      </c>
      <c r="AP39" s="418">
        <f t="shared" si="5"/>
        <v>0.78941500000000009</v>
      </c>
      <c r="AQ39" s="418">
        <f t="shared" si="5"/>
        <v>0.94138400000000011</v>
      </c>
      <c r="AR39" s="418">
        <f t="shared" si="5"/>
        <v>1.1071000000000002</v>
      </c>
      <c r="AS39" s="418">
        <f t="shared" si="5"/>
        <v>1.2602690000000001</v>
      </c>
      <c r="AT39" s="418">
        <f t="shared" si="5"/>
        <v>1.3901400000000002</v>
      </c>
      <c r="AU39" s="418">
        <f t="shared" si="5"/>
        <v>1.5209700000000002</v>
      </c>
      <c r="AV39" s="418">
        <f t="shared" si="5"/>
        <v>1.6496790000000001</v>
      </c>
      <c r="AW39" s="158"/>
      <c r="AX39" s="158"/>
      <c r="AY39" s="308" t="s">
        <v>92</v>
      </c>
      <c r="AZ39" s="464">
        <f>+VLOOKUP($A$1,data!$A$133:$BK$163,26)</f>
        <v>28.888637125529272</v>
      </c>
      <c r="BA39" s="464">
        <f>+VLOOKUP($A$1,data!$A$133:$BK$163,27)</f>
        <v>28.681000081023296</v>
      </c>
      <c r="BB39" s="464">
        <f>+VLOOKUP($A$1,data!$A$133:$BK$163,28)</f>
        <v>28.757376143348985</v>
      </c>
      <c r="BC39" s="464">
        <f>+VLOOKUP($A$1,data!$A$133:$BK$163,29)</f>
        <v>28.775510987334279</v>
      </c>
      <c r="BD39" s="464">
        <f>+VLOOKUP($A$1,data!$A$133:$BK$163,30)</f>
        <v>30.382704561881585</v>
      </c>
      <c r="BE39" s="464">
        <f>+VLOOKUP($A$1,data!$A$133:$BK$163,31)</f>
        <v>29.761386391520077</v>
      </c>
      <c r="BF39" s="464">
        <f>+VLOOKUP($A$1,data!$A$133:$BK$163,32)</f>
        <v>33.884785439099097</v>
      </c>
      <c r="BG39" s="464">
        <f>+VLOOKUP($A$1,data!$A$133:$BK$163,33)</f>
        <v>30.117732468178438</v>
      </c>
      <c r="BH39" s="464">
        <f>+VLOOKUP($A$1,data!$A$133:$BK$163,34)</f>
        <v>29.224373192739606</v>
      </c>
      <c r="BI39" s="464">
        <f>+VLOOKUP($A$1,data!$A$133:$BK$163,35)</f>
        <v>29.105169564947893</v>
      </c>
      <c r="BJ39" s="464">
        <f>+VLOOKUP($A$1,data!$A$133:$BK$163,36)</f>
        <v>25.481355171186372</v>
      </c>
      <c r="BK39" s="464">
        <f>+VLOOKUP($A$1,data!$A$133:$BK$163,37)</f>
        <v>29.343573797144067</v>
      </c>
      <c r="BL39" s="464">
        <f>+VLOOKUP($A$1,data!$A$133:$BK$163,38)</f>
        <v>27.175053446805219</v>
      </c>
      <c r="BM39" s="464">
        <f>+VLOOKUP($A$1,data!$A$133:$BK$163,39)</f>
        <v>26.342767288704422</v>
      </c>
      <c r="BN39" s="464">
        <f>+VLOOKUP($A$1,data!$A$133:$BK$163,40)</f>
        <v>24.690676321522396</v>
      </c>
      <c r="BO39" s="464">
        <f>+VLOOKUP($A$1,data!$A$133:$BK$163,41)</f>
        <v>28.601385141217417</v>
      </c>
    </row>
    <row r="40" spans="1:67" ht="21.75" thickBot="1" x14ac:dyDescent="0.4">
      <c r="A40"/>
      <c r="B40" s="408" t="s">
        <v>94</v>
      </c>
      <c r="C40" s="409">
        <f>+B19</f>
        <v>24.75</v>
      </c>
      <c r="D40" s="409">
        <f t="shared" si="4"/>
        <v>36.75</v>
      </c>
      <c r="E40" s="409">
        <f t="shared" si="4"/>
        <v>43</v>
      </c>
      <c r="F40" s="409">
        <f t="shared" si="4"/>
        <v>55.5</v>
      </c>
      <c r="G40" s="409">
        <f t="shared" si="4"/>
        <v>70.75</v>
      </c>
      <c r="H40" s="409">
        <f t="shared" si="4"/>
        <v>79.5</v>
      </c>
      <c r="I40" s="409">
        <f t="shared" si="4"/>
        <v>92</v>
      </c>
      <c r="J40" s="409">
        <f t="shared" si="4"/>
        <v>108.75</v>
      </c>
      <c r="K40" s="409">
        <f t="shared" si="4"/>
        <v>122.5</v>
      </c>
      <c r="L40" s="409">
        <f t="shared" si="4"/>
        <v>133.5</v>
      </c>
      <c r="M40" s="409">
        <f t="shared" si="4"/>
        <v>142.75</v>
      </c>
      <c r="N40" s="409">
        <f t="shared" si="4"/>
        <v>152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0.13873199999999999</v>
      </c>
      <c r="AL40" s="423">
        <f t="shared" si="5"/>
        <v>0.27993000000000001</v>
      </c>
      <c r="AM40" s="423">
        <f t="shared" si="5"/>
        <v>0.41208500000000003</v>
      </c>
      <c r="AN40" s="423">
        <f t="shared" si="5"/>
        <v>0.55680600000000002</v>
      </c>
      <c r="AO40" s="423">
        <f t="shared" si="5"/>
        <v>0.69689500000000004</v>
      </c>
      <c r="AP40" s="423">
        <f t="shared" si="5"/>
        <v>0.83285700000000007</v>
      </c>
      <c r="AQ40" s="423">
        <f t="shared" si="5"/>
        <v>0.9904400000000001</v>
      </c>
      <c r="AR40" s="423">
        <f t="shared" si="5"/>
        <v>1.157877</v>
      </c>
      <c r="AS40" s="423">
        <f t="shared" si="5"/>
        <v>1.3167</v>
      </c>
      <c r="AT40" s="423">
        <f t="shared" si="5"/>
        <v>1.4566300000000001</v>
      </c>
      <c r="AU40" s="423">
        <f t="shared" si="5"/>
        <v>1.5950920000000002</v>
      </c>
      <c r="AV40" s="423">
        <f t="shared" si="5"/>
        <v>1.7340600000000002</v>
      </c>
      <c r="AW40" s="158"/>
      <c r="AX40" s="158"/>
      <c r="AY40" s="311" t="s">
        <v>94</v>
      </c>
      <c r="AZ40" s="458">
        <f>+VLOOKUP($A$1,data!$A$133:$BK$163,22)</f>
        <v>26.999856867417133</v>
      </c>
      <c r="BA40" s="458">
        <f>+$AZ$40</f>
        <v>26.999856867417133</v>
      </c>
      <c r="BB40" s="458">
        <f t="shared" ref="BB40:BO40" si="6">+$AZ$40</f>
        <v>26.999856867417133</v>
      </c>
      <c r="BC40" s="458">
        <f t="shared" si="6"/>
        <v>26.999856867417133</v>
      </c>
      <c r="BD40" s="458">
        <f t="shared" si="6"/>
        <v>26.999856867417133</v>
      </c>
      <c r="BE40" s="458">
        <f t="shared" si="6"/>
        <v>26.999856867417133</v>
      </c>
      <c r="BF40" s="458">
        <f t="shared" si="6"/>
        <v>26.999856867417133</v>
      </c>
      <c r="BG40" s="458">
        <f t="shared" si="6"/>
        <v>26.999856867417133</v>
      </c>
      <c r="BH40" s="458">
        <f t="shared" si="6"/>
        <v>26.999856867417133</v>
      </c>
      <c r="BI40" s="458">
        <f t="shared" si="6"/>
        <v>26.999856867417133</v>
      </c>
      <c r="BJ40" s="458">
        <f t="shared" si="6"/>
        <v>26.999856867417133</v>
      </c>
      <c r="BK40" s="458">
        <f t="shared" si="6"/>
        <v>26.999856867417133</v>
      </c>
      <c r="BL40" s="458">
        <f t="shared" si="6"/>
        <v>26.999856867417133</v>
      </c>
      <c r="BM40" s="458">
        <f t="shared" si="6"/>
        <v>26.999856867417133</v>
      </c>
      <c r="BN40" s="458">
        <f t="shared" si="6"/>
        <v>26.999856867417133</v>
      </c>
      <c r="BO40" s="458">
        <f t="shared" si="6"/>
        <v>26.999856867417133</v>
      </c>
    </row>
    <row r="41" spans="1:67" ht="21.75" thickBot="1" x14ac:dyDescent="0.4">
      <c r="A41"/>
      <c r="B41" s="413" t="s">
        <v>93</v>
      </c>
      <c r="C41" s="414">
        <f>+B20</f>
        <v>13</v>
      </c>
      <c r="D41" s="414">
        <f t="shared" si="4"/>
        <v>20</v>
      </c>
      <c r="E41" s="414">
        <f t="shared" si="4"/>
        <v>45</v>
      </c>
      <c r="F41" s="414">
        <f t="shared" si="4"/>
        <v>62</v>
      </c>
      <c r="G41" s="414">
        <f t="shared" si="4"/>
        <v>83</v>
      </c>
      <c r="H41" s="414">
        <f t="shared" si="4"/>
        <v>101</v>
      </c>
      <c r="I41" s="414">
        <f t="shared" si="4"/>
        <v>122</v>
      </c>
      <c r="J41" s="414">
        <f t="shared" si="4"/>
        <v>139</v>
      </c>
      <c r="K41" s="414">
        <f t="shared" si="4"/>
        <v>189</v>
      </c>
      <c r="L41" s="414">
        <f t="shared" si="4"/>
        <v>206</v>
      </c>
      <c r="M41" s="414">
        <f t="shared" si="4"/>
        <v>229</v>
      </c>
      <c r="N41" s="414">
        <f t="shared" si="4"/>
        <v>236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0.124324</v>
      </c>
      <c r="AL41" s="420">
        <f t="shared" si="5"/>
        <v>0.25651400000000002</v>
      </c>
      <c r="AM41" s="420">
        <f t="shared" si="5"/>
        <v>0.386208</v>
      </c>
      <c r="AN41" s="420">
        <f t="shared" si="5"/>
        <v>0.52249800000000002</v>
      </c>
      <c r="AO41" s="420">
        <f t="shared" si="5"/>
        <v>0.65349000000000002</v>
      </c>
      <c r="AP41" s="420">
        <f t="shared" si="5"/>
        <v>0.78538400000000008</v>
      </c>
      <c r="AQ41" s="420">
        <f t="shared" si="5"/>
        <v>0.94368500000000011</v>
      </c>
      <c r="AR41" s="420">
        <f t="shared" si="5"/>
        <v>1.0895940000000002</v>
      </c>
      <c r="AS41" s="420">
        <f t="shared" si="5"/>
        <v>1.2341210000000002</v>
      </c>
      <c r="AT41" s="420">
        <f t="shared" si="5"/>
        <v>1.3658870000000003</v>
      </c>
      <c r="AU41" s="420">
        <f t="shared" si="5"/>
        <v>1.5000200000000004</v>
      </c>
      <c r="AV41" s="420">
        <f t="shared" si="5"/>
        <v>1.6411160000000002</v>
      </c>
      <c r="AW41" s="158"/>
      <c r="AX41" s="158"/>
      <c r="AY41" s="315" t="s">
        <v>93</v>
      </c>
      <c r="AZ41" s="442">
        <f>+VLOOKUP($A$1,data!$A$133:$BK$163,3)</f>
        <v>25.533815222987798</v>
      </c>
      <c r="BA41" s="442">
        <f>+VLOOKUP($A$1,data!$A$133:$BK$163,4)</f>
        <v>26.519992526573045</v>
      </c>
      <c r="BB41" s="442">
        <f>+VLOOKUP($A$1,data!$A$133:$BK$163,5)</f>
        <v>28.41692582537544</v>
      </c>
      <c r="BC41" s="442">
        <f>+VLOOKUP($A$1,data!$A$133:$BK$163,6)</f>
        <v>26.858859258190293</v>
      </c>
      <c r="BD41" s="442">
        <f>+VLOOKUP($A$1,data!$A$133:$BK$163,7)</f>
        <v>31.103419907366341</v>
      </c>
      <c r="BE41" s="442">
        <f>+VLOOKUP($A$1,data!$A$133:$BK$163,8)</f>
        <v>27.458309477891596</v>
      </c>
      <c r="BF41" s="442">
        <f>+VLOOKUP($A$1,data!$A$133:$BK$163,9)</f>
        <v>28.540118492595383</v>
      </c>
      <c r="BG41" s="442">
        <f>+VLOOKUP($A$1,data!$A$133:$BK$163,10)</f>
        <v>28.012263195025096</v>
      </c>
      <c r="BH41" s="442">
        <f>+VLOOKUP($A$1,data!$A$133:$BK$163,11)</f>
        <v>25.056211025289198</v>
      </c>
      <c r="BI41" s="442">
        <f>+VLOOKUP($A$1,data!$A$133:$BK$163,12)</f>
        <v>25.706762392466175</v>
      </c>
      <c r="BJ41" s="442">
        <f>+VLOOKUP($A$1,data!$A$133:$BK$163,13)</f>
        <v>21.780916691683665</v>
      </c>
      <c r="BK41" s="442">
        <f>+VLOOKUP($A$1,data!$A$133:$BK$163,14)</f>
        <v>26.688064501841176</v>
      </c>
      <c r="BL41" s="442">
        <f>+VLOOKUP($A$1,data!$A$133:$BK$163,15)</f>
        <v>26.375425310126037</v>
      </c>
      <c r="BM41" s="442">
        <f>+VLOOKUP($A$1,data!$A$133:$BK$163,16)</f>
        <v>26.993362384749602</v>
      </c>
      <c r="BN41" s="442">
        <f>+VLOOKUP($A$1,data!$A$133:$BK$163,17)</f>
        <v>24.066544993892585</v>
      </c>
      <c r="BO41" s="442">
        <f>+VLOOKUP($A$1,data!$A$133:$BK$163,18)</f>
        <v>26.470459778382917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28.601385141217417</v>
      </c>
      <c r="BA43" s="826">
        <f>+VLOOKUP($A$1,data!$A$133:$BK$163,26)</f>
        <v>28.888637125529272</v>
      </c>
      <c r="BB43" s="473">
        <f>+AZ45-AZ43</f>
        <v>-2.1309253628344997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26.999856867417133</v>
      </c>
      <c r="BA44" s="830"/>
      <c r="BB44" s="472">
        <f>+AZ45-AZ44</f>
        <v>-0.5293970890342159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26.470459778382917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1010</v>
      </c>
      <c r="B47" s="817" t="str">
        <f>+VLOOKUP($A$1,data!$A$4:$AH$32,2,0)</f>
        <v>แม่ฮ่องสอน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1010</v>
      </c>
      <c r="T47" s="817" t="str">
        <f>+VLOOKUP($A$1,data!$A$4:$AH$32,2,0)</f>
        <v>แม่ฮ่องสอน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1010</v>
      </c>
      <c r="AJ47" s="817" t="str">
        <f>+VLOOKUP($A$1,data!$A$4:$AH$32,2,0)</f>
        <v>แม่ฮ่องสอน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2.6536103600000001</v>
      </c>
      <c r="C64" s="632">
        <f>+VLOOKUP($A$1,data!$A$165:$AU$195,36)</f>
        <v>2.6618553500000002</v>
      </c>
      <c r="D64" s="632">
        <f>+VLOOKUP($A$1,data!$A$165:$AU$195,37)</f>
        <v>2.7800196100000001</v>
      </c>
      <c r="E64" s="632">
        <f>+VLOOKUP($A$1,data!$A$165:$AU$195,38)</f>
        <v>2.7538604600000003</v>
      </c>
      <c r="F64" s="632">
        <f>+VLOOKUP($A$1,data!$A$165:$AU$195,39)</f>
        <v>2.71495971</v>
      </c>
      <c r="G64" s="632">
        <f>+VLOOKUP($A$1,data!$A$165:$AU$195,40)</f>
        <v>2.7072628400000003</v>
      </c>
      <c r="H64" s="632">
        <f>+VLOOKUP($A$1,data!$A$165:$AU$195,41)</f>
        <v>3.1160572199999996</v>
      </c>
      <c r="I64" s="632">
        <f>+VLOOKUP($A$1,data!$A$165:$AU$195,42)</f>
        <v>3.3927714</v>
      </c>
      <c r="J64" s="632">
        <f>+VLOOKUP($A$1,data!$A$165:$AU$195,43)</f>
        <v>3.1424285399999996</v>
      </c>
      <c r="K64" s="632">
        <f>+VLOOKUP($A$1,data!$A$165:$AU$195,44)</f>
        <v>2.62004489</v>
      </c>
      <c r="L64" s="632">
        <f>+VLOOKUP($A$1,data!$A$165:$AU$195,45)</f>
        <v>2.6424983299999996</v>
      </c>
      <c r="M64" s="632">
        <f>+VLOOKUP($A$1,data!$A$165:$AU$195,46)</f>
        <v>2.6730606100000003</v>
      </c>
      <c r="N64" s="632">
        <f>SUM(B64:M64)</f>
        <v>33.858429319999999</v>
      </c>
      <c r="O64" s="632">
        <f>SUM(B64:M64)</f>
        <v>33.858429319999999</v>
      </c>
      <c r="P64" s="635">
        <f>+O66-O64</f>
        <v>-0.44744866999999999</v>
      </c>
      <c r="S64" s="605" t="s">
        <v>92</v>
      </c>
      <c r="T64" s="640">
        <f>+VLOOKUP($A$1,data!$A$197:$AU$227,35)</f>
        <v>1.2192816500000001</v>
      </c>
      <c r="U64" s="640">
        <f>+VLOOKUP($A$1,data!$A$197:$AU$227,36)</f>
        <v>1.1836068400000002</v>
      </c>
      <c r="V64" s="640">
        <f>+VLOOKUP($A$1,data!$A$197:$AU$227,37)</f>
        <v>1.1678554800000001</v>
      </c>
      <c r="W64" s="640">
        <f>+VLOOKUP($A$1,data!$A$197:$AU$227,38)</f>
        <v>1.2045776499999998</v>
      </c>
      <c r="X64" s="640">
        <f>+VLOOKUP($A$1,data!$A$197:$AU$227,39)</f>
        <v>1.1515949000000001</v>
      </c>
      <c r="Y64" s="640">
        <f>+VLOOKUP($A$1,data!$A$197:$AU$227,40)</f>
        <v>1.25444877</v>
      </c>
      <c r="Z64" s="640">
        <f>+VLOOKUP($A$1,data!$A$197:$AU$227,41)</f>
        <v>1.12819677</v>
      </c>
      <c r="AA64" s="640">
        <f>+VLOOKUP($A$1,data!$A$197:$AU$227,42)</f>
        <v>1.2165173200000001</v>
      </c>
      <c r="AB64" s="640">
        <f>+VLOOKUP($A$1,data!$A$197:$AU$227,43)</f>
        <v>1.28932307</v>
      </c>
      <c r="AC64" s="640">
        <f>+VLOOKUP($A$1,data!$A$197:$AU$227,44)</f>
        <v>1.1464895699999997</v>
      </c>
      <c r="AD64" s="640">
        <f>+VLOOKUP($A$1,data!$A$197:$AU$227,45)</f>
        <v>1.34429613</v>
      </c>
      <c r="AE64" s="640">
        <f>+VLOOKUP($A$1,data!$A$197:$AU$227,46)</f>
        <v>1.4946745500000005</v>
      </c>
      <c r="AF64" s="640">
        <f>SUM(T64:AE64)</f>
        <v>14.800862700000001</v>
      </c>
      <c r="AG64" s="640">
        <f>SUM(T64:AE64)</f>
        <v>14.800862700000001</v>
      </c>
      <c r="AH64" s="641">
        <f>+AG66-AG64</f>
        <v>-0.87221723999999945</v>
      </c>
      <c r="AI64" s="621" t="s">
        <v>92</v>
      </c>
      <c r="AJ64" s="648">
        <f>+B64-T64</f>
        <v>1.43432871</v>
      </c>
      <c r="AK64" s="648">
        <f t="shared" ref="AK64:AU66" si="7">+C64-U64</f>
        <v>1.47824851</v>
      </c>
      <c r="AL64" s="648">
        <f t="shared" si="7"/>
        <v>1.61216413</v>
      </c>
      <c r="AM64" s="648">
        <f t="shared" si="7"/>
        <v>1.5492828100000005</v>
      </c>
      <c r="AN64" s="648">
        <f t="shared" si="7"/>
        <v>1.5633648099999999</v>
      </c>
      <c r="AO64" s="648">
        <f t="shared" si="7"/>
        <v>1.4528140700000003</v>
      </c>
      <c r="AP64" s="648">
        <f t="shared" si="7"/>
        <v>1.9878604499999997</v>
      </c>
      <c r="AQ64" s="648">
        <f t="shared" si="7"/>
        <v>2.1762540799999996</v>
      </c>
      <c r="AR64" s="648">
        <f t="shared" si="7"/>
        <v>1.8531054699999996</v>
      </c>
      <c r="AS64" s="648">
        <f t="shared" si="7"/>
        <v>1.4735553200000002</v>
      </c>
      <c r="AT64" s="648">
        <f t="shared" si="7"/>
        <v>1.2982021999999995</v>
      </c>
      <c r="AU64" s="648">
        <f t="shared" si="7"/>
        <v>1.1783860599999998</v>
      </c>
      <c r="AV64" s="648">
        <f>SUM(AJ64:AU64)</f>
        <v>19.057566619999999</v>
      </c>
      <c r="AW64" s="648">
        <f>SUM(AJ64:AU64)</f>
        <v>19.057566619999999</v>
      </c>
      <c r="AX64" s="651">
        <f>+AW66-AW64</f>
        <v>0.42476857000000123</v>
      </c>
    </row>
    <row r="65" spans="1:50" ht="21.75" thickBot="1" x14ac:dyDescent="0.4">
      <c r="A65" s="538" t="s">
        <v>94</v>
      </c>
      <c r="B65" s="633">
        <f>+VLOOKUP($A$1,data!$A$165:$AU$195,19)</f>
        <v>2.8248440000000001</v>
      </c>
      <c r="C65" s="633">
        <f>+VLOOKUP($A$1,data!$A$165:$AU$195,20)</f>
        <v>2.8712810000000002</v>
      </c>
      <c r="D65" s="633">
        <f>+VLOOKUP($A$1,data!$A$165:$AU$195,21)</f>
        <v>2.7664149999999998</v>
      </c>
      <c r="E65" s="633">
        <f>+VLOOKUP($A$1,data!$A$165:$AU$195,22)</f>
        <v>2.9925899999999999</v>
      </c>
      <c r="F65" s="633">
        <f>+VLOOKUP($A$1,data!$A$165:$AU$195,23)</f>
        <v>2.8559920000000001</v>
      </c>
      <c r="G65" s="633">
        <f>+VLOOKUP($A$1,data!$A$165:$AU$195,24)</f>
        <v>2.788017</v>
      </c>
      <c r="H65" s="633">
        <f>+VLOOKUP($A$1,data!$A$165:$AU$195,25)</f>
        <v>3.1774140000000002</v>
      </c>
      <c r="I65" s="633">
        <f>+VLOOKUP($A$1,data!$A$165:$AU$195,26)</f>
        <v>3.4579650000000002</v>
      </c>
      <c r="J65" s="633">
        <f>+VLOOKUP($A$1,data!$A$165:$AU$195,27)</f>
        <v>3.2186210000000002</v>
      </c>
      <c r="K65" s="633">
        <f>+VLOOKUP($A$1,data!$A$165:$AU$195,28)</f>
        <v>2.8079480000000001</v>
      </c>
      <c r="L65" s="633">
        <f>+VLOOKUP($A$1,data!$A$165:$AU$195,29)</f>
        <v>2.7974350000000001</v>
      </c>
      <c r="M65" s="633">
        <f>+VLOOKUP($A$1,data!$A$165:$AU$195,30)</f>
        <v>2.8329490000000002</v>
      </c>
      <c r="N65" s="633">
        <f>SUM(B65:M65)</f>
        <v>35.391470999999996</v>
      </c>
      <c r="O65" s="636">
        <f t="shared" ref="O65:O66" si="8">SUM(B65:M65)</f>
        <v>35.391470999999996</v>
      </c>
      <c r="P65" s="637">
        <f>+O66-O65</f>
        <v>-1.9804903499999966</v>
      </c>
      <c r="S65" s="601" t="s">
        <v>94</v>
      </c>
      <c r="T65" s="642">
        <f>+VLOOKUP($A$1,data!$A$197:$AU$227,19)</f>
        <v>1.2167920000000001</v>
      </c>
      <c r="U65" s="642">
        <f>+VLOOKUP($A$1,data!$A$197:$AU$227,20)</f>
        <v>1.201397</v>
      </c>
      <c r="V65" s="642">
        <f>+VLOOKUP($A$1,data!$A$197:$AU$227,21)</f>
        <v>1.1506689999999999</v>
      </c>
      <c r="W65" s="642">
        <f>+VLOOKUP($A$1,data!$A$197:$AU$227,22)</f>
        <v>1.1728989999999999</v>
      </c>
      <c r="X65" s="642">
        <f>+VLOOKUP($A$1,data!$A$197:$AU$227,23)</f>
        <v>1.243997</v>
      </c>
      <c r="Y65" s="642">
        <f>+VLOOKUP($A$1,data!$A$197:$AU$227,24)</f>
        <v>1.2562979999999999</v>
      </c>
      <c r="Z65" s="642">
        <f>+VLOOKUP($A$1,data!$A$197:$AU$227,25)</f>
        <v>1.20729</v>
      </c>
      <c r="AA65" s="642">
        <f>+VLOOKUP($A$1,data!$A$197:$AU$227,26)</f>
        <v>1.2776050000000001</v>
      </c>
      <c r="AB65" s="642">
        <f>+VLOOKUP($A$1,data!$A$197:$AU$227,27)</f>
        <v>1.3336460000000001</v>
      </c>
      <c r="AC65" s="642">
        <f>+VLOOKUP($A$1,data!$A$197:$AU$227,28)</f>
        <v>1.2423360000000001</v>
      </c>
      <c r="AD65" s="642">
        <f>+VLOOKUP($A$1,data!$A$197:$AU$227,29)</f>
        <v>1.362052</v>
      </c>
      <c r="AE65" s="642">
        <f>+VLOOKUP($A$1,data!$A$197:$AU$227,30)</f>
        <v>1.427128</v>
      </c>
      <c r="AF65" s="642">
        <f>SUM(T65:AE65)</f>
        <v>15.092108999999999</v>
      </c>
      <c r="AG65" s="643">
        <f t="shared" ref="AG65:AG66" si="9">SUM(T65:AE65)</f>
        <v>15.092108999999999</v>
      </c>
      <c r="AH65" s="644">
        <f>+AG66-AG65</f>
        <v>-1.1634635399999969</v>
      </c>
      <c r="AI65" s="617" t="s">
        <v>94</v>
      </c>
      <c r="AJ65" s="649">
        <f>+B65-T65</f>
        <v>1.608052</v>
      </c>
      <c r="AK65" s="649">
        <f t="shared" si="7"/>
        <v>1.6698840000000001</v>
      </c>
      <c r="AL65" s="649">
        <f t="shared" si="7"/>
        <v>1.6157459999999999</v>
      </c>
      <c r="AM65" s="649">
        <f t="shared" si="7"/>
        <v>1.8196909999999999</v>
      </c>
      <c r="AN65" s="649">
        <f t="shared" si="7"/>
        <v>1.6119950000000001</v>
      </c>
      <c r="AO65" s="649">
        <f t="shared" si="7"/>
        <v>1.5317190000000001</v>
      </c>
      <c r="AP65" s="649">
        <f t="shared" si="7"/>
        <v>1.9701240000000002</v>
      </c>
      <c r="AQ65" s="649">
        <f t="shared" si="7"/>
        <v>2.1803600000000003</v>
      </c>
      <c r="AR65" s="649">
        <f t="shared" si="7"/>
        <v>1.8849750000000001</v>
      </c>
      <c r="AS65" s="649">
        <f t="shared" si="7"/>
        <v>1.565612</v>
      </c>
      <c r="AT65" s="649">
        <f t="shared" si="7"/>
        <v>1.4353830000000001</v>
      </c>
      <c r="AU65" s="649">
        <f t="shared" si="7"/>
        <v>1.4058210000000002</v>
      </c>
      <c r="AV65" s="649">
        <f>SUM(AJ65:AU65)</f>
        <v>20.299362000000002</v>
      </c>
      <c r="AW65" s="652">
        <f t="shared" ref="AW65:AW66" si="10">SUM(AJ65:AU65)</f>
        <v>20.299362000000002</v>
      </c>
      <c r="AX65" s="653">
        <f>+AW66-AW65</f>
        <v>-0.81702681000000155</v>
      </c>
    </row>
    <row r="66" spans="1:50" ht="21.75" thickBot="1" x14ac:dyDescent="0.4">
      <c r="A66" s="546" t="s">
        <v>93</v>
      </c>
      <c r="B66" s="634">
        <f>+VLOOKUP($A$1,data!$A$165:$AU$195,3)</f>
        <v>2.5373468000000003</v>
      </c>
      <c r="C66" s="634">
        <f>+VLOOKUP($A$1,data!$A$165:$AU$195,4)</f>
        <v>2.6764030999999999</v>
      </c>
      <c r="D66" s="634">
        <f>+VLOOKUP($A$1,data!$A$165:$AU$195,5)</f>
        <v>2.6534143200000004</v>
      </c>
      <c r="E66" s="634">
        <f>+VLOOKUP($A$1,data!$A$165:$AU$195,6)</f>
        <v>2.8080429599999994</v>
      </c>
      <c r="F66" s="634">
        <f>+VLOOKUP($A$1,data!$A$165:$AU$195,7)</f>
        <v>2.6737650500000001</v>
      </c>
      <c r="G66" s="634">
        <f>+VLOOKUP($A$1,data!$A$165:$AU$195,8)</f>
        <v>2.7065404900000001</v>
      </c>
      <c r="H66" s="634">
        <f>+VLOOKUP($A$1,data!$A$165:$AU$195,9)</f>
        <v>3.2250485900000001</v>
      </c>
      <c r="I66" s="634">
        <f>+VLOOKUP($A$1,data!$A$165:$AU$195,10)</f>
        <v>2.9914798600000005</v>
      </c>
      <c r="J66" s="634">
        <f>+VLOOKUP($A$1,data!$A$165:$AU$195,11)</f>
        <v>2.9518667400000003</v>
      </c>
      <c r="K66" s="634">
        <f>+VLOOKUP($A$1,data!$A$165:$AU$195,12)</f>
        <v>2.6520887700000002</v>
      </c>
      <c r="L66" s="634">
        <f>+VLOOKUP($A$1,data!$A$165:$AU$195,13)</f>
        <v>2.6933382399999997</v>
      </c>
      <c r="M66" s="634">
        <f>+VLOOKUP($A$1,data!$A$165:$AU$195,14)</f>
        <v>2.8416457300000002</v>
      </c>
      <c r="N66" s="634">
        <f>SUM(B66:M66)</f>
        <v>33.410980649999999</v>
      </c>
      <c r="O66" s="638">
        <f t="shared" si="8"/>
        <v>33.410980649999999</v>
      </c>
      <c r="P66" s="639"/>
      <c r="S66" s="608" t="s">
        <v>93</v>
      </c>
      <c r="T66" s="645">
        <f>+VLOOKUP($A$1,data!$A$197:$AU$227,3)</f>
        <v>1.16295298</v>
      </c>
      <c r="U66" s="645">
        <f>+VLOOKUP($A$1,data!$A$197:$AU$227,4)</f>
        <v>1.1293411899999999</v>
      </c>
      <c r="V66" s="645">
        <f>+VLOOKUP($A$1,data!$A$197:$AU$227,5)</f>
        <v>1.3525438000000001</v>
      </c>
      <c r="W66" s="645">
        <f>+VLOOKUP($A$1,data!$A$197:$AU$227,6)</f>
        <v>1.0035644000000001</v>
      </c>
      <c r="X66" s="645">
        <f>+VLOOKUP($A$1,data!$A$197:$AU$227,7)</f>
        <v>1.00755544</v>
      </c>
      <c r="Y66" s="645">
        <f>+VLOOKUP($A$1,data!$A$197:$AU$227,8)</f>
        <v>1.1205479299999996</v>
      </c>
      <c r="Z66" s="645">
        <f>+VLOOKUP($A$1,data!$A$197:$AU$227,9)</f>
        <v>1.1563712200000003</v>
      </c>
      <c r="AA66" s="645">
        <f>+VLOOKUP($A$1,data!$A$197:$AU$227,10)</f>
        <v>1.1189005299999999</v>
      </c>
      <c r="AB66" s="645">
        <f>+VLOOKUP($A$1,data!$A$197:$AU$227,11)</f>
        <v>1.1152346000000002</v>
      </c>
      <c r="AC66" s="645">
        <f>+VLOOKUP($A$1,data!$A$197:$AU$227,12)</f>
        <v>1.1817306999999999</v>
      </c>
      <c r="AD66" s="645">
        <f>+VLOOKUP($A$1,data!$A$197:$AU$227,13)</f>
        <v>1.2032175799999998</v>
      </c>
      <c r="AE66" s="645">
        <f>+VLOOKUP($A$1,data!$A$197:$AU$227,14)</f>
        <v>1.3766850900000001</v>
      </c>
      <c r="AF66" s="645">
        <f>SUM(T66:AE66)</f>
        <v>13.928645460000002</v>
      </c>
      <c r="AG66" s="646">
        <f t="shared" si="9"/>
        <v>13.928645460000002</v>
      </c>
      <c r="AH66" s="647"/>
      <c r="AI66" s="624" t="s">
        <v>93</v>
      </c>
      <c r="AJ66" s="650">
        <f>+B66-T66</f>
        <v>1.3743938200000003</v>
      </c>
      <c r="AK66" s="650">
        <f t="shared" si="7"/>
        <v>1.54706191</v>
      </c>
      <c r="AL66" s="650">
        <f t="shared" si="7"/>
        <v>1.3008705200000004</v>
      </c>
      <c r="AM66" s="650">
        <f t="shared" si="7"/>
        <v>1.8044785599999993</v>
      </c>
      <c r="AN66" s="650">
        <f t="shared" si="7"/>
        <v>1.6662096100000001</v>
      </c>
      <c r="AO66" s="650">
        <f t="shared" si="7"/>
        <v>1.5859925600000004</v>
      </c>
      <c r="AP66" s="650">
        <f t="shared" si="7"/>
        <v>2.0686773699999996</v>
      </c>
      <c r="AQ66" s="650">
        <f t="shared" si="7"/>
        <v>1.8725793300000007</v>
      </c>
      <c r="AR66" s="650">
        <f t="shared" si="7"/>
        <v>1.8366321400000001</v>
      </c>
      <c r="AS66" s="650">
        <f>+K66-AC66</f>
        <v>1.4703580700000003</v>
      </c>
      <c r="AT66" s="650">
        <f>+L66-AD66</f>
        <v>1.4901206599999999</v>
      </c>
      <c r="AU66" s="650">
        <f>+M66-AE66</f>
        <v>1.4649606400000001</v>
      </c>
      <c r="AV66" s="650">
        <f>SUM(AJ66:AU66)</f>
        <v>19.482335190000001</v>
      </c>
      <c r="AW66" s="654">
        <f t="shared" si="10"/>
        <v>19.482335190000001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2.6536103600000001</v>
      </c>
      <c r="D85" s="628">
        <f t="shared" ref="D85:N87" si="11">+C85+C64</f>
        <v>5.3154657099999998</v>
      </c>
      <c r="E85" s="628">
        <f t="shared" si="11"/>
        <v>8.0954853199999999</v>
      </c>
      <c r="F85" s="628">
        <f t="shared" si="11"/>
        <v>10.84934578</v>
      </c>
      <c r="G85" s="628">
        <f t="shared" si="11"/>
        <v>13.564305490000001</v>
      </c>
      <c r="H85" s="628">
        <f t="shared" si="11"/>
        <v>16.271568330000001</v>
      </c>
      <c r="I85" s="628">
        <f t="shared" si="11"/>
        <v>19.387625549999999</v>
      </c>
      <c r="J85" s="628">
        <f t="shared" si="11"/>
        <v>22.78039695</v>
      </c>
      <c r="K85" s="628">
        <f t="shared" si="11"/>
        <v>25.922825490000001</v>
      </c>
      <c r="L85" s="628">
        <f t="shared" si="11"/>
        <v>28.54287038</v>
      </c>
      <c r="M85" s="628">
        <f t="shared" si="11"/>
        <v>31.185368709999999</v>
      </c>
      <c r="N85" s="628">
        <f t="shared" si="11"/>
        <v>33.858429319999999</v>
      </c>
      <c r="S85"/>
      <c r="T85" s="605" t="s">
        <v>92</v>
      </c>
      <c r="U85" s="640">
        <f>+T64</f>
        <v>1.2192816500000001</v>
      </c>
      <c r="V85" s="640">
        <f t="shared" ref="V85:AF87" si="12">+U85+U64</f>
        <v>2.4028884900000005</v>
      </c>
      <c r="W85" s="640">
        <f t="shared" si="12"/>
        <v>3.5707439700000005</v>
      </c>
      <c r="X85" s="640">
        <f t="shared" si="12"/>
        <v>4.7753216200000006</v>
      </c>
      <c r="Y85" s="640">
        <f t="shared" si="12"/>
        <v>5.9269165200000007</v>
      </c>
      <c r="Z85" s="640">
        <f t="shared" si="12"/>
        <v>7.1813652900000005</v>
      </c>
      <c r="AA85" s="640">
        <f t="shared" si="12"/>
        <v>8.3095620600000011</v>
      </c>
      <c r="AB85" s="640">
        <f t="shared" si="12"/>
        <v>9.5260793800000005</v>
      </c>
      <c r="AC85" s="640">
        <f t="shared" si="12"/>
        <v>10.815402450000001</v>
      </c>
      <c r="AD85" s="640">
        <f t="shared" si="12"/>
        <v>11.961892020000001</v>
      </c>
      <c r="AE85" s="640">
        <f t="shared" si="12"/>
        <v>13.306188150000001</v>
      </c>
      <c r="AF85" s="640">
        <f t="shared" si="12"/>
        <v>14.800862700000001</v>
      </c>
      <c r="AG85" s="158"/>
      <c r="AH85" s="158"/>
      <c r="AI85"/>
      <c r="AJ85" s="621" t="s">
        <v>92</v>
      </c>
      <c r="AK85" s="648">
        <f>+AJ64</f>
        <v>1.43432871</v>
      </c>
      <c r="AL85" s="648">
        <f t="shared" ref="AL85:AV87" si="13">+AK85+AK64</f>
        <v>2.9125772200000002</v>
      </c>
      <c r="AM85" s="648">
        <f t="shared" si="13"/>
        <v>4.5247413500000002</v>
      </c>
      <c r="AN85" s="648">
        <f t="shared" si="13"/>
        <v>6.0740241600000004</v>
      </c>
      <c r="AO85" s="648">
        <f t="shared" si="13"/>
        <v>7.6373889699999999</v>
      </c>
      <c r="AP85" s="648">
        <f t="shared" si="13"/>
        <v>9.0902030400000005</v>
      </c>
      <c r="AQ85" s="648">
        <f t="shared" si="13"/>
        <v>11.07806349</v>
      </c>
      <c r="AR85" s="648">
        <f t="shared" si="13"/>
        <v>13.25431757</v>
      </c>
      <c r="AS85" s="648">
        <f t="shared" si="13"/>
        <v>15.107423039999999</v>
      </c>
      <c r="AT85" s="648">
        <f t="shared" si="13"/>
        <v>16.58097836</v>
      </c>
      <c r="AU85" s="648">
        <f t="shared" si="13"/>
        <v>17.879180559999998</v>
      </c>
      <c r="AV85" s="648">
        <f t="shared" si="13"/>
        <v>19.057566619999999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2.8248440000000001</v>
      </c>
      <c r="D86" s="633">
        <f t="shared" si="11"/>
        <v>5.6961250000000003</v>
      </c>
      <c r="E86" s="633">
        <f t="shared" si="11"/>
        <v>8.4625400000000006</v>
      </c>
      <c r="F86" s="633">
        <f t="shared" si="11"/>
        <v>11.45513</v>
      </c>
      <c r="G86" s="633">
        <f t="shared" si="11"/>
        <v>14.311122000000001</v>
      </c>
      <c r="H86" s="633">
        <f t="shared" si="11"/>
        <v>17.099139000000001</v>
      </c>
      <c r="I86" s="633">
        <f t="shared" si="11"/>
        <v>20.276553</v>
      </c>
      <c r="J86" s="633">
        <f t="shared" si="11"/>
        <v>23.734518000000001</v>
      </c>
      <c r="K86" s="633">
        <f t="shared" si="11"/>
        <v>26.953139</v>
      </c>
      <c r="L86" s="633">
        <f t="shared" si="11"/>
        <v>29.761087</v>
      </c>
      <c r="M86" s="633">
        <f t="shared" si="11"/>
        <v>32.558521999999996</v>
      </c>
      <c r="N86" s="633">
        <f t="shared" si="11"/>
        <v>35.391470999999996</v>
      </c>
      <c r="S86"/>
      <c r="T86" s="601" t="s">
        <v>94</v>
      </c>
      <c r="U86" s="642">
        <f>+T65</f>
        <v>1.2167920000000001</v>
      </c>
      <c r="V86" s="642">
        <f t="shared" si="12"/>
        <v>2.4181889999999999</v>
      </c>
      <c r="W86" s="642">
        <f t="shared" si="12"/>
        <v>3.5688579999999996</v>
      </c>
      <c r="X86" s="642">
        <f t="shared" si="12"/>
        <v>4.7417569999999998</v>
      </c>
      <c r="Y86" s="642">
        <f t="shared" si="12"/>
        <v>5.985754</v>
      </c>
      <c r="Z86" s="642">
        <f t="shared" si="12"/>
        <v>7.2420520000000002</v>
      </c>
      <c r="AA86" s="642">
        <f t="shared" si="12"/>
        <v>8.4493419999999997</v>
      </c>
      <c r="AB86" s="642">
        <f t="shared" si="12"/>
        <v>9.7269469999999991</v>
      </c>
      <c r="AC86" s="642">
        <f t="shared" si="12"/>
        <v>11.060592999999999</v>
      </c>
      <c r="AD86" s="642">
        <f t="shared" si="12"/>
        <v>12.302928999999999</v>
      </c>
      <c r="AE86" s="642">
        <f t="shared" si="12"/>
        <v>13.664980999999999</v>
      </c>
      <c r="AF86" s="642">
        <f t="shared" si="12"/>
        <v>15.092108999999999</v>
      </c>
      <c r="AG86" s="158"/>
      <c r="AH86" s="158"/>
      <c r="AI86"/>
      <c r="AJ86" s="617" t="s">
        <v>94</v>
      </c>
      <c r="AK86" s="649">
        <f>+AJ65</f>
        <v>1.608052</v>
      </c>
      <c r="AL86" s="649">
        <f t="shared" si="13"/>
        <v>3.2779360000000004</v>
      </c>
      <c r="AM86" s="649">
        <f t="shared" si="13"/>
        <v>4.8936820000000001</v>
      </c>
      <c r="AN86" s="649">
        <f t="shared" si="13"/>
        <v>6.7133729999999998</v>
      </c>
      <c r="AO86" s="649">
        <f t="shared" si="13"/>
        <v>8.3253679999999992</v>
      </c>
      <c r="AP86" s="649">
        <f t="shared" si="13"/>
        <v>9.8570869999999999</v>
      </c>
      <c r="AQ86" s="649">
        <f t="shared" si="13"/>
        <v>11.827211</v>
      </c>
      <c r="AR86" s="649">
        <f t="shared" si="13"/>
        <v>14.007571</v>
      </c>
      <c r="AS86" s="649">
        <f t="shared" si="13"/>
        <v>15.892546000000001</v>
      </c>
      <c r="AT86" s="649">
        <f t="shared" si="13"/>
        <v>17.458158000000001</v>
      </c>
      <c r="AU86" s="649">
        <f t="shared" si="13"/>
        <v>18.893541000000003</v>
      </c>
      <c r="AV86" s="649">
        <f t="shared" si="13"/>
        <v>20.299362000000002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2.5373468000000003</v>
      </c>
      <c r="D87" s="629">
        <f t="shared" si="11"/>
        <v>5.2137498999999998</v>
      </c>
      <c r="E87" s="629">
        <f t="shared" si="11"/>
        <v>7.8671642200000003</v>
      </c>
      <c r="F87" s="629">
        <f t="shared" si="11"/>
        <v>10.675207179999999</v>
      </c>
      <c r="G87" s="629">
        <f t="shared" si="11"/>
        <v>13.348972229999999</v>
      </c>
      <c r="H87" s="629">
        <f t="shared" si="11"/>
        <v>16.055512719999999</v>
      </c>
      <c r="I87" s="629">
        <f t="shared" si="11"/>
        <v>19.28056131</v>
      </c>
      <c r="J87" s="629">
        <f t="shared" si="11"/>
        <v>22.272041170000001</v>
      </c>
      <c r="K87" s="629">
        <f t="shared" si="11"/>
        <v>25.223907910000001</v>
      </c>
      <c r="L87" s="629">
        <f t="shared" si="11"/>
        <v>27.87599668</v>
      </c>
      <c r="M87" s="629">
        <f t="shared" si="11"/>
        <v>30.569334919999999</v>
      </c>
      <c r="N87" s="629">
        <f t="shared" si="11"/>
        <v>33.410980649999999</v>
      </c>
      <c r="S87"/>
      <c r="T87" s="608" t="s">
        <v>93</v>
      </c>
      <c r="U87" s="645">
        <f>+T66</f>
        <v>1.16295298</v>
      </c>
      <c r="V87" s="645">
        <f t="shared" si="12"/>
        <v>2.2922941699999999</v>
      </c>
      <c r="W87" s="645">
        <f t="shared" si="12"/>
        <v>3.6448379700000002</v>
      </c>
      <c r="X87" s="645">
        <f t="shared" si="12"/>
        <v>4.6484023700000003</v>
      </c>
      <c r="Y87" s="645">
        <f t="shared" si="12"/>
        <v>5.6559578100000003</v>
      </c>
      <c r="Z87" s="645">
        <f t="shared" si="12"/>
        <v>6.7765057400000002</v>
      </c>
      <c r="AA87" s="645">
        <f t="shared" si="12"/>
        <v>7.9328769600000006</v>
      </c>
      <c r="AB87" s="645">
        <f t="shared" si="12"/>
        <v>9.051777490000001</v>
      </c>
      <c r="AC87" s="645">
        <f t="shared" si="12"/>
        <v>10.167012090000002</v>
      </c>
      <c r="AD87" s="645">
        <f t="shared" si="12"/>
        <v>11.348742790000001</v>
      </c>
      <c r="AE87" s="645">
        <f t="shared" si="12"/>
        <v>12.551960370000002</v>
      </c>
      <c r="AF87" s="645">
        <f t="shared" si="12"/>
        <v>13.928645460000002</v>
      </c>
      <c r="AG87" s="158"/>
      <c r="AH87" s="158"/>
      <c r="AI87"/>
      <c r="AJ87" s="624" t="s">
        <v>93</v>
      </c>
      <c r="AK87" s="650">
        <f>+AJ66</f>
        <v>1.3743938200000003</v>
      </c>
      <c r="AL87" s="650">
        <f t="shared" si="13"/>
        <v>2.9214557300000004</v>
      </c>
      <c r="AM87" s="650">
        <f t="shared" si="13"/>
        <v>4.2223262500000009</v>
      </c>
      <c r="AN87" s="650">
        <f t="shared" si="13"/>
        <v>6.0268048099999998</v>
      </c>
      <c r="AO87" s="650">
        <f t="shared" si="13"/>
        <v>7.6930144199999999</v>
      </c>
      <c r="AP87" s="650">
        <f t="shared" si="13"/>
        <v>9.2790069800000001</v>
      </c>
      <c r="AQ87" s="650">
        <f t="shared" si="13"/>
        <v>11.34768435</v>
      </c>
      <c r="AR87" s="650">
        <f t="shared" si="13"/>
        <v>13.22026368</v>
      </c>
      <c r="AS87" s="650">
        <f t="shared" si="13"/>
        <v>15.056895820000001</v>
      </c>
      <c r="AT87" s="650">
        <f t="shared" si="13"/>
        <v>16.527253890000001</v>
      </c>
      <c r="AU87" s="650">
        <f t="shared" si="13"/>
        <v>18.01737455</v>
      </c>
      <c r="AV87" s="650">
        <f t="shared" si="13"/>
        <v>19.482335190000001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302" priority="15" operator="lessThan">
      <formula>0</formula>
    </cfRule>
  </conditionalFormatting>
  <conditionalFormatting sqref="O41">
    <cfRule type="cellIs" dxfId="301" priority="14" operator="lessThan">
      <formula>0</formula>
    </cfRule>
  </conditionalFormatting>
  <conditionalFormatting sqref="AX18:AX22">
    <cfRule type="cellIs" dxfId="300" priority="13" operator="lessThan">
      <formula>0</formula>
    </cfRule>
  </conditionalFormatting>
  <conditionalFormatting sqref="BN21:BN22">
    <cfRule type="cellIs" dxfId="299" priority="12" operator="lessThan">
      <formula>0</formula>
    </cfRule>
  </conditionalFormatting>
  <conditionalFormatting sqref="BB43:BB46">
    <cfRule type="cellIs" dxfId="298" priority="11" operator="greaterThan">
      <formula>0</formula>
    </cfRule>
  </conditionalFormatting>
  <conditionalFormatting sqref="AX18:AX20">
    <cfRule type="cellIs" dxfId="297" priority="10" operator="lessThan">
      <formula>0</formula>
    </cfRule>
  </conditionalFormatting>
  <conditionalFormatting sqref="BN18:BN20">
    <cfRule type="cellIs" dxfId="296" priority="9" operator="greaterThan">
      <formula>0</formula>
    </cfRule>
  </conditionalFormatting>
  <conditionalFormatting sqref="P18:P20">
    <cfRule type="cellIs" dxfId="295" priority="8" operator="lessThan">
      <formula>0</formula>
    </cfRule>
  </conditionalFormatting>
  <conditionalFormatting sqref="P67:P68">
    <cfRule type="cellIs" dxfId="294" priority="7" operator="lessThan">
      <formula>0</formula>
    </cfRule>
  </conditionalFormatting>
  <conditionalFormatting sqref="P64:P66">
    <cfRule type="cellIs" dxfId="293" priority="6" operator="lessThan">
      <formula>0</formula>
    </cfRule>
  </conditionalFormatting>
  <conditionalFormatting sqref="AH67:AH68">
    <cfRule type="cellIs" dxfId="292" priority="5" operator="lessThan">
      <formula>0</formula>
    </cfRule>
  </conditionalFormatting>
  <conditionalFormatting sqref="AH64:AH66">
    <cfRule type="cellIs" dxfId="291" priority="4" operator="greaterThan">
      <formula>0</formula>
    </cfRule>
  </conditionalFormatting>
  <conditionalFormatting sqref="AX67:AX68">
    <cfRule type="cellIs" dxfId="290" priority="3" operator="lessThan">
      <formula>0</formula>
    </cfRule>
  </conditionalFormatting>
  <conditionalFormatting sqref="AX64:AX66">
    <cfRule type="cellIs" dxfId="289" priority="2" operator="lessThan">
      <formula>0</formula>
    </cfRule>
  </conditionalFormatting>
  <conditionalFormatting sqref="S24:AH24 S21:T23 V21:AH23">
    <cfRule type="cellIs" dxfId="288" priority="1" operator="lessThan">
      <formula>0</formula>
    </cfRule>
  </conditionalFormatting>
  <pageMargins left="0.39370078740157483" right="0.19685039370078741" top="0.74803149606299213" bottom="0.21" header="0.31496062992125984" footer="0.31496062992125984"/>
  <pageSetup paperSize="9" scale="80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31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1011</v>
      </c>
      <c r="B3" s="807" t="str">
        <f>+VLOOKUP($A3,data!$A$4:$AH$32,2,0)</f>
        <v>แม่สะเรียง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4257</v>
      </c>
      <c r="C9" s="180">
        <f>+VLOOKUP($A$3,data!$A$4:$AH$32,8,0)/10^6</f>
        <v>0.65906100000000001</v>
      </c>
      <c r="D9" s="181">
        <f>+VLOOKUP($A$3,data!$A$4:$AH$32,9,0)</f>
        <v>0.43058222853045569</v>
      </c>
      <c r="E9" s="180">
        <f>+VLOOKUP($A$3,data!$A$4:$AH$32,10,0)/10^6</f>
        <v>9.0742195399999996</v>
      </c>
      <c r="F9" s="182">
        <f>+E9/C9</f>
        <v>13.768406171811106</v>
      </c>
      <c r="G9" s="179">
        <f>+VLOOKUP($A$3,data!$A$4:$AH$32,23,0)</f>
        <v>4456</v>
      </c>
      <c r="H9" s="180">
        <f>+VLOOKUP($A$3,data!$A$4:$AH$32,24,0)/10^6</f>
        <v>0.67269400000000001</v>
      </c>
      <c r="I9" s="181">
        <f>+VLOOKUP($A$3,data!$A$4:$AH$32,25,0)</f>
        <v>0.42304539430138244</v>
      </c>
      <c r="J9" s="180">
        <f>+VLOOKUP($A$3,data!$A$4:$AH$32,26,0)/10^6</f>
        <v>9.2132103999999977</v>
      </c>
      <c r="K9" s="182">
        <f>+J9/H9</f>
        <v>13.695990153026484</v>
      </c>
    </row>
    <row r="10" spans="1:12" ht="26.25" x14ac:dyDescent="0.4">
      <c r="A10" s="187" t="s">
        <v>4</v>
      </c>
      <c r="B10" s="189">
        <f>+B9/B20</f>
        <v>0.80548722800378425</v>
      </c>
      <c r="C10" s="190"/>
      <c r="D10" s="190"/>
      <c r="E10" s="190"/>
      <c r="F10" s="191"/>
      <c r="G10" s="189">
        <f>+G9/G20</f>
        <v>0.80885823198402618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767</v>
      </c>
      <c r="C13" s="180">
        <f>+VLOOKUP($A$3,data!$A$4:$AH$32,12,0)/10^6</f>
        <v>0.29358899999999999</v>
      </c>
      <c r="D13" s="181">
        <f>+VLOOKUP($A$3,data!$A$4:$AH$32,13,0)</f>
        <v>1.1079248273519755</v>
      </c>
      <c r="E13" s="180">
        <f>+VLOOKUP($A$3,data!$A$4:$AH$32,14,0)/10^6</f>
        <v>6.0315431999999998</v>
      </c>
      <c r="F13" s="182">
        <f>+E13/C13</f>
        <v>20.544172976507976</v>
      </c>
      <c r="G13" s="179">
        <f>+VLOOKUP($A$3,data!$A$4:$AH$32,27,0)</f>
        <v>798</v>
      </c>
      <c r="H13" s="180">
        <f>+VLOOKUP($A$3,data!$A$4:$AH$32,28,0)/10^6</f>
        <v>0.28626699999999999</v>
      </c>
      <c r="I13" s="181">
        <f>+VLOOKUP($A$3,data!$A$4:$AH$32,29,0)</f>
        <v>1.0022915663705196</v>
      </c>
      <c r="J13" s="180">
        <f>+VLOOKUP($A$3,data!$A$4:$AH$32,30,0)/10^6</f>
        <v>5.8702987499999999</v>
      </c>
      <c r="K13" s="182">
        <f>+J13/H13</f>
        <v>20.506376040549558</v>
      </c>
    </row>
    <row r="14" spans="1:12" ht="26.25" x14ac:dyDescent="0.4">
      <c r="A14" s="187" t="s">
        <v>29</v>
      </c>
      <c r="B14" s="189">
        <f>+B13/B20</f>
        <v>0.14512771996215704</v>
      </c>
      <c r="C14" s="190"/>
      <c r="D14" s="190"/>
      <c r="E14" s="190"/>
      <c r="F14" s="191"/>
      <c r="G14" s="189">
        <f>+G13/G20</f>
        <v>0.144853875476493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261</v>
      </c>
      <c r="C17" s="180">
        <f>+VLOOKUP($A$3,data!$A$4:$AH$32,16,0)/10^6</f>
        <v>0.13683899999999999</v>
      </c>
      <c r="D17" s="181">
        <f>+VLOOKUP($A$3,data!$A$4:$AH$32,17,0)</f>
        <v>1.4789008673097186</v>
      </c>
      <c r="E17" s="180">
        <f>+VLOOKUP($A$3,data!$A$4:$AH$32,18,0)/10^6</f>
        <v>3.6456580999999999</v>
      </c>
      <c r="F17" s="182">
        <f>+E17/C17</f>
        <v>26.641952221223484</v>
      </c>
      <c r="G17" s="179">
        <f>+VLOOKUP($A$3,data!$A$4:$AH$32,31,0)</f>
        <v>255</v>
      </c>
      <c r="H17" s="180">
        <f>+VLOOKUP($A$3,data!$A$4:$AH$32,32,0)/10^6</f>
        <v>0.13941000000000001</v>
      </c>
      <c r="I17" s="181">
        <f>+VLOOKUP($A$3,data!$A$4:$AH$32,33,0)</f>
        <v>1.4804077731761709</v>
      </c>
      <c r="J17" s="180">
        <f>+VLOOKUP($A$3,data!$A$4:$AH$32,34,0)/10^6</f>
        <v>3.7138726499999999</v>
      </c>
      <c r="K17" s="182">
        <f>+J17/H17</f>
        <v>26.639930062405853</v>
      </c>
    </row>
    <row r="18" spans="1:11" ht="26.25" x14ac:dyDescent="0.4">
      <c r="A18" s="187" t="s">
        <v>30</v>
      </c>
      <c r="B18" s="189">
        <f>+B17/B20</f>
        <v>4.9385052034058657E-2</v>
      </c>
      <c r="C18" s="190"/>
      <c r="D18" s="190"/>
      <c r="E18" s="190"/>
      <c r="F18" s="191"/>
      <c r="G18" s="189">
        <f>+G17/G20</f>
        <v>4.6287892539480853E-2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5285</v>
      </c>
      <c r="C20" s="180">
        <f>+VLOOKUP($A$3,data!$A$4:$AH$32,4,0)/10^6</f>
        <v>1.0894889999999999</v>
      </c>
      <c r="D20" s="181">
        <f>+VLOOKUP($A$3,data!$A$4:$AH$32,5,0)</f>
        <v>0.57701553641272252</v>
      </c>
      <c r="E20" s="180">
        <f>+VLOOKUP($A$3,data!$A$4:$AH$32,6,0)/10^6</f>
        <v>18.751420840000005</v>
      </c>
      <c r="F20" s="182">
        <f>+E20/C20</f>
        <v>17.211207125542348</v>
      </c>
      <c r="G20" s="179">
        <f>+VLOOKUP($A$3,data!$A$4:$AH$32,19,0)</f>
        <v>5509</v>
      </c>
      <c r="H20" s="180">
        <f>+VLOOKUP($A$3,data!$A$4:$AH$32,20,0)/10^6</f>
        <v>1.098371</v>
      </c>
      <c r="I20" s="181">
        <f>+VLOOKUP($A$3,data!$A$4:$AH$32,21,0)</f>
        <v>0.55757561912884124</v>
      </c>
      <c r="J20" s="180">
        <f>+VLOOKUP($A$3,data!$A$4:$AH$32,22,0)/10^6</f>
        <v>18.7973818</v>
      </c>
      <c r="K20" s="182">
        <f>+J20/H20</f>
        <v>17.113872999196083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แม่สะเรียง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view="pageLayout" zoomScale="70" zoomScaleNormal="100" zoomScalePageLayoutView="70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6.75" style="158" bestFit="1" customWidth="1"/>
    <col min="3" max="3" width="5.625" style="158" bestFit="1" customWidth="1"/>
    <col min="4" max="4" width="5.75" style="158" bestFit="1" customWidth="1"/>
    <col min="5" max="5" width="5.625" style="158" bestFit="1" customWidth="1"/>
    <col min="6" max="6" width="5.75" style="158" bestFit="1" customWidth="1"/>
    <col min="7" max="7" width="6.125" style="158" bestFit="1" customWidth="1"/>
    <col min="8" max="8" width="6.875" style="158" bestFit="1" customWidth="1"/>
    <col min="9" max="11" width="6.75" style="158" bestFit="1" customWidth="1"/>
    <col min="12" max="14" width="6.8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40" width="7.25" style="158" customWidth="1"/>
    <col min="41" max="46" width="7.25" customWidth="1"/>
    <col min="47" max="48" width="6.875" bestFit="1" customWidth="1"/>
    <col min="49" max="49" width="8.25" bestFit="1" customWidth="1"/>
    <col min="50" max="50" width="6.875" bestFit="1" customWidth="1"/>
    <col min="51" max="51" width="8.375" customWidth="1"/>
    <col min="52" max="67" width="6.75" style="720" bestFit="1" customWidth="1"/>
  </cols>
  <sheetData>
    <row r="1" spans="1:66" ht="27" thickBot="1" x14ac:dyDescent="0.3">
      <c r="A1" s="248">
        <v>1011</v>
      </c>
      <c r="B1" s="817" t="str">
        <f>+VLOOKUP($A$1,data!$A$4:$AH$32,2,0)</f>
        <v>แม่สะเรียง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1011</v>
      </c>
      <c r="T1" s="817" t="str">
        <f>+VLOOKUP($A$1,data!$A$4:$AH$32,2,0)</f>
        <v>แม่สะเรียง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1011</v>
      </c>
      <c r="AJ1" s="817" t="str">
        <f>+VLOOKUP($A$1,data!$A$4:$AH$32,2,0)</f>
        <v>แม่สะเรียง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1011</v>
      </c>
      <c r="AZ1" s="874" t="str">
        <f>+VLOOKUP($A$1,data!$A$4:$AH$32,2,0)</f>
        <v>แม่สะเรียง</v>
      </c>
      <c r="BA1" s="875"/>
      <c r="BB1" s="875"/>
      <c r="BC1" s="875"/>
      <c r="BD1" s="875"/>
      <c r="BE1" s="875"/>
      <c r="BF1" s="875"/>
      <c r="BG1" s="875"/>
      <c r="BH1" s="875"/>
      <c r="BI1" s="876"/>
      <c r="BJ1" s="874" t="s">
        <v>114</v>
      </c>
      <c r="BK1" s="875"/>
      <c r="BL1" s="875"/>
      <c r="BM1" s="875"/>
      <c r="BN1" s="877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721"/>
      <c r="BA2" s="721"/>
      <c r="BB2" s="721"/>
      <c r="BC2" s="721"/>
      <c r="BD2" s="721"/>
      <c r="BE2" s="721"/>
      <c r="BF2" s="721"/>
      <c r="BG2" s="721"/>
      <c r="BH2" s="721"/>
      <c r="BI2" s="721"/>
      <c r="BJ2" s="721"/>
      <c r="BK2" s="721"/>
      <c r="BL2" s="721"/>
      <c r="BM2" s="721"/>
      <c r="BN2" s="721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721"/>
      <c r="BA3" s="721"/>
      <c r="BB3" s="721"/>
      <c r="BC3" s="721"/>
      <c r="BD3" s="721"/>
      <c r="BE3" s="721"/>
      <c r="BF3" s="721"/>
      <c r="BG3" s="721"/>
      <c r="BH3" s="721"/>
      <c r="BI3" s="721"/>
      <c r="BJ3" s="721"/>
      <c r="BK3" s="721"/>
      <c r="BL3" s="721"/>
      <c r="BM3" s="721"/>
      <c r="BN3" s="721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721"/>
      <c r="BA4" s="721"/>
      <c r="BB4" s="721"/>
      <c r="BC4" s="721"/>
      <c r="BD4" s="721"/>
      <c r="BE4" s="721"/>
      <c r="BF4" s="721"/>
      <c r="BG4" s="721"/>
      <c r="BH4" s="721"/>
      <c r="BI4" s="721"/>
      <c r="BJ4" s="721"/>
      <c r="BK4" s="721"/>
      <c r="BL4" s="721"/>
      <c r="BM4" s="721"/>
      <c r="BN4" s="721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721"/>
      <c r="BA5" s="721"/>
      <c r="BB5" s="721"/>
      <c r="BC5" s="721"/>
      <c r="BD5" s="721"/>
      <c r="BE5" s="721"/>
      <c r="BF5" s="721"/>
      <c r="BG5" s="721"/>
      <c r="BH5" s="721"/>
      <c r="BI5" s="721"/>
      <c r="BJ5" s="721"/>
      <c r="BK5" s="721"/>
      <c r="BL5" s="721"/>
      <c r="BM5" s="721"/>
      <c r="BN5" s="721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721"/>
      <c r="BA6" s="721"/>
      <c r="BB6" s="721"/>
      <c r="BC6" s="721"/>
      <c r="BD6" s="721"/>
      <c r="BE6" s="721"/>
      <c r="BF6" s="721"/>
      <c r="BG6" s="721"/>
      <c r="BH6" s="721"/>
      <c r="BI6" s="721"/>
      <c r="BJ6" s="721"/>
      <c r="BK6" s="721"/>
      <c r="BL6" s="721"/>
      <c r="BM6" s="721"/>
      <c r="BN6" s="721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721"/>
      <c r="BA7" s="721"/>
      <c r="BB7" s="721"/>
      <c r="BC7" s="721"/>
      <c r="BD7" s="721"/>
      <c r="BE7" s="721"/>
      <c r="BF7" s="721"/>
      <c r="BG7" s="721"/>
      <c r="BH7" s="721"/>
      <c r="BI7" s="721"/>
      <c r="BJ7" s="721"/>
      <c r="BK7" s="721"/>
      <c r="BL7" s="721"/>
      <c r="BM7" s="721"/>
      <c r="BN7" s="721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721"/>
      <c r="BA8" s="721"/>
      <c r="BB8" s="721"/>
      <c r="BC8" s="721"/>
      <c r="BD8" s="721"/>
      <c r="BE8" s="721"/>
      <c r="BF8" s="721"/>
      <c r="BG8" s="721"/>
      <c r="BH8" s="721"/>
      <c r="BI8" s="721"/>
      <c r="BJ8" s="721"/>
      <c r="BK8" s="721"/>
      <c r="BL8" s="721"/>
      <c r="BM8" s="721"/>
      <c r="BN8" s="721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721"/>
      <c r="BA9" s="721"/>
      <c r="BB9" s="721"/>
      <c r="BC9" s="721"/>
      <c r="BD9" s="721"/>
      <c r="BE9" s="721"/>
      <c r="BF9" s="721"/>
      <c r="BG9" s="721"/>
      <c r="BH9" s="721"/>
      <c r="BI9" s="721"/>
      <c r="BJ9" s="721"/>
      <c r="BK9" s="721"/>
      <c r="BL9" s="721"/>
      <c r="BM9" s="721"/>
      <c r="BN9" s="721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721"/>
      <c r="BA10" s="721"/>
      <c r="BB10" s="721"/>
      <c r="BC10" s="721"/>
      <c r="BD10" s="721"/>
      <c r="BE10" s="721"/>
      <c r="BF10" s="721"/>
      <c r="BG10" s="721"/>
      <c r="BH10" s="721"/>
      <c r="BI10" s="721"/>
      <c r="BJ10" s="721"/>
      <c r="BK10" s="721"/>
      <c r="BL10" s="721"/>
      <c r="BM10" s="721"/>
      <c r="BN10" s="721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721"/>
      <c r="BA11" s="721"/>
      <c r="BB11" s="721"/>
      <c r="BC11" s="721"/>
      <c r="BD11" s="721"/>
      <c r="BE11" s="721"/>
      <c r="BF11" s="721"/>
      <c r="BG11" s="721"/>
      <c r="BH11" s="721"/>
      <c r="BI11" s="721"/>
      <c r="BJ11" s="721"/>
      <c r="BK11" s="721"/>
      <c r="BL11" s="721"/>
      <c r="BM11" s="721"/>
      <c r="BN11" s="721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721"/>
      <c r="BA12" s="721"/>
      <c r="BB12" s="721"/>
      <c r="BC12" s="721"/>
      <c r="BD12" s="721"/>
      <c r="BE12" s="721"/>
      <c r="BF12" s="721"/>
      <c r="BG12" s="721"/>
      <c r="BH12" s="721"/>
      <c r="BI12" s="721"/>
      <c r="BJ12" s="721"/>
      <c r="BK12" s="721"/>
      <c r="BL12" s="721"/>
      <c r="BM12" s="721"/>
      <c r="BN12" s="721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721"/>
      <c r="BA13" s="721"/>
      <c r="BB13" s="721"/>
      <c r="BC13" s="721"/>
      <c r="BD13" s="721"/>
      <c r="BE13" s="721"/>
      <c r="BF13" s="721"/>
      <c r="BG13" s="721"/>
      <c r="BH13" s="721"/>
      <c r="BI13" s="721"/>
      <c r="BJ13" s="721"/>
      <c r="BK13" s="721"/>
      <c r="BL13" s="721"/>
      <c r="BM13" s="721"/>
      <c r="BN13" s="721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721"/>
      <c r="BA14" s="721"/>
      <c r="BB14" s="721"/>
      <c r="BC14" s="721"/>
      <c r="BD14" s="721"/>
      <c r="BE14" s="721"/>
      <c r="BF14" s="721"/>
      <c r="BG14" s="721"/>
      <c r="BH14" s="721"/>
      <c r="BI14" s="721"/>
      <c r="BJ14" s="721"/>
      <c r="BK14" s="721"/>
      <c r="BL14" s="721"/>
      <c r="BM14" s="721"/>
      <c r="BN14" s="721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721"/>
      <c r="BA15" s="721"/>
      <c r="BB15" s="721"/>
      <c r="BC15" s="721"/>
      <c r="BD15" s="721"/>
      <c r="BE15" s="721"/>
      <c r="BF15" s="721"/>
      <c r="BG15" s="721"/>
      <c r="BH15" s="721"/>
      <c r="BI15" s="721"/>
      <c r="BJ15" s="721"/>
      <c r="BK15" s="721"/>
      <c r="BL15" s="721"/>
      <c r="BM15" s="721"/>
      <c r="BN15" s="721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72" t="s">
        <v>74</v>
      </c>
      <c r="BA16" s="872" t="s">
        <v>75</v>
      </c>
      <c r="BB16" s="872" t="s">
        <v>76</v>
      </c>
      <c r="BC16" s="872" t="s">
        <v>77</v>
      </c>
      <c r="BD16" s="872" t="s">
        <v>78</v>
      </c>
      <c r="BE16" s="872" t="s">
        <v>79</v>
      </c>
      <c r="BF16" s="872" t="s">
        <v>80</v>
      </c>
      <c r="BG16" s="872" t="s">
        <v>81</v>
      </c>
      <c r="BH16" s="872" t="s">
        <v>82</v>
      </c>
      <c r="BI16" s="872" t="s">
        <v>83</v>
      </c>
      <c r="BJ16" s="872" t="s">
        <v>84</v>
      </c>
      <c r="BK16" s="872" t="s">
        <v>85</v>
      </c>
      <c r="BL16" s="872" t="s">
        <v>95</v>
      </c>
      <c r="BM16" s="722" t="s">
        <v>89</v>
      </c>
      <c r="BN16" s="722" t="s">
        <v>90</v>
      </c>
    </row>
    <row r="17" spans="1:67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73"/>
      <c r="BA17" s="873"/>
      <c r="BB17" s="873"/>
      <c r="BC17" s="873"/>
      <c r="BD17" s="873"/>
      <c r="BE17" s="873"/>
      <c r="BF17" s="873"/>
      <c r="BG17" s="873"/>
      <c r="BH17" s="873"/>
      <c r="BI17" s="873"/>
      <c r="BJ17" s="873"/>
      <c r="BK17" s="873"/>
      <c r="BL17" s="873"/>
      <c r="BM17" s="723" t="str">
        <f>+O17</f>
        <v>12 เดือน</v>
      </c>
      <c r="BN17" s="723" t="s">
        <v>91</v>
      </c>
    </row>
    <row r="18" spans="1:67" s="247" customFormat="1" ht="22.5" thickTop="1" thickBot="1" x14ac:dyDescent="0.4">
      <c r="A18" s="405" t="s">
        <v>92</v>
      </c>
      <c r="B18" s="406">
        <f>+VLOOKUP($A$1,data!$A$37:$AU$67,35)</f>
        <v>7</v>
      </c>
      <c r="C18" s="406">
        <f>+VLOOKUP($A$1,data!$A$37:$AU$67,36)</f>
        <v>18</v>
      </c>
      <c r="D18" s="406">
        <f>+VLOOKUP($A$1,data!$A$37:$AU$67,37)</f>
        <v>14</v>
      </c>
      <c r="E18" s="406">
        <f>+VLOOKUP($A$1,data!$A$37:$AU$67,38)</f>
        <v>13</v>
      </c>
      <c r="F18" s="406">
        <f>+VLOOKUP($A$1,data!$A$37:$AU$67,39)</f>
        <v>12</v>
      </c>
      <c r="G18" s="406">
        <f>+VLOOKUP($A$1,data!$A$37:$AU$67,40)</f>
        <v>22</v>
      </c>
      <c r="H18" s="406">
        <f>+VLOOKUP($A$1,data!$A$37:$AU$67,41)</f>
        <v>43</v>
      </c>
      <c r="I18" s="406">
        <f>+VLOOKUP($A$1,data!$A$37:$AU$67,42)</f>
        <v>36</v>
      </c>
      <c r="J18" s="406">
        <f>+VLOOKUP($A$1,data!$A$37:$AU$67,43)</f>
        <v>24</v>
      </c>
      <c r="K18" s="406">
        <f>+VLOOKUP($A$1,data!$A$37:$AU$67,44)</f>
        <v>23</v>
      </c>
      <c r="L18" s="406">
        <f>+VLOOKUP($A$1,data!$A$37:$AU$67,45)</f>
        <v>15</v>
      </c>
      <c r="M18" s="406">
        <f>+VLOOKUP($A$1,data!$A$37:$AU$67,46)</f>
        <v>9</v>
      </c>
      <c r="N18" s="406">
        <f>SUM(B18:M18)</f>
        <v>236</v>
      </c>
      <c r="O18" s="406">
        <f>SUM(B18:M18)</f>
        <v>236</v>
      </c>
      <c r="P18" s="407">
        <f>+O20-O18</f>
        <v>4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8.3058000000000007E-2</v>
      </c>
      <c r="AK18" s="418">
        <f>+VLOOKUP($A$1,data!$A$69:$AU$99,36)</f>
        <v>8.5696999999999995E-2</v>
      </c>
      <c r="AL18" s="418">
        <f>+VLOOKUP($A$1,data!$A$69:$AU$99,37)</f>
        <v>8.7051000000000003E-2</v>
      </c>
      <c r="AM18" s="418">
        <f>+VLOOKUP($A$1,data!$A$69:$AU$99,38)</f>
        <v>8.6094000000000004E-2</v>
      </c>
      <c r="AN18" s="418">
        <f>+VLOOKUP($A$1,data!$A$69:$AU$99,39)</f>
        <v>8.3330000000000001E-2</v>
      </c>
      <c r="AO18" s="418">
        <f>+VLOOKUP($A$1,data!$A$69:$AU$99,40)</f>
        <v>8.5700999999999999E-2</v>
      </c>
      <c r="AP18" s="418">
        <f>+VLOOKUP($A$1,data!$A$69:$AU$99,41)</f>
        <v>0.10006900000000001</v>
      </c>
      <c r="AQ18" s="418">
        <f>+VLOOKUP($A$1,data!$A$69:$AU$99,42)</f>
        <v>0.11809699999999999</v>
      </c>
      <c r="AR18" s="418">
        <f>+VLOOKUP($A$1,data!$A$69:$AU$99,43)</f>
        <v>0.103093</v>
      </c>
      <c r="AS18" s="418">
        <f>+VLOOKUP($A$1,data!$A$69:$AU$99,44)</f>
        <v>9.0393000000000001E-2</v>
      </c>
      <c r="AT18" s="418">
        <f>+VLOOKUP($A$1,data!$A$69:$AU$99,45)</f>
        <v>8.6309999999999998E-2</v>
      </c>
      <c r="AU18" s="418">
        <f>+VLOOKUP($A$1,data!$A$69:$AU$99,46)</f>
        <v>8.1112000000000004E-2</v>
      </c>
      <c r="AV18" s="418">
        <f>SUM(AJ18:AU18)</f>
        <v>1.0900050000000001</v>
      </c>
      <c r="AW18" s="418">
        <f>SUM(AJ18:AU18)</f>
        <v>1.0900050000000001</v>
      </c>
      <c r="AX18" s="419">
        <f>+AW20-AW18</f>
        <v>9.2599999999998239E-3</v>
      </c>
      <c r="AY18" s="308" t="s">
        <v>92</v>
      </c>
      <c r="AZ18" s="724">
        <f>+VLOOKUP($A$1,data!$A$101:$AU$131,35)</f>
        <v>1.7931199999999998E-2</v>
      </c>
      <c r="BA18" s="724">
        <f>+VLOOKUP($A$1,data!$A$101:$AU$131,36)</f>
        <v>1.5594479999999996E-2</v>
      </c>
      <c r="BB18" s="724">
        <f>+VLOOKUP($A$1,data!$A$101:$AU$131,37)</f>
        <v>1.243E-2</v>
      </c>
      <c r="BC18" s="724">
        <f>+VLOOKUP($A$1,data!$A$101:$AU$131,38)</f>
        <v>3.2176499999999942E-3</v>
      </c>
      <c r="BD18" s="724">
        <f>+VLOOKUP($A$1,data!$A$101:$AU$131,39)</f>
        <v>8.4543800000000044E-3</v>
      </c>
      <c r="BE18" s="724">
        <f>+VLOOKUP($A$1,data!$A$101:$AU$131,40)</f>
        <v>2.6433380000000006E-2</v>
      </c>
      <c r="BF18" s="724">
        <f>+VLOOKUP($A$1,data!$A$101:$AU$131,41)</f>
        <v>2.2697999999999999E-2</v>
      </c>
      <c r="BG18" s="724">
        <f>+VLOOKUP($A$1,data!$A$101:$AU$131,42)</f>
        <v>4.9291000000000057E-3</v>
      </c>
      <c r="BH18" s="724">
        <f>+VLOOKUP($A$1,data!$A$101:$AU$131,43)</f>
        <v>3.1266000000000059E-3</v>
      </c>
      <c r="BI18" s="724">
        <f>+VLOOKUP($A$1,data!$A$101:$AU$131,44)</f>
        <v>8.5349600000000064E-3</v>
      </c>
      <c r="BJ18" s="724">
        <f>+VLOOKUP($A$1,data!$A$101:$AU$131,45)</f>
        <v>6.8614600000000067E-3</v>
      </c>
      <c r="BK18" s="724">
        <f>+VLOOKUP($A$1,data!$A$101:$AU$131,46)</f>
        <v>9.3977400000000051E-3</v>
      </c>
      <c r="BL18" s="724">
        <f>SUM(AZ18:BK18)</f>
        <v>0.13960895000000004</v>
      </c>
      <c r="BM18" s="724">
        <f>SUM(AZ18:BK18)</f>
        <v>0.13960895000000004</v>
      </c>
      <c r="BN18" s="725">
        <f>+BM20-BM18</f>
        <v>-1.9023410000000074E-2</v>
      </c>
      <c r="BO18" s="726"/>
    </row>
    <row r="19" spans="1:67" s="247" customFormat="1" ht="19.5" customHeight="1" thickBot="1" x14ac:dyDescent="0.35">
      <c r="A19" s="408" t="s">
        <v>94</v>
      </c>
      <c r="B19" s="409">
        <f>+VLOOKUP($A$1,data!$A$37:$AU$67,19)</f>
        <v>11.748768472906406</v>
      </c>
      <c r="C19" s="409">
        <f>+VLOOKUP($A$1,data!$A$37:$AU$67,20)</f>
        <v>12.793103448275861</v>
      </c>
      <c r="D19" s="409">
        <f>+VLOOKUP($A$1,data!$A$37:$AU$67,21)</f>
        <v>10.182266009852217</v>
      </c>
      <c r="E19" s="409">
        <f>+VLOOKUP($A$1,data!$A$37:$AU$67,22)</f>
        <v>11.226600985221674</v>
      </c>
      <c r="F19" s="409">
        <f>+VLOOKUP($A$1,data!$A$37:$AU$67,23)</f>
        <v>11.226600985221674</v>
      </c>
      <c r="G19" s="409">
        <f>+VLOOKUP($A$1,data!$A$37:$AU$67,24)</f>
        <v>15.403940886699509</v>
      </c>
      <c r="H19" s="409">
        <f>+VLOOKUP($A$1,data!$A$37:$AU$67,25)</f>
        <v>21.147783251231527</v>
      </c>
      <c r="I19" s="409">
        <f>+VLOOKUP($A$1,data!$A$37:$AU$67,26)</f>
        <v>19.320197044334975</v>
      </c>
      <c r="J19" s="409">
        <f>+VLOOKUP($A$1,data!$A$37:$AU$67,27)</f>
        <v>12.270935960591133</v>
      </c>
      <c r="K19" s="409">
        <f>+VLOOKUP($A$1,data!$A$37:$AU$67,28)</f>
        <v>11.487684729064039</v>
      </c>
      <c r="L19" s="409">
        <f>+VLOOKUP($A$1,data!$A$37:$AU$67,29)</f>
        <v>13.315270935960591</v>
      </c>
      <c r="M19" s="409">
        <f>+VLOOKUP($A$1,data!$A$37:$AU$67,30)</f>
        <v>8.876847290640395</v>
      </c>
      <c r="N19" s="409">
        <f>SUM(B19:M19)</f>
        <v>159</v>
      </c>
      <c r="O19" s="630">
        <f t="shared" ref="O19:O20" si="0">SUM(B19:M19)</f>
        <v>159</v>
      </c>
      <c r="P19" s="412">
        <f>+O20-O19</f>
        <v>81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8.3546999999999996E-2</v>
      </c>
      <c r="AK19" s="423">
        <f>+VLOOKUP($A$1,data!$A$69:$AU$99,20)</f>
        <v>8.7759000000000004E-2</v>
      </c>
      <c r="AL19" s="423">
        <f>+VLOOKUP($A$1,data!$A$69:$AU$99,21)</f>
        <v>8.4616999999999998E-2</v>
      </c>
      <c r="AM19" s="423">
        <f>+VLOOKUP($A$1,data!$A$69:$AU$99,22)</f>
        <v>8.5347000000000006E-2</v>
      </c>
      <c r="AN19" s="423">
        <f>+VLOOKUP($A$1,data!$A$69:$AU$99,23)</f>
        <v>8.5128999999999996E-2</v>
      </c>
      <c r="AO19" s="423">
        <f>+VLOOKUP($A$1,data!$A$69:$AU$99,24)</f>
        <v>8.5389999999999994E-2</v>
      </c>
      <c r="AP19" s="423">
        <f>+VLOOKUP($A$1,data!$A$69:$AU$99,25)</f>
        <v>0.10113900000000001</v>
      </c>
      <c r="AQ19" s="423">
        <f>+VLOOKUP($A$1,data!$A$69:$AU$99,26)</f>
        <v>0.11154500000000001</v>
      </c>
      <c r="AR19" s="423">
        <f>+VLOOKUP($A$1,data!$A$69:$AU$99,27)</f>
        <v>0.103534</v>
      </c>
      <c r="AS19" s="423">
        <f>+VLOOKUP($A$1,data!$A$69:$AU$99,28)</f>
        <v>9.0684000000000001E-2</v>
      </c>
      <c r="AT19" s="423">
        <f>+VLOOKUP($A$1,data!$A$69:$AU$99,29)</f>
        <v>8.7586999999999998E-2</v>
      </c>
      <c r="AU19" s="423">
        <f>+VLOOKUP($A$1,data!$A$69:$AU$99,30)</f>
        <v>8.6490999999999998E-2</v>
      </c>
      <c r="AV19" s="423">
        <f>SUM(AJ19:AU19)</f>
        <v>1.0927690000000001</v>
      </c>
      <c r="AW19" s="424">
        <f t="shared" ref="AW19:AW20" si="1">SUM(AJ19:AU19)</f>
        <v>1.0927690000000001</v>
      </c>
      <c r="AX19" s="425">
        <f>+AW20-AW19</f>
        <v>6.4959999999998352E-3</v>
      </c>
      <c r="AY19" s="311" t="s">
        <v>94</v>
      </c>
      <c r="AZ19" s="727">
        <f>+VLOOKUP($A$1,data!$A$101:$AU$131,19)</f>
        <v>2.0049999999999998E-2</v>
      </c>
      <c r="BA19" s="727">
        <f>+VLOOKUP($A$1,data!$A$101:$AU$131,20)</f>
        <v>1.9758999999999999E-2</v>
      </c>
      <c r="BB19" s="727">
        <f>+VLOOKUP($A$1,data!$A$101:$AU$131,21)</f>
        <v>1.9266999999999999E-2</v>
      </c>
      <c r="BC19" s="727">
        <f>+VLOOKUP($A$1,data!$A$101:$AU$131,22)</f>
        <v>1.1681E-2</v>
      </c>
      <c r="BD19" s="727">
        <f>+VLOOKUP($A$1,data!$A$101:$AU$131,23)</f>
        <v>1.0496E-2</v>
      </c>
      <c r="BE19" s="727">
        <f>+VLOOKUP($A$1,data!$A$101:$AU$131,24)</f>
        <v>2.5356E-2</v>
      </c>
      <c r="BF19" s="727">
        <f>+VLOOKUP($A$1,data!$A$101:$AU$131,25)</f>
        <v>2.1316000000000002E-2</v>
      </c>
      <c r="BG19" s="727">
        <f>+VLOOKUP($A$1,data!$A$101:$AU$131,26)</f>
        <v>1.4049000000000001E-2</v>
      </c>
      <c r="BH19" s="727">
        <f>+VLOOKUP($A$1,data!$A$101:$AU$131,27)</f>
        <v>9.2169999999999995E-3</v>
      </c>
      <c r="BI19" s="727">
        <f>+VLOOKUP($A$1,data!$A$101:$AU$131,28)</f>
        <v>1.2513E-2</v>
      </c>
      <c r="BJ19" s="727">
        <f>+VLOOKUP($A$1,data!$A$101:$AU$131,29)</f>
        <v>1.4591E-2</v>
      </c>
      <c r="BK19" s="727">
        <f>+VLOOKUP($A$1,data!$A$101:$AU$131,30)</f>
        <v>1.4546999999999999E-2</v>
      </c>
      <c r="BL19" s="727">
        <f>SUM(AZ19:BK19)</f>
        <v>0.19284200000000001</v>
      </c>
      <c r="BM19" s="728">
        <f t="shared" ref="BM19:BM20" si="2">SUM(AZ19:BK19)</f>
        <v>0.19284200000000001</v>
      </c>
      <c r="BN19" s="729">
        <f>+BM20-BM19</f>
        <v>-7.225646000000005E-2</v>
      </c>
      <c r="BO19" s="726"/>
    </row>
    <row r="20" spans="1:67" s="247" customFormat="1" ht="19.5" thickBot="1" x14ac:dyDescent="0.35">
      <c r="A20" s="413" t="s">
        <v>93</v>
      </c>
      <c r="B20" s="414">
        <f>+VLOOKUP($A$1,data!$A$37:$AU$67,3)</f>
        <v>6</v>
      </c>
      <c r="C20" s="414">
        <f>+VLOOKUP($A$1,data!$A$37:$AU$67,4)</f>
        <v>12</v>
      </c>
      <c r="D20" s="414">
        <f>+VLOOKUP($A$1,data!$A$37:$AU$67,5)</f>
        <v>8</v>
      </c>
      <c r="E20" s="414">
        <f>+VLOOKUP($A$1,data!$A$37:$AU$67,6)</f>
        <v>20</v>
      </c>
      <c r="F20" s="414">
        <f>+VLOOKUP($A$1,data!$A$37:$AU$67,7)</f>
        <v>21</v>
      </c>
      <c r="G20" s="414">
        <f>+VLOOKUP($A$1,data!$A$37:$AU$67,8)</f>
        <v>54</v>
      </c>
      <c r="H20" s="414">
        <f>+VLOOKUP($A$1,data!$A$37:$AU$67,9)</f>
        <v>35</v>
      </c>
      <c r="I20" s="414">
        <f>+VLOOKUP($A$1,data!$A$37:$AU$67,10)</f>
        <v>25</v>
      </c>
      <c r="J20" s="414">
        <f>+VLOOKUP($A$1,data!$A$37:$AU$67,11)</f>
        <v>15</v>
      </c>
      <c r="K20" s="414">
        <f>+VLOOKUP($A$1,data!$A$37:$AU$67,12)</f>
        <v>8</v>
      </c>
      <c r="L20" s="414">
        <f>+VLOOKUP($A$1,data!$A$37:$AU$67,13)</f>
        <v>20</v>
      </c>
      <c r="M20" s="414">
        <f>+VLOOKUP($A$1,data!$A$37:$AU$67,14)</f>
        <v>16</v>
      </c>
      <c r="N20" s="414">
        <f>SUM(B20:M20)</f>
        <v>240</v>
      </c>
      <c r="O20" s="631">
        <f t="shared" si="0"/>
        <v>240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8.2790000000000002E-2</v>
      </c>
      <c r="AK20" s="420">
        <f>+VLOOKUP($A$1,data!$A$69:$AU$99,4)</f>
        <v>8.5692000000000004E-2</v>
      </c>
      <c r="AL20" s="420">
        <f>+VLOOKUP($A$1,data!$A$69:$AU$99,5)</f>
        <v>8.6360999999999993E-2</v>
      </c>
      <c r="AM20" s="420">
        <f>+VLOOKUP($A$1,data!$A$69:$AU$99,6)</f>
        <v>8.9906E-2</v>
      </c>
      <c r="AN20" s="420">
        <f>+VLOOKUP($A$1,data!$A$69:$AU$99,7)</f>
        <v>9.0666999999999998E-2</v>
      </c>
      <c r="AO20" s="420">
        <f>+VLOOKUP($A$1,data!$A$69:$AU$99,8)</f>
        <v>8.7433999999999998E-2</v>
      </c>
      <c r="AP20" s="420">
        <f>+VLOOKUP($A$1,data!$A$69:$AU$99,9)</f>
        <v>0.10587000000000001</v>
      </c>
      <c r="AQ20" s="420">
        <f>+VLOOKUP($A$1,data!$A$69:$AU$99,10)</f>
        <v>0.105934</v>
      </c>
      <c r="AR20" s="420">
        <f>+VLOOKUP($A$1,data!$A$69:$AU$99,11)</f>
        <v>9.9876999999999994E-2</v>
      </c>
      <c r="AS20" s="420">
        <f>+VLOOKUP($A$1,data!$A$69:$AU$99,12)</f>
        <v>8.6009000000000002E-2</v>
      </c>
      <c r="AT20" s="420">
        <f>+VLOOKUP($A$1,data!$A$69:$AU$99,13)</f>
        <v>9.0620999999999993E-2</v>
      </c>
      <c r="AU20" s="420">
        <f>+VLOOKUP($A$1,data!$A$69:$AU$99,14)</f>
        <v>8.8104000000000002E-2</v>
      </c>
      <c r="AV20" s="420">
        <f>SUM(AJ20:AU20)</f>
        <v>1.0992649999999999</v>
      </c>
      <c r="AW20" s="421">
        <f t="shared" si="1"/>
        <v>1.0992649999999999</v>
      </c>
      <c r="AX20" s="422"/>
      <c r="AY20" s="315" t="s">
        <v>93</v>
      </c>
      <c r="AZ20" s="730">
        <f>+VLOOKUP($A$1,data!$A$101:$AU$131,3)</f>
        <v>1.2192699999999997E-2</v>
      </c>
      <c r="BA20" s="730">
        <f>+VLOOKUP($A$1,data!$A$101:$AU$131,4)</f>
        <v>7.2420000000000002E-3</v>
      </c>
      <c r="BB20" s="730">
        <f>+VLOOKUP($A$1,data!$A$101:$AU$131,5)</f>
        <v>1.3375119999999996E-2</v>
      </c>
      <c r="BC20" s="730">
        <f>+VLOOKUP($A$1,data!$A$101:$AU$131,6)</f>
        <v>8.5912000000000124E-3</v>
      </c>
      <c r="BD20" s="730">
        <f>+VLOOKUP($A$1,data!$A$101:$AU$131,7)</f>
        <v>4.5219599999999915E-3</v>
      </c>
      <c r="BE20" s="730">
        <f>+VLOOKUP($A$1,data!$A$101:$AU$131,8)</f>
        <v>2.5351569999999993E-2</v>
      </c>
      <c r="BF20" s="730">
        <f>+VLOOKUP($A$1,data!$A$101:$AU$131,9)</f>
        <v>4.1031000000000062E-3</v>
      </c>
      <c r="BG20" s="730">
        <f>+VLOOKUP($A$1,data!$A$101:$AU$131,10)</f>
        <v>2.2358000000000031E-3</v>
      </c>
      <c r="BH20" s="730">
        <f>+VLOOKUP($A$1,data!$A$101:$AU$131,11)</f>
        <v>1.027199999999997E-3</v>
      </c>
      <c r="BI20" s="730">
        <f>+VLOOKUP($A$1,data!$A$101:$AU$131,12)</f>
        <v>1.8788539999999992E-2</v>
      </c>
      <c r="BJ20" s="730">
        <f>+VLOOKUP($A$1,data!$A$101:$AU$131,13)</f>
        <v>1.4986789999999993E-2</v>
      </c>
      <c r="BK20" s="730">
        <f>+VLOOKUP($A$1,data!$A$101:$AU$131,14)</f>
        <v>8.1695599999999976E-3</v>
      </c>
      <c r="BL20" s="730">
        <f>SUM(AZ20:BK20)</f>
        <v>0.12058553999999996</v>
      </c>
      <c r="BM20" s="731">
        <f t="shared" si="2"/>
        <v>0.12058553999999996</v>
      </c>
      <c r="BN20" s="732"/>
      <c r="BO20" s="726"/>
    </row>
    <row r="21" spans="1:67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33.724137931034484</v>
      </c>
      <c r="W21" s="671">
        <f>+VLOOKUP($A$1,data!$A$261:$AK$291,16)</f>
        <v>25</v>
      </c>
      <c r="X21" s="671">
        <f>+VLOOKUP($A$1,data!$A$261:$AK$291,36)</f>
        <v>71.581280788177338</v>
      </c>
      <c r="Y21" s="671">
        <f>+VLOOKUP($A$1,data!$A$261:$AK$291,17)</f>
        <v>106</v>
      </c>
      <c r="Z21" s="671">
        <f>+VLOOKUP($A$1,data!$A$261:$AK$291,37)</f>
        <v>123.32019704433498</v>
      </c>
      <c r="AA21" s="671">
        <f>+VLOOKUP($A$1,data!$A$261:$AK$291,18)</f>
        <v>181</v>
      </c>
      <c r="AB21" s="671">
        <f>+VLOOKUP($A$1,data!$A$261:$AK$291,34)</f>
        <v>155</v>
      </c>
      <c r="AC21" s="671">
        <f>+VLOOKUP($A$1,data!$A$261:$AK$291,15)</f>
        <v>224</v>
      </c>
      <c r="AD21" s="671">
        <f>+AA21-Z21</f>
        <v>57.679802955665025</v>
      </c>
      <c r="AE21" s="684">
        <f>+AC21-AB21</f>
        <v>69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733"/>
      <c r="BA21" s="733"/>
      <c r="BB21" s="733"/>
      <c r="BC21" s="733"/>
      <c r="BD21" s="733"/>
      <c r="BE21" s="733"/>
      <c r="BF21" s="733"/>
      <c r="BG21" s="733"/>
      <c r="BH21" s="733"/>
      <c r="BI21" s="733"/>
      <c r="BJ21" s="733"/>
      <c r="BK21" s="733"/>
      <c r="BL21" s="733"/>
      <c r="BM21" s="734"/>
      <c r="BN21" s="735"/>
      <c r="BO21" s="736"/>
    </row>
    <row r="22" spans="1:67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1</v>
      </c>
      <c r="W22" s="672">
        <f>+VLOOKUP($A$1,data!$A$229:$AK$259,16)</f>
        <v>1</v>
      </c>
      <c r="X22" s="672">
        <f>+VLOOKUP($A$1,data!$A$229:$AK$259,36)</f>
        <v>1</v>
      </c>
      <c r="Y22" s="672">
        <f>+VLOOKUP($A$1,data!$A$229:$AK$259,17)</f>
        <v>15</v>
      </c>
      <c r="Z22" s="672">
        <f>+VLOOKUP($A$1,data!$A$229:$AK$259,37)</f>
        <v>2</v>
      </c>
      <c r="AA22" s="672">
        <f>+VLOOKUP($A$1,data!$A$229:$AK$259,18)</f>
        <v>15</v>
      </c>
      <c r="AB22" s="672">
        <f>+VLOOKUP($A$1,data!$A$229:$AK$259,34)</f>
        <v>4</v>
      </c>
      <c r="AC22" s="765">
        <f>+VLOOKUP($A$1,data!$A$229:$AK$259,15)</f>
        <v>16</v>
      </c>
      <c r="AD22" s="671">
        <f>+AA22-Z22</f>
        <v>13</v>
      </c>
      <c r="AE22" s="685">
        <f>+AC22-AB22</f>
        <v>12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733"/>
      <c r="BA22" s="733"/>
      <c r="BB22" s="733"/>
      <c r="BC22" s="733"/>
      <c r="BD22" s="733"/>
      <c r="BE22" s="733"/>
      <c r="BF22" s="733"/>
      <c r="BG22" s="733"/>
      <c r="BH22" s="733"/>
      <c r="BI22" s="733"/>
      <c r="BJ22" s="733"/>
      <c r="BK22" s="733"/>
      <c r="BL22" s="733"/>
      <c r="BM22" s="734"/>
      <c r="BN22" s="735"/>
      <c r="BO22" s="736"/>
    </row>
    <row r="23" spans="1:67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34.724137931034484</v>
      </c>
      <c r="W23" s="689">
        <f t="shared" ref="W23:AC23" si="3">SUM(W21:W22)</f>
        <v>26</v>
      </c>
      <c r="X23" s="689">
        <f t="shared" si="3"/>
        <v>72.581280788177338</v>
      </c>
      <c r="Y23" s="689">
        <f t="shared" si="3"/>
        <v>121</v>
      </c>
      <c r="Z23" s="689">
        <f t="shared" si="3"/>
        <v>125.32019704433498</v>
      </c>
      <c r="AA23" s="689">
        <f t="shared" si="3"/>
        <v>196</v>
      </c>
      <c r="AB23" s="689">
        <f t="shared" si="3"/>
        <v>159</v>
      </c>
      <c r="AC23" s="764">
        <f t="shared" si="3"/>
        <v>240</v>
      </c>
      <c r="AD23" s="689">
        <f>+AA23-Z23</f>
        <v>70.679802955665025</v>
      </c>
      <c r="AE23" s="686">
        <f>+AC23-AB23</f>
        <v>81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737"/>
      <c r="BA23" s="737"/>
      <c r="BB23" s="737"/>
      <c r="BC23" s="737"/>
      <c r="BD23" s="737"/>
      <c r="BE23" s="737"/>
      <c r="BF23" s="737"/>
      <c r="BG23" s="737"/>
      <c r="BH23" s="737"/>
      <c r="BI23" s="737"/>
      <c r="BJ23" s="737"/>
      <c r="BK23" s="737"/>
      <c r="BL23" s="737"/>
      <c r="BM23" s="737"/>
      <c r="BN23" s="737"/>
    </row>
    <row r="24" spans="1:67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737"/>
      <c r="BA24" s="737"/>
      <c r="BB24" s="737"/>
      <c r="BC24" s="737"/>
      <c r="BD24" s="737"/>
      <c r="BE24" s="737"/>
      <c r="BF24" s="737"/>
      <c r="BG24" s="737"/>
      <c r="BH24" s="737"/>
      <c r="BI24" s="737"/>
      <c r="BJ24" s="737"/>
      <c r="BK24" s="737"/>
      <c r="BL24" s="737"/>
      <c r="BM24" s="737"/>
      <c r="BN24" s="737"/>
    </row>
    <row r="25" spans="1:67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721"/>
      <c r="BA25" s="721"/>
      <c r="BB25" s="721"/>
      <c r="BC25" s="721"/>
      <c r="BD25" s="721"/>
      <c r="BE25" s="721"/>
      <c r="BF25" s="721"/>
      <c r="BG25" s="721"/>
      <c r="BH25" s="721"/>
      <c r="BI25" s="721"/>
      <c r="BJ25" s="721"/>
      <c r="BK25" s="721"/>
      <c r="BL25" s="721"/>
      <c r="BM25" s="721"/>
      <c r="BN25" s="721"/>
    </row>
    <row r="26" spans="1:67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721"/>
      <c r="BA26" s="721"/>
      <c r="BB26" s="721"/>
      <c r="BC26" s="721"/>
      <c r="BD26" s="721"/>
      <c r="BE26" s="721"/>
      <c r="BF26" s="721"/>
      <c r="BG26" s="721"/>
      <c r="BH26" s="721"/>
      <c r="BI26" s="721"/>
      <c r="BJ26" s="721"/>
      <c r="BK26" s="721"/>
      <c r="BL26" s="721"/>
      <c r="BM26" s="721"/>
      <c r="BN26" s="721"/>
    </row>
    <row r="27" spans="1:67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721"/>
      <c r="BA27" s="721"/>
      <c r="BB27" s="721"/>
      <c r="BC27" s="721"/>
      <c r="BD27" s="721"/>
      <c r="BE27" s="721"/>
      <c r="BF27" s="721"/>
      <c r="BG27" s="721"/>
      <c r="BH27" s="721"/>
      <c r="BI27" s="721"/>
      <c r="BJ27" s="721"/>
      <c r="BK27" s="721"/>
      <c r="BL27" s="721"/>
      <c r="BM27" s="721"/>
      <c r="BN27" s="721"/>
    </row>
    <row r="28" spans="1:67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721"/>
      <c r="BA28" s="721"/>
      <c r="BB28" s="721"/>
      <c r="BC28" s="721"/>
      <c r="BD28" s="721"/>
      <c r="BE28" s="721"/>
      <c r="BF28" s="721"/>
      <c r="BG28" s="721"/>
      <c r="BH28" s="721"/>
      <c r="BI28" s="721"/>
      <c r="BJ28" s="721"/>
      <c r="BK28" s="721"/>
      <c r="BL28" s="721"/>
      <c r="BM28" s="721"/>
      <c r="BN28" s="721"/>
    </row>
    <row r="29" spans="1:67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721"/>
      <c r="BA29" s="721"/>
      <c r="BB29" s="721"/>
      <c r="BC29" s="721"/>
      <c r="BD29" s="721"/>
      <c r="BE29" s="721"/>
      <c r="BF29" s="721"/>
      <c r="BG29" s="721"/>
      <c r="BH29" s="721"/>
      <c r="BI29" s="721"/>
      <c r="BJ29" s="721"/>
      <c r="BK29" s="721"/>
      <c r="BL29" s="721"/>
      <c r="BM29" s="721"/>
      <c r="BN29" s="721"/>
    </row>
    <row r="30" spans="1:67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721"/>
      <c r="BA30" s="721"/>
      <c r="BB30" s="721"/>
      <c r="BC30" s="721"/>
      <c r="BD30" s="721"/>
      <c r="BE30" s="721"/>
      <c r="BF30" s="721"/>
      <c r="BG30" s="721"/>
      <c r="BH30" s="721"/>
      <c r="BI30" s="721"/>
      <c r="BJ30" s="721"/>
      <c r="BK30" s="721"/>
      <c r="BL30" s="721"/>
      <c r="BM30" s="721"/>
      <c r="BN30" s="721"/>
    </row>
    <row r="31" spans="1:67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721"/>
      <c r="BA31" s="721"/>
      <c r="BB31" s="721"/>
      <c r="BC31" s="721"/>
      <c r="BD31" s="721"/>
      <c r="BE31" s="721"/>
      <c r="BF31" s="721"/>
      <c r="BG31" s="721"/>
      <c r="BH31" s="721"/>
      <c r="BI31" s="721"/>
      <c r="BJ31" s="721"/>
      <c r="BK31" s="721"/>
      <c r="BL31" s="721"/>
      <c r="BM31" s="721"/>
      <c r="BN31" s="721"/>
    </row>
    <row r="32" spans="1:67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721"/>
      <c r="BA32" s="721"/>
      <c r="BB32" s="721"/>
      <c r="BC32" s="721"/>
      <c r="BD32" s="721"/>
      <c r="BE32" s="721"/>
      <c r="BF32" s="721"/>
      <c r="BG32" s="721"/>
      <c r="BH32" s="721"/>
      <c r="BI32" s="721"/>
      <c r="BJ32" s="721"/>
      <c r="BK32" s="721"/>
      <c r="BL32" s="721"/>
      <c r="BM32" s="721"/>
      <c r="BN32" s="721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721"/>
      <c r="BA33" s="721"/>
      <c r="BB33" s="721"/>
      <c r="BC33" s="721"/>
      <c r="BD33" s="721"/>
      <c r="BE33" s="721"/>
      <c r="BF33" s="721"/>
      <c r="BG33" s="721"/>
      <c r="BH33" s="721"/>
      <c r="BI33" s="721"/>
      <c r="BJ33" s="721"/>
      <c r="BK33" s="721"/>
      <c r="BL33" s="721"/>
      <c r="BM33" s="721"/>
      <c r="BN33" s="721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721"/>
      <c r="BA34" s="721"/>
      <c r="BB34" s="721"/>
      <c r="BC34" s="721"/>
      <c r="BD34" s="721"/>
      <c r="BE34" s="721"/>
      <c r="BF34" s="721"/>
      <c r="BG34" s="721"/>
      <c r="BH34" s="721"/>
      <c r="BI34" s="721"/>
      <c r="BJ34" s="721"/>
      <c r="BK34" s="721"/>
      <c r="BL34" s="721"/>
      <c r="BM34" s="721"/>
      <c r="BN34" s="721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721"/>
      <c r="BA35" s="721"/>
      <c r="BB35" s="721"/>
      <c r="BC35" s="721"/>
      <c r="BD35" s="721"/>
      <c r="BE35" s="721"/>
      <c r="BF35" s="721"/>
      <c r="BG35" s="721"/>
      <c r="BH35" s="721"/>
      <c r="BI35" s="721"/>
      <c r="BJ35" s="721"/>
      <c r="BK35" s="721"/>
      <c r="BL35" s="721"/>
      <c r="BM35" s="721"/>
      <c r="BN35" s="721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721"/>
      <c r="BA36" s="721"/>
      <c r="BB36" s="721"/>
      <c r="BC36" s="721"/>
      <c r="BD36" s="721"/>
      <c r="BE36" s="721"/>
      <c r="BF36" s="721"/>
      <c r="BG36" s="721"/>
      <c r="BH36" s="721"/>
      <c r="BI36" s="721"/>
      <c r="BJ36" s="721"/>
      <c r="BK36" s="721"/>
      <c r="BL36" s="721"/>
      <c r="BM36" s="721"/>
      <c r="BN36" s="721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62" t="s">
        <v>74</v>
      </c>
      <c r="BA37" s="862" t="s">
        <v>75</v>
      </c>
      <c r="BB37" s="862" t="s">
        <v>76</v>
      </c>
      <c r="BC37" s="862" t="s">
        <v>118</v>
      </c>
      <c r="BD37" s="862" t="s">
        <v>77</v>
      </c>
      <c r="BE37" s="862" t="s">
        <v>78</v>
      </c>
      <c r="BF37" s="862" t="s">
        <v>79</v>
      </c>
      <c r="BG37" s="862" t="s">
        <v>119</v>
      </c>
      <c r="BH37" s="862" t="s">
        <v>80</v>
      </c>
      <c r="BI37" s="862" t="s">
        <v>81</v>
      </c>
      <c r="BJ37" s="862" t="s">
        <v>82</v>
      </c>
      <c r="BK37" s="862" t="s">
        <v>120</v>
      </c>
      <c r="BL37" s="862" t="s">
        <v>83</v>
      </c>
      <c r="BM37" s="862" t="s">
        <v>84</v>
      </c>
      <c r="BN37" s="862" t="s">
        <v>85</v>
      </c>
      <c r="BO37" s="862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63"/>
      <c r="BA38" s="863"/>
      <c r="BB38" s="863"/>
      <c r="BC38" s="863"/>
      <c r="BD38" s="863"/>
      <c r="BE38" s="863"/>
      <c r="BF38" s="863"/>
      <c r="BG38" s="863"/>
      <c r="BH38" s="863"/>
      <c r="BI38" s="863"/>
      <c r="BJ38" s="863"/>
      <c r="BK38" s="863"/>
      <c r="BL38" s="863"/>
      <c r="BM38" s="863"/>
      <c r="BN38" s="863"/>
      <c r="BO38" s="863"/>
    </row>
    <row r="39" spans="1:67" ht="22.5" thickTop="1" thickBot="1" x14ac:dyDescent="0.4">
      <c r="A39"/>
      <c r="B39" s="405" t="s">
        <v>92</v>
      </c>
      <c r="C39" s="406">
        <f>+B18</f>
        <v>7</v>
      </c>
      <c r="D39" s="406">
        <f t="shared" ref="D39:N41" si="4">+C39+C18</f>
        <v>25</v>
      </c>
      <c r="E39" s="406">
        <f t="shared" si="4"/>
        <v>39</v>
      </c>
      <c r="F39" s="406">
        <f t="shared" si="4"/>
        <v>52</v>
      </c>
      <c r="G39" s="406">
        <f t="shared" si="4"/>
        <v>64</v>
      </c>
      <c r="H39" s="406">
        <f t="shared" si="4"/>
        <v>86</v>
      </c>
      <c r="I39" s="406">
        <f t="shared" si="4"/>
        <v>129</v>
      </c>
      <c r="J39" s="406">
        <f t="shared" si="4"/>
        <v>165</v>
      </c>
      <c r="K39" s="406">
        <f t="shared" si="4"/>
        <v>189</v>
      </c>
      <c r="L39" s="406">
        <f t="shared" si="4"/>
        <v>212</v>
      </c>
      <c r="M39" s="406">
        <f t="shared" si="4"/>
        <v>227</v>
      </c>
      <c r="N39" s="406">
        <f t="shared" si="4"/>
        <v>236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8.3058000000000007E-2</v>
      </c>
      <c r="AL39" s="418">
        <f t="shared" ref="AL39:AV41" si="5">+AK39+AK18</f>
        <v>0.16875499999999999</v>
      </c>
      <c r="AM39" s="418">
        <f t="shared" si="5"/>
        <v>0.25580599999999998</v>
      </c>
      <c r="AN39" s="418">
        <f t="shared" si="5"/>
        <v>0.34189999999999998</v>
      </c>
      <c r="AO39" s="418">
        <f t="shared" si="5"/>
        <v>0.42523</v>
      </c>
      <c r="AP39" s="418">
        <f t="shared" si="5"/>
        <v>0.51093100000000002</v>
      </c>
      <c r="AQ39" s="418">
        <f t="shared" si="5"/>
        <v>0.61099999999999999</v>
      </c>
      <c r="AR39" s="418">
        <f t="shared" si="5"/>
        <v>0.729097</v>
      </c>
      <c r="AS39" s="418">
        <f t="shared" si="5"/>
        <v>0.83218999999999999</v>
      </c>
      <c r="AT39" s="418">
        <f t="shared" si="5"/>
        <v>0.92258299999999993</v>
      </c>
      <c r="AU39" s="418">
        <f t="shared" si="5"/>
        <v>1.008893</v>
      </c>
      <c r="AV39" s="418">
        <f t="shared" si="5"/>
        <v>1.0900050000000001</v>
      </c>
      <c r="AW39" s="158"/>
      <c r="AX39" s="158"/>
      <c r="AY39" s="308" t="s">
        <v>92</v>
      </c>
      <c r="AZ39" s="717">
        <f>+VLOOKUP($A$1,data!$A$133:$BK$163,26)</f>
        <v>17.755561980885084</v>
      </c>
      <c r="BA39" s="717">
        <f>+VLOOKUP($A$1,data!$A$133:$BK$163,27)</f>
        <v>15.395648281573134</v>
      </c>
      <c r="BB39" s="717">
        <f>+VLOOKUP($A$1,data!$A$133:$BK$163,28)</f>
        <v>12.494848262482282</v>
      </c>
      <c r="BC39" s="717">
        <f>+VLOOKUP($A$1,data!$A$133:$BK$163,29)</f>
        <v>15.229130484692421</v>
      </c>
      <c r="BD39" s="717">
        <f>+VLOOKUP($A$1,data!$A$133:$BK$163,30)</f>
        <v>3.6026004692399223</v>
      </c>
      <c r="BE39" s="717">
        <f>+VLOOKUP($A$1,data!$A$133:$BK$163,31)</f>
        <v>9.211031212160373</v>
      </c>
      <c r="BF39" s="717">
        <f>+VLOOKUP($A$1,data!$A$133:$BK$163,32)</f>
        <v>23.572738595080342</v>
      </c>
      <c r="BG39" s="717">
        <f>+VLOOKUP($A$1,data!$A$133:$BK$163,33)</f>
        <v>14.12798338223805</v>
      </c>
      <c r="BH39" s="717">
        <f>+VLOOKUP($A$1,data!$A$133:$BK$163,34)</f>
        <v>18.376715378698943</v>
      </c>
      <c r="BI39" s="717">
        <f>+VLOOKUP($A$1,data!$A$133:$BK$163,35)</f>
        <v>3.9824964389334703</v>
      </c>
      <c r="BJ39" s="717">
        <f>+VLOOKUP($A$1,data!$A$133:$BK$163,36)</f>
        <v>2.9434137046758022</v>
      </c>
      <c r="BK39" s="717">
        <f>+VLOOKUP($A$1,data!$A$133:$BK$163,37)</f>
        <v>12.104819207080645</v>
      </c>
      <c r="BL39" s="717">
        <f>+VLOOKUP($A$1,data!$A$133:$BK$163,38)</f>
        <v>8.6274497118913658</v>
      </c>
      <c r="BM39" s="717">
        <f>+VLOOKUP($A$1,data!$A$133:$BK$163,39)</f>
        <v>7.3642576357863749</v>
      </c>
      <c r="BN39" s="717">
        <f>+VLOOKUP($A$1,data!$A$133:$BK$163,40)</f>
        <v>10.383010900142905</v>
      </c>
      <c r="BO39" s="717">
        <f>+VLOOKUP($A$1,data!$A$133:$BK$163,41)</f>
        <v>11.340032594005461</v>
      </c>
    </row>
    <row r="40" spans="1:67" ht="21.75" thickBot="1" x14ac:dyDescent="0.4">
      <c r="A40"/>
      <c r="B40" s="408" t="s">
        <v>94</v>
      </c>
      <c r="C40" s="409">
        <f>+B19</f>
        <v>11.748768472906406</v>
      </c>
      <c r="D40" s="409">
        <f t="shared" si="4"/>
        <v>24.541871921182267</v>
      </c>
      <c r="E40" s="409">
        <f t="shared" si="4"/>
        <v>34.724137931034484</v>
      </c>
      <c r="F40" s="409">
        <f t="shared" si="4"/>
        <v>45.950738916256157</v>
      </c>
      <c r="G40" s="409">
        <f t="shared" si="4"/>
        <v>57.177339901477829</v>
      </c>
      <c r="H40" s="409">
        <f t="shared" si="4"/>
        <v>72.581280788177338</v>
      </c>
      <c r="I40" s="409">
        <f t="shared" si="4"/>
        <v>93.729064039408868</v>
      </c>
      <c r="J40" s="409">
        <f t="shared" si="4"/>
        <v>113.04926108374384</v>
      </c>
      <c r="K40" s="409">
        <f t="shared" si="4"/>
        <v>125.32019704433498</v>
      </c>
      <c r="L40" s="409">
        <f t="shared" si="4"/>
        <v>136.807881773399</v>
      </c>
      <c r="M40" s="409">
        <f t="shared" si="4"/>
        <v>150.1231527093596</v>
      </c>
      <c r="N40" s="409">
        <f t="shared" si="4"/>
        <v>159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8.3546999999999996E-2</v>
      </c>
      <c r="AL40" s="423">
        <f t="shared" si="5"/>
        <v>0.17130600000000001</v>
      </c>
      <c r="AM40" s="423">
        <f t="shared" si="5"/>
        <v>0.25592300000000001</v>
      </c>
      <c r="AN40" s="423">
        <f t="shared" si="5"/>
        <v>0.34127000000000002</v>
      </c>
      <c r="AO40" s="423">
        <f t="shared" si="5"/>
        <v>0.42639900000000003</v>
      </c>
      <c r="AP40" s="423">
        <f t="shared" si="5"/>
        <v>0.51178900000000005</v>
      </c>
      <c r="AQ40" s="423">
        <f t="shared" si="5"/>
        <v>0.61292800000000003</v>
      </c>
      <c r="AR40" s="423">
        <f t="shared" si="5"/>
        <v>0.72447300000000003</v>
      </c>
      <c r="AS40" s="423">
        <f t="shared" si="5"/>
        <v>0.82800700000000005</v>
      </c>
      <c r="AT40" s="423">
        <f t="shared" si="5"/>
        <v>0.91869100000000004</v>
      </c>
      <c r="AU40" s="423">
        <f t="shared" si="5"/>
        <v>1.006278</v>
      </c>
      <c r="AV40" s="423">
        <f t="shared" si="5"/>
        <v>1.0927690000000001</v>
      </c>
      <c r="AW40" s="158"/>
      <c r="AX40" s="158"/>
      <c r="AY40" s="311" t="s">
        <v>94</v>
      </c>
      <c r="AZ40" s="718">
        <f>+VLOOKUP($A$1,data!$A$133:$BK$163,22)</f>
        <v>15.000038892043467</v>
      </c>
      <c r="BA40" s="718">
        <f>+$AZ$40</f>
        <v>15.000038892043467</v>
      </c>
      <c r="BB40" s="718">
        <f t="shared" ref="BB40:BO40" si="6">+$AZ$40</f>
        <v>15.000038892043467</v>
      </c>
      <c r="BC40" s="718">
        <f t="shared" si="6"/>
        <v>15.000038892043467</v>
      </c>
      <c r="BD40" s="718">
        <f t="shared" si="6"/>
        <v>15.000038892043467</v>
      </c>
      <c r="BE40" s="718">
        <f t="shared" si="6"/>
        <v>15.000038892043467</v>
      </c>
      <c r="BF40" s="718">
        <f t="shared" si="6"/>
        <v>15.000038892043467</v>
      </c>
      <c r="BG40" s="718">
        <f t="shared" si="6"/>
        <v>15.000038892043467</v>
      </c>
      <c r="BH40" s="718">
        <f t="shared" si="6"/>
        <v>15.000038892043467</v>
      </c>
      <c r="BI40" s="718">
        <f t="shared" si="6"/>
        <v>15.000038892043467</v>
      </c>
      <c r="BJ40" s="718">
        <f t="shared" si="6"/>
        <v>15.000038892043467</v>
      </c>
      <c r="BK40" s="718">
        <f t="shared" si="6"/>
        <v>15.000038892043467</v>
      </c>
      <c r="BL40" s="718">
        <f t="shared" si="6"/>
        <v>15.000038892043467</v>
      </c>
      <c r="BM40" s="718">
        <f t="shared" si="6"/>
        <v>15.000038892043467</v>
      </c>
      <c r="BN40" s="718">
        <f t="shared" si="6"/>
        <v>15.000038892043467</v>
      </c>
      <c r="BO40" s="718">
        <f t="shared" si="6"/>
        <v>15.000038892043467</v>
      </c>
    </row>
    <row r="41" spans="1:67" ht="21.75" thickBot="1" x14ac:dyDescent="0.4">
      <c r="A41"/>
      <c r="B41" s="413" t="s">
        <v>93</v>
      </c>
      <c r="C41" s="414">
        <f>+B20</f>
        <v>6</v>
      </c>
      <c r="D41" s="414">
        <f t="shared" si="4"/>
        <v>18</v>
      </c>
      <c r="E41" s="414">
        <f t="shared" si="4"/>
        <v>26</v>
      </c>
      <c r="F41" s="414">
        <f t="shared" si="4"/>
        <v>46</v>
      </c>
      <c r="G41" s="414">
        <f t="shared" si="4"/>
        <v>67</v>
      </c>
      <c r="H41" s="414">
        <f t="shared" si="4"/>
        <v>121</v>
      </c>
      <c r="I41" s="414">
        <f t="shared" si="4"/>
        <v>156</v>
      </c>
      <c r="J41" s="414">
        <f t="shared" si="4"/>
        <v>181</v>
      </c>
      <c r="K41" s="414">
        <f t="shared" si="4"/>
        <v>196</v>
      </c>
      <c r="L41" s="414">
        <f t="shared" si="4"/>
        <v>204</v>
      </c>
      <c r="M41" s="414">
        <f t="shared" si="4"/>
        <v>224</v>
      </c>
      <c r="N41" s="414">
        <f t="shared" si="4"/>
        <v>240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8.2790000000000002E-2</v>
      </c>
      <c r="AL41" s="420">
        <f t="shared" si="5"/>
        <v>0.16848200000000002</v>
      </c>
      <c r="AM41" s="420">
        <f t="shared" si="5"/>
        <v>0.25484300000000004</v>
      </c>
      <c r="AN41" s="420">
        <f t="shared" si="5"/>
        <v>0.34474900000000003</v>
      </c>
      <c r="AO41" s="420">
        <f t="shared" si="5"/>
        <v>0.43541600000000003</v>
      </c>
      <c r="AP41" s="420">
        <f t="shared" si="5"/>
        <v>0.52285000000000004</v>
      </c>
      <c r="AQ41" s="420">
        <f t="shared" si="5"/>
        <v>0.62872000000000006</v>
      </c>
      <c r="AR41" s="420">
        <f t="shared" si="5"/>
        <v>0.73465400000000003</v>
      </c>
      <c r="AS41" s="420">
        <f t="shared" si="5"/>
        <v>0.83453100000000002</v>
      </c>
      <c r="AT41" s="420">
        <f t="shared" si="5"/>
        <v>0.92054000000000002</v>
      </c>
      <c r="AU41" s="420">
        <f t="shared" si="5"/>
        <v>1.011161</v>
      </c>
      <c r="AV41" s="420">
        <f t="shared" si="5"/>
        <v>1.0992649999999999</v>
      </c>
      <c r="AW41" s="158"/>
      <c r="AX41" s="158"/>
      <c r="AY41" s="315" t="s">
        <v>93</v>
      </c>
      <c r="AZ41" s="719">
        <f>+VLOOKUP($A$1,data!$A$133:$BK$163,3)</f>
        <v>12.836082987586812</v>
      </c>
      <c r="BA41" s="719">
        <f>+VLOOKUP($A$1,data!$A$133:$BK$163,4)</f>
        <v>7.7923754801639822</v>
      </c>
      <c r="BB41" s="719">
        <f>+VLOOKUP($A$1,data!$A$133:$BK$163,5)</f>
        <v>13.409835381836494</v>
      </c>
      <c r="BC41" s="719">
        <f>+VLOOKUP($A$1,data!$A$133:$BK$163,6)</f>
        <v>11.405532989633599</v>
      </c>
      <c r="BD41" s="719">
        <f>+VLOOKUP($A$1,data!$A$133:$BK$163,7)</f>
        <v>8.7220127471822515</v>
      </c>
      <c r="BE41" s="719">
        <f>+VLOOKUP($A$1,data!$A$133:$BK$163,8)</f>
        <v>4.7504090724581332</v>
      </c>
      <c r="BF41" s="719">
        <f>+VLOOKUP($A$1,data!$A$133:$BK$163,9)</f>
        <v>22.475081022747005</v>
      </c>
      <c r="BG41" s="719">
        <f>+VLOOKUP($A$1,data!$A$133:$BK$163,10)</f>
        <v>11.995941130230953</v>
      </c>
      <c r="BH41" s="719">
        <f>+VLOOKUP($A$1,data!$A$133:$BK$163,11)</f>
        <v>3.7309693827910442</v>
      </c>
      <c r="BI41" s="719">
        <f>+VLOOKUP($A$1,data!$A$133:$BK$163,12)</f>
        <v>2.0654270532329253</v>
      </c>
      <c r="BJ41" s="719">
        <f>+VLOOKUP($A$1,data!$A$133:$BK$163,13)</f>
        <v>1.0179851979878114</v>
      </c>
      <c r="BK41" s="719">
        <f>+VLOOKUP($A$1,data!$A$133:$BK$163,14)</f>
        <v>8.6107585523949659</v>
      </c>
      <c r="BL41" s="719">
        <f>+VLOOKUP($A$1,data!$A$133:$BK$163,15)</f>
        <v>17.926022268158633</v>
      </c>
      <c r="BM41" s="719">
        <f>+VLOOKUP($A$1,data!$A$133:$BK$163,16)</f>
        <v>14.19072038681262</v>
      </c>
      <c r="BN41" s="719">
        <f>+VLOOKUP($A$1,data!$A$133:$BK$163,17)</f>
        <v>8.4857774034740157</v>
      </c>
      <c r="BO41" s="719">
        <f>+VLOOKUP($A$1,data!$A$133:$BK$163,18)</f>
        <v>9.8842345210432985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64" t="s">
        <v>152</v>
      </c>
      <c r="BA42" s="865"/>
      <c r="BB42" s="738" t="s">
        <v>125</v>
      </c>
      <c r="BC42" s="721"/>
      <c r="BD42" s="721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66">
        <f>+VLOOKUP($A$1,data!$A$133:$BK$163,55)</f>
        <v>11.340032594005461</v>
      </c>
      <c r="BA43" s="867">
        <f>+VLOOKUP($A$1,data!$A$133:$BK$163,26)</f>
        <v>17.755561980885084</v>
      </c>
      <c r="BB43" s="739">
        <f>+AZ45-AZ43</f>
        <v>-1.4557980729621622</v>
      </c>
      <c r="BC43" s="721"/>
      <c r="BD43" s="721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68">
        <f>+AZ40</f>
        <v>15.000038892043467</v>
      </c>
      <c r="BA44" s="869"/>
      <c r="BB44" s="740">
        <f>+AZ45-AZ44</f>
        <v>-5.1158043710001682</v>
      </c>
      <c r="BC44" s="721"/>
      <c r="BD44" s="721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70">
        <f>+BO41</f>
        <v>9.8842345210432985</v>
      </c>
      <c r="BA45" s="871"/>
      <c r="BB45" s="741"/>
      <c r="BC45" s="721"/>
      <c r="BD45" s="721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742"/>
      <c r="BA46" s="743"/>
      <c r="BB46" s="743"/>
      <c r="BC46" s="721"/>
      <c r="BD46" s="721"/>
    </row>
    <row r="47" spans="1:67" ht="27" thickBot="1" x14ac:dyDescent="0.4">
      <c r="A47" s="248">
        <f>+A1</f>
        <v>1011</v>
      </c>
      <c r="B47" s="817" t="str">
        <f>+VLOOKUP($A$1,data!$A$4:$AH$32,2,0)</f>
        <v>แม่สะเรียง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1011</v>
      </c>
      <c r="T47" s="817" t="str">
        <f>+VLOOKUP($A$1,data!$A$4:$AH$32,2,0)</f>
        <v>แม่สะเรียง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1011</v>
      </c>
      <c r="AJ47" s="817" t="str">
        <f>+VLOOKUP($A$1,data!$A$4:$AH$32,2,0)</f>
        <v>แม่สะเรียง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1.6183363799999999</v>
      </c>
      <c r="C64" s="632">
        <f>+VLOOKUP($A$1,data!$A$165:$AU$195,36)</f>
        <v>1.7661924199999999</v>
      </c>
      <c r="D64" s="632">
        <f>+VLOOKUP($A$1,data!$A$165:$AU$195,37)</f>
        <v>1.6871085599999998</v>
      </c>
      <c r="E64" s="632">
        <f>+VLOOKUP($A$1,data!$A$165:$AU$195,38)</f>
        <v>1.6885543999999999</v>
      </c>
      <c r="F64" s="632">
        <f>+VLOOKUP($A$1,data!$A$165:$AU$195,39)</f>
        <v>1.6155154599999999</v>
      </c>
      <c r="G64" s="632">
        <f>+VLOOKUP($A$1,data!$A$165:$AU$195,40)</f>
        <v>1.6607153099999998</v>
      </c>
      <c r="H64" s="632">
        <f>+VLOOKUP($A$1,data!$A$165:$AU$195,41)</f>
        <v>1.9586018700000001</v>
      </c>
      <c r="I64" s="632">
        <f>+VLOOKUP($A$1,data!$A$165:$AU$195,42)</f>
        <v>2.3086107500000002</v>
      </c>
      <c r="J64" s="632">
        <f>+VLOOKUP($A$1,data!$A$165:$AU$195,43)</f>
        <v>2.0244199200000006</v>
      </c>
      <c r="K64" s="632">
        <f>+VLOOKUP($A$1,data!$A$165:$AU$195,44)</f>
        <v>1.7779652399999997</v>
      </c>
      <c r="L64" s="632">
        <f>+VLOOKUP($A$1,data!$A$165:$AU$195,45)</f>
        <v>1.6780304699999999</v>
      </c>
      <c r="M64" s="632">
        <f>+VLOOKUP($A$1,data!$A$165:$AU$195,46)</f>
        <v>1.5367543299999995</v>
      </c>
      <c r="N64" s="632">
        <f>SUM(B64:M64)</f>
        <v>21.320805110000002</v>
      </c>
      <c r="O64" s="632">
        <f>SUM(B64:M64)</f>
        <v>21.320805110000002</v>
      </c>
      <c r="P64" s="635">
        <f>+O66-O64</f>
        <v>0.17215926999999809</v>
      </c>
      <c r="S64" s="605" t="s">
        <v>92</v>
      </c>
      <c r="T64" s="640">
        <f>+VLOOKUP($A$1,data!$A$197:$AU$227,35)</f>
        <v>0.87869061000000015</v>
      </c>
      <c r="U64" s="640">
        <f>+VLOOKUP($A$1,data!$A$197:$AU$227,36)</f>
        <v>0.92252042000000001</v>
      </c>
      <c r="V64" s="640">
        <f>+VLOOKUP($A$1,data!$A$197:$AU$227,37)</f>
        <v>0.93329696000000006</v>
      </c>
      <c r="W64" s="640">
        <f>+VLOOKUP($A$1,data!$A$197:$AU$227,38)</f>
        <v>0.85454890000000006</v>
      </c>
      <c r="X64" s="640">
        <f>+VLOOKUP($A$1,data!$A$197:$AU$227,39)</f>
        <v>0.90385101000000001</v>
      </c>
      <c r="Y64" s="640">
        <f>+VLOOKUP($A$1,data!$A$197:$AU$227,40)</f>
        <v>0.86932840000000011</v>
      </c>
      <c r="Z64" s="640">
        <f>+VLOOKUP($A$1,data!$A$197:$AU$227,41)</f>
        <v>0.91338374</v>
      </c>
      <c r="AA64" s="640">
        <f>+VLOOKUP($A$1,data!$A$197:$AU$227,42)</f>
        <v>0.94869651999999993</v>
      </c>
      <c r="AB64" s="640">
        <f>+VLOOKUP($A$1,data!$A$197:$AU$227,43)</f>
        <v>0.93638054999999987</v>
      </c>
      <c r="AC64" s="640">
        <f>+VLOOKUP($A$1,data!$A$197:$AU$227,44)</f>
        <v>0.81420378999999998</v>
      </c>
      <c r="AD64" s="640">
        <f>+VLOOKUP($A$1,data!$A$197:$AU$227,45)</f>
        <v>0.95902466000000008</v>
      </c>
      <c r="AE64" s="640">
        <f>+VLOOKUP($A$1,data!$A$197:$AU$227,46)</f>
        <v>0.90344720999999972</v>
      </c>
      <c r="AF64" s="640">
        <f>SUM(T64:AE64)</f>
        <v>10.837372770000002</v>
      </c>
      <c r="AG64" s="640">
        <f>SUM(T64:AE64)</f>
        <v>10.837372770000002</v>
      </c>
      <c r="AH64" s="641">
        <f>+AG66-AG64</f>
        <v>0.3506351599999995</v>
      </c>
      <c r="AI64" s="621" t="s">
        <v>92</v>
      </c>
      <c r="AJ64" s="648">
        <f>+B64-T64</f>
        <v>0.73964576999999976</v>
      </c>
      <c r="AK64" s="648">
        <f t="shared" ref="AK64:AU66" si="7">+C64-U64</f>
        <v>0.84367199999999987</v>
      </c>
      <c r="AL64" s="648">
        <f t="shared" si="7"/>
        <v>0.75381159999999969</v>
      </c>
      <c r="AM64" s="648">
        <f t="shared" si="7"/>
        <v>0.83400549999999984</v>
      </c>
      <c r="AN64" s="648">
        <f t="shared" si="7"/>
        <v>0.71166444999999989</v>
      </c>
      <c r="AO64" s="648">
        <f t="shared" si="7"/>
        <v>0.79138690999999972</v>
      </c>
      <c r="AP64" s="648">
        <f t="shared" si="7"/>
        <v>1.0452181300000001</v>
      </c>
      <c r="AQ64" s="648">
        <f t="shared" si="7"/>
        <v>1.3599142300000002</v>
      </c>
      <c r="AR64" s="648">
        <f t="shared" si="7"/>
        <v>1.0880393700000006</v>
      </c>
      <c r="AS64" s="648">
        <f t="shared" si="7"/>
        <v>0.96376144999999969</v>
      </c>
      <c r="AT64" s="648">
        <f t="shared" si="7"/>
        <v>0.71900580999999986</v>
      </c>
      <c r="AU64" s="648">
        <f t="shared" si="7"/>
        <v>0.63330711999999978</v>
      </c>
      <c r="AV64" s="648">
        <f>SUM(AJ64:AU64)</f>
        <v>10.48343234</v>
      </c>
      <c r="AW64" s="648">
        <f>SUM(AJ64:AU64)</f>
        <v>10.48343234</v>
      </c>
      <c r="AX64" s="651">
        <f>+AW66-AW64</f>
        <v>-0.17847589000000141</v>
      </c>
    </row>
    <row r="65" spans="1:50" ht="21.75" thickBot="1" x14ac:dyDescent="0.4">
      <c r="A65" s="538" t="s">
        <v>94</v>
      </c>
      <c r="B65" s="633">
        <f>+VLOOKUP($A$1,data!$A$165:$AU$195,19)</f>
        <v>1.634428</v>
      </c>
      <c r="C65" s="633">
        <f>+VLOOKUP($A$1,data!$A$165:$AU$195,20)</f>
        <v>1.7499910000000001</v>
      </c>
      <c r="D65" s="633">
        <f>+VLOOKUP($A$1,data!$A$165:$AU$195,21)</f>
        <v>1.643092</v>
      </c>
      <c r="E65" s="633">
        <f>+VLOOKUP($A$1,data!$A$165:$AU$195,22)</f>
        <v>1.6551450000000001</v>
      </c>
      <c r="F65" s="633">
        <f>+VLOOKUP($A$1,data!$A$165:$AU$195,23)</f>
        <v>1.6613169999999999</v>
      </c>
      <c r="G65" s="633">
        <f>+VLOOKUP($A$1,data!$A$165:$AU$195,24)</f>
        <v>1.662806</v>
      </c>
      <c r="H65" s="633">
        <f>+VLOOKUP($A$1,data!$A$165:$AU$195,25)</f>
        <v>1.944834</v>
      </c>
      <c r="I65" s="633">
        <f>+VLOOKUP($A$1,data!$A$165:$AU$195,26)</f>
        <v>2.1448610000000001</v>
      </c>
      <c r="J65" s="633">
        <f>+VLOOKUP($A$1,data!$A$165:$AU$195,27)</f>
        <v>1.9978149999999999</v>
      </c>
      <c r="K65" s="633">
        <f>+VLOOKUP($A$1,data!$A$165:$AU$195,28)</f>
        <v>1.774667</v>
      </c>
      <c r="L65" s="633">
        <f>+VLOOKUP($A$1,data!$A$165:$AU$195,29)</f>
        <v>1.702801</v>
      </c>
      <c r="M65" s="633">
        <f>+VLOOKUP($A$1,data!$A$165:$AU$195,30)</f>
        <v>1.688923</v>
      </c>
      <c r="N65" s="633">
        <f>SUM(B65:M65)</f>
        <v>21.260680000000001</v>
      </c>
      <c r="O65" s="636">
        <f t="shared" ref="O65:O66" si="8">SUM(B65:M65)</f>
        <v>21.260680000000001</v>
      </c>
      <c r="P65" s="637">
        <f>+O66-O65</f>
        <v>0.2322843799999994</v>
      </c>
      <c r="S65" s="601" t="s">
        <v>94</v>
      </c>
      <c r="T65" s="642">
        <f>+VLOOKUP($A$1,data!$A$197:$AU$227,19)</f>
        <v>0.90275000000000005</v>
      </c>
      <c r="U65" s="642">
        <f>+VLOOKUP($A$1,data!$A$197:$AU$227,20)</f>
        <v>0.90945699999999996</v>
      </c>
      <c r="V65" s="642">
        <f>+VLOOKUP($A$1,data!$A$197:$AU$227,21)</f>
        <v>0.91732800000000003</v>
      </c>
      <c r="W65" s="642">
        <f>+VLOOKUP($A$1,data!$A$197:$AU$227,22)</f>
        <v>0.89419800000000005</v>
      </c>
      <c r="X65" s="642">
        <f>+VLOOKUP($A$1,data!$A$197:$AU$227,23)</f>
        <v>0.92661800000000005</v>
      </c>
      <c r="Y65" s="642">
        <f>+VLOOKUP($A$1,data!$A$197:$AU$227,24)</f>
        <v>0.95470299999999997</v>
      </c>
      <c r="Z65" s="642">
        <f>+VLOOKUP($A$1,data!$A$197:$AU$227,25)</f>
        <v>0.94011800000000001</v>
      </c>
      <c r="AA65" s="642">
        <f>+VLOOKUP($A$1,data!$A$197:$AU$227,26)</f>
        <v>1.001501</v>
      </c>
      <c r="AB65" s="642">
        <f>+VLOOKUP($A$1,data!$A$197:$AU$227,27)</f>
        <v>1.1912419999999999</v>
      </c>
      <c r="AC65" s="642">
        <f>+VLOOKUP($A$1,data!$A$197:$AU$227,28)</f>
        <v>0.89990400000000004</v>
      </c>
      <c r="AD65" s="642">
        <f>+VLOOKUP($A$1,data!$A$197:$AU$227,29)</f>
        <v>1.0303439999999999</v>
      </c>
      <c r="AE65" s="642">
        <f>+VLOOKUP($A$1,data!$A$197:$AU$227,30)</f>
        <v>1.012751</v>
      </c>
      <c r="AF65" s="642">
        <f>SUM(T65:AE65)</f>
        <v>11.580913999999998</v>
      </c>
      <c r="AG65" s="643">
        <f t="shared" ref="AG65:AG66" si="9">SUM(T65:AE65)</f>
        <v>11.580913999999998</v>
      </c>
      <c r="AH65" s="644">
        <f>+AG66-AG65</f>
        <v>-0.39290606999999689</v>
      </c>
      <c r="AI65" s="617" t="s">
        <v>94</v>
      </c>
      <c r="AJ65" s="649">
        <f>+B65-T65</f>
        <v>0.73167799999999994</v>
      </c>
      <c r="AK65" s="649">
        <f t="shared" si="7"/>
        <v>0.84053400000000011</v>
      </c>
      <c r="AL65" s="649">
        <f t="shared" si="7"/>
        <v>0.72576399999999996</v>
      </c>
      <c r="AM65" s="649">
        <f t="shared" si="7"/>
        <v>0.76094700000000004</v>
      </c>
      <c r="AN65" s="649">
        <f t="shared" si="7"/>
        <v>0.73469899999999988</v>
      </c>
      <c r="AO65" s="649">
        <f t="shared" si="7"/>
        <v>0.70810300000000004</v>
      </c>
      <c r="AP65" s="649">
        <f t="shared" si="7"/>
        <v>1.0047159999999999</v>
      </c>
      <c r="AQ65" s="649">
        <f t="shared" si="7"/>
        <v>1.1433600000000002</v>
      </c>
      <c r="AR65" s="649">
        <f t="shared" si="7"/>
        <v>0.80657299999999998</v>
      </c>
      <c r="AS65" s="649">
        <f t="shared" si="7"/>
        <v>0.87476299999999996</v>
      </c>
      <c r="AT65" s="649">
        <f t="shared" si="7"/>
        <v>0.67245700000000008</v>
      </c>
      <c r="AU65" s="649">
        <f t="shared" si="7"/>
        <v>0.676172</v>
      </c>
      <c r="AV65" s="649">
        <f>SUM(AJ65:AU65)</f>
        <v>9.6797660000000008</v>
      </c>
      <c r="AW65" s="652">
        <f t="shared" ref="AW65:AW66" si="10">SUM(AJ65:AU65)</f>
        <v>9.6797660000000008</v>
      </c>
      <c r="AX65" s="653">
        <f>+AW66-AW65</f>
        <v>0.62519044999999807</v>
      </c>
    </row>
    <row r="66" spans="1:50" ht="21.75" thickBot="1" x14ac:dyDescent="0.4">
      <c r="A66" s="546" t="s">
        <v>93</v>
      </c>
      <c r="B66" s="634">
        <f>+VLOOKUP($A$1,data!$A$165:$AU$195,3)</f>
        <v>1.5857750700000002</v>
      </c>
      <c r="C66" s="634">
        <f>+VLOOKUP($A$1,data!$A$165:$AU$195,4)</f>
        <v>1.6465706099999999</v>
      </c>
      <c r="D66" s="634">
        <f>+VLOOKUP($A$1,data!$A$165:$AU$195,5)</f>
        <v>1.6670553100000001</v>
      </c>
      <c r="E66" s="634">
        <f>+VLOOKUP($A$1,data!$A$165:$AU$195,6)</f>
        <v>1.7860938400000004</v>
      </c>
      <c r="F66" s="634">
        <f>+VLOOKUP($A$1,data!$A$165:$AU$195,7)</f>
        <v>1.7864424000000001</v>
      </c>
      <c r="G66" s="634">
        <f>+VLOOKUP($A$1,data!$A$165:$AU$195,8)</f>
        <v>1.80374977</v>
      </c>
      <c r="H66" s="634">
        <f>+VLOOKUP($A$1,data!$A$165:$AU$195,9)</f>
        <v>2.0868475499999999</v>
      </c>
      <c r="I66" s="634">
        <f>+VLOOKUP($A$1,data!$A$165:$AU$195,10)</f>
        <v>2.0510691599999999</v>
      </c>
      <c r="J66" s="634">
        <f>+VLOOKUP($A$1,data!$A$165:$AU$195,11)</f>
        <v>1.9300947099999999</v>
      </c>
      <c r="K66" s="634">
        <f>+VLOOKUP($A$1,data!$A$165:$AU$195,12)</f>
        <v>1.6718734899999999</v>
      </c>
      <c r="L66" s="634">
        <f>+VLOOKUP($A$1,data!$A$165:$AU$195,13)</f>
        <v>1.7831772799999999</v>
      </c>
      <c r="M66" s="634">
        <f>+VLOOKUP($A$1,data!$A$165:$AU$195,14)</f>
        <v>1.69421519</v>
      </c>
      <c r="N66" s="634">
        <f>SUM(B66:M66)</f>
        <v>21.49296438</v>
      </c>
      <c r="O66" s="638">
        <f t="shared" si="8"/>
        <v>21.49296438</v>
      </c>
      <c r="P66" s="639"/>
      <c r="S66" s="608" t="s">
        <v>93</v>
      </c>
      <c r="T66" s="645">
        <f>+VLOOKUP($A$1,data!$A$197:$AU$227,3)</f>
        <v>0.9161184400000002</v>
      </c>
      <c r="U66" s="645">
        <f>+VLOOKUP($A$1,data!$A$197:$AU$227,4)</f>
        <v>0.83542892000000002</v>
      </c>
      <c r="V66" s="645">
        <f>+VLOOKUP($A$1,data!$A$197:$AU$227,5)</f>
        <v>1.1014691500000002</v>
      </c>
      <c r="W66" s="645">
        <f>+VLOOKUP($A$1,data!$A$197:$AU$227,6)</f>
        <v>0.85185299000000014</v>
      </c>
      <c r="X66" s="645">
        <f>+VLOOKUP($A$1,data!$A$197:$AU$227,7)</f>
        <v>0.78475335000000013</v>
      </c>
      <c r="Y66" s="645">
        <f>+VLOOKUP($A$1,data!$A$197:$AU$227,8)</f>
        <v>0.96170977999999996</v>
      </c>
      <c r="Z66" s="645">
        <f>+VLOOKUP($A$1,data!$A$197:$AU$227,9)</f>
        <v>0.85916722000000012</v>
      </c>
      <c r="AA66" s="645">
        <f>+VLOOKUP($A$1,data!$A$197:$AU$227,10)</f>
        <v>0.97103474000000012</v>
      </c>
      <c r="AB66" s="645">
        <f>+VLOOKUP($A$1,data!$A$197:$AU$227,11)</f>
        <v>0.93529273999999996</v>
      </c>
      <c r="AC66" s="645">
        <f>+VLOOKUP($A$1,data!$A$197:$AU$227,12)</f>
        <v>1.00981571</v>
      </c>
      <c r="AD66" s="645">
        <f>+VLOOKUP($A$1,data!$A$197:$AU$227,13)</f>
        <v>0.92973565000000002</v>
      </c>
      <c r="AE66" s="645">
        <f>+VLOOKUP($A$1,data!$A$197:$AU$227,14)</f>
        <v>1.03162924</v>
      </c>
      <c r="AF66" s="645">
        <f>SUM(T66:AE66)</f>
        <v>11.188007930000001</v>
      </c>
      <c r="AG66" s="646">
        <f t="shared" si="9"/>
        <v>11.188007930000001</v>
      </c>
      <c r="AH66" s="647"/>
      <c r="AI66" s="624" t="s">
        <v>93</v>
      </c>
      <c r="AJ66" s="650">
        <f>+B66-T66</f>
        <v>0.66965662999999997</v>
      </c>
      <c r="AK66" s="650">
        <f t="shared" si="7"/>
        <v>0.81114168999999992</v>
      </c>
      <c r="AL66" s="650">
        <f t="shared" si="7"/>
        <v>0.56558615999999984</v>
      </c>
      <c r="AM66" s="650">
        <f t="shared" si="7"/>
        <v>0.93424085000000023</v>
      </c>
      <c r="AN66" s="650">
        <f t="shared" si="7"/>
        <v>1.00168905</v>
      </c>
      <c r="AO66" s="650">
        <f t="shared" si="7"/>
        <v>0.84203999000000007</v>
      </c>
      <c r="AP66" s="650">
        <f t="shared" si="7"/>
        <v>1.2276803299999997</v>
      </c>
      <c r="AQ66" s="650">
        <f t="shared" si="7"/>
        <v>1.0800344199999998</v>
      </c>
      <c r="AR66" s="650">
        <f t="shared" si="7"/>
        <v>0.99480196999999992</v>
      </c>
      <c r="AS66" s="650">
        <f>+K66-AC66</f>
        <v>0.66205777999999982</v>
      </c>
      <c r="AT66" s="650">
        <f>+L66-AD66</f>
        <v>0.85344162999999984</v>
      </c>
      <c r="AU66" s="650">
        <f>+M66-AE66</f>
        <v>0.66258594999999998</v>
      </c>
      <c r="AV66" s="650">
        <f>SUM(AJ66:AU66)</f>
        <v>10.304956449999999</v>
      </c>
      <c r="AW66" s="654">
        <f t="shared" si="10"/>
        <v>10.304956449999999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1.6183363799999999</v>
      </c>
      <c r="D85" s="628">
        <f t="shared" ref="D85:N87" si="11">+C85+C64</f>
        <v>3.3845288</v>
      </c>
      <c r="E85" s="628">
        <f t="shared" si="11"/>
        <v>5.0716373599999995</v>
      </c>
      <c r="F85" s="628">
        <f t="shared" si="11"/>
        <v>6.7601917599999997</v>
      </c>
      <c r="G85" s="628">
        <f t="shared" si="11"/>
        <v>8.3757072199999989</v>
      </c>
      <c r="H85" s="628">
        <f t="shared" si="11"/>
        <v>10.036422529999999</v>
      </c>
      <c r="I85" s="628">
        <f t="shared" si="11"/>
        <v>11.9950244</v>
      </c>
      <c r="J85" s="628">
        <f t="shared" si="11"/>
        <v>14.30363515</v>
      </c>
      <c r="K85" s="628">
        <f t="shared" si="11"/>
        <v>16.328055070000001</v>
      </c>
      <c r="L85" s="628">
        <f t="shared" si="11"/>
        <v>18.106020310000002</v>
      </c>
      <c r="M85" s="628">
        <f t="shared" si="11"/>
        <v>19.784050780000001</v>
      </c>
      <c r="N85" s="628">
        <f t="shared" si="11"/>
        <v>21.320805110000002</v>
      </c>
      <c r="S85"/>
      <c r="T85" s="605" t="s">
        <v>92</v>
      </c>
      <c r="U85" s="640">
        <f>+T64</f>
        <v>0.87869061000000015</v>
      </c>
      <c r="V85" s="640">
        <f t="shared" ref="V85:AF87" si="12">+U85+U64</f>
        <v>1.8012110300000002</v>
      </c>
      <c r="W85" s="640">
        <f t="shared" si="12"/>
        <v>2.73450799</v>
      </c>
      <c r="X85" s="640">
        <f t="shared" si="12"/>
        <v>3.5890568900000002</v>
      </c>
      <c r="Y85" s="640">
        <f t="shared" si="12"/>
        <v>4.4929079000000005</v>
      </c>
      <c r="Z85" s="640">
        <f t="shared" si="12"/>
        <v>5.3622363000000011</v>
      </c>
      <c r="AA85" s="640">
        <f t="shared" si="12"/>
        <v>6.2756200400000015</v>
      </c>
      <c r="AB85" s="640">
        <f t="shared" si="12"/>
        <v>7.2243165600000019</v>
      </c>
      <c r="AC85" s="640">
        <f t="shared" si="12"/>
        <v>8.160697110000001</v>
      </c>
      <c r="AD85" s="640">
        <f t="shared" si="12"/>
        <v>8.9749009000000015</v>
      </c>
      <c r="AE85" s="640">
        <f t="shared" si="12"/>
        <v>9.9339255600000023</v>
      </c>
      <c r="AF85" s="640">
        <f t="shared" si="12"/>
        <v>10.837372770000002</v>
      </c>
      <c r="AG85" s="158"/>
      <c r="AH85" s="158"/>
      <c r="AI85"/>
      <c r="AJ85" s="621" t="s">
        <v>92</v>
      </c>
      <c r="AK85" s="648">
        <f>+AJ64</f>
        <v>0.73964576999999976</v>
      </c>
      <c r="AL85" s="648">
        <f t="shared" ref="AL85:AV87" si="13">+AK85+AK64</f>
        <v>1.5833177699999996</v>
      </c>
      <c r="AM85" s="648">
        <f t="shared" si="13"/>
        <v>2.3371293699999995</v>
      </c>
      <c r="AN85" s="648">
        <f t="shared" si="13"/>
        <v>3.1711348699999995</v>
      </c>
      <c r="AO85" s="648">
        <f t="shared" si="13"/>
        <v>3.8827993199999993</v>
      </c>
      <c r="AP85" s="648">
        <f t="shared" si="13"/>
        <v>4.6741862299999992</v>
      </c>
      <c r="AQ85" s="648">
        <f t="shared" si="13"/>
        <v>5.7194043599999995</v>
      </c>
      <c r="AR85" s="648">
        <f t="shared" si="13"/>
        <v>7.0793185899999997</v>
      </c>
      <c r="AS85" s="648">
        <f t="shared" si="13"/>
        <v>8.1673579600000004</v>
      </c>
      <c r="AT85" s="648">
        <f t="shared" si="13"/>
        <v>9.1311194100000002</v>
      </c>
      <c r="AU85" s="648">
        <f t="shared" si="13"/>
        <v>9.8501252200000007</v>
      </c>
      <c r="AV85" s="648">
        <f t="shared" si="13"/>
        <v>10.48343234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1.634428</v>
      </c>
      <c r="D86" s="633">
        <f t="shared" si="11"/>
        <v>3.3844190000000003</v>
      </c>
      <c r="E86" s="633">
        <f t="shared" si="11"/>
        <v>5.0275110000000005</v>
      </c>
      <c r="F86" s="633">
        <f t="shared" si="11"/>
        <v>6.6826560000000006</v>
      </c>
      <c r="G86" s="633">
        <f t="shared" si="11"/>
        <v>8.3439730000000001</v>
      </c>
      <c r="H86" s="633">
        <f t="shared" si="11"/>
        <v>10.006779</v>
      </c>
      <c r="I86" s="633">
        <f t="shared" si="11"/>
        <v>11.951613</v>
      </c>
      <c r="J86" s="633">
        <f t="shared" si="11"/>
        <v>14.096474000000001</v>
      </c>
      <c r="K86" s="633">
        <f t="shared" si="11"/>
        <v>16.094289</v>
      </c>
      <c r="L86" s="633">
        <f t="shared" si="11"/>
        <v>17.868956000000001</v>
      </c>
      <c r="M86" s="633">
        <f t="shared" si="11"/>
        <v>19.571757000000002</v>
      </c>
      <c r="N86" s="633">
        <f t="shared" si="11"/>
        <v>21.260680000000001</v>
      </c>
      <c r="S86"/>
      <c r="T86" s="601" t="s">
        <v>94</v>
      </c>
      <c r="U86" s="642">
        <f>+T65</f>
        <v>0.90275000000000005</v>
      </c>
      <c r="V86" s="642">
        <f t="shared" si="12"/>
        <v>1.8122069999999999</v>
      </c>
      <c r="W86" s="642">
        <f t="shared" si="12"/>
        <v>2.7295349999999998</v>
      </c>
      <c r="X86" s="642">
        <f t="shared" si="12"/>
        <v>3.6237329999999996</v>
      </c>
      <c r="Y86" s="642">
        <f t="shared" si="12"/>
        <v>4.550351</v>
      </c>
      <c r="Z86" s="642">
        <f t="shared" si="12"/>
        <v>5.5050540000000003</v>
      </c>
      <c r="AA86" s="642">
        <f t="shared" si="12"/>
        <v>6.4451720000000003</v>
      </c>
      <c r="AB86" s="642">
        <f t="shared" si="12"/>
        <v>7.4466730000000005</v>
      </c>
      <c r="AC86" s="642">
        <f t="shared" si="12"/>
        <v>8.6379149999999996</v>
      </c>
      <c r="AD86" s="642">
        <f t="shared" si="12"/>
        <v>9.5378189999999989</v>
      </c>
      <c r="AE86" s="642">
        <f t="shared" si="12"/>
        <v>10.568162999999998</v>
      </c>
      <c r="AF86" s="642">
        <f t="shared" si="12"/>
        <v>11.580913999999998</v>
      </c>
      <c r="AG86" s="158"/>
      <c r="AH86" s="158"/>
      <c r="AI86"/>
      <c r="AJ86" s="617" t="s">
        <v>94</v>
      </c>
      <c r="AK86" s="649">
        <f>+AJ65</f>
        <v>0.73167799999999994</v>
      </c>
      <c r="AL86" s="649">
        <f t="shared" si="13"/>
        <v>1.5722119999999999</v>
      </c>
      <c r="AM86" s="649">
        <f t="shared" si="13"/>
        <v>2.2979759999999998</v>
      </c>
      <c r="AN86" s="649">
        <f t="shared" si="13"/>
        <v>3.0589230000000001</v>
      </c>
      <c r="AO86" s="649">
        <f t="shared" si="13"/>
        <v>3.793622</v>
      </c>
      <c r="AP86" s="649">
        <f t="shared" si="13"/>
        <v>4.5017250000000004</v>
      </c>
      <c r="AQ86" s="649">
        <f t="shared" si="13"/>
        <v>5.5064410000000006</v>
      </c>
      <c r="AR86" s="649">
        <f t="shared" si="13"/>
        <v>6.649801000000001</v>
      </c>
      <c r="AS86" s="649">
        <f t="shared" si="13"/>
        <v>7.4563740000000012</v>
      </c>
      <c r="AT86" s="649">
        <f t="shared" si="13"/>
        <v>8.3311370000000018</v>
      </c>
      <c r="AU86" s="649">
        <f t="shared" si="13"/>
        <v>9.0035940000000014</v>
      </c>
      <c r="AV86" s="649">
        <f t="shared" si="13"/>
        <v>9.6797660000000008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1.5857750700000002</v>
      </c>
      <c r="D87" s="629">
        <f t="shared" si="11"/>
        <v>3.2323456799999999</v>
      </c>
      <c r="E87" s="629">
        <f t="shared" si="11"/>
        <v>4.8994009900000002</v>
      </c>
      <c r="F87" s="629">
        <f t="shared" si="11"/>
        <v>6.6854948300000006</v>
      </c>
      <c r="G87" s="629">
        <f t="shared" si="11"/>
        <v>8.47193723</v>
      </c>
      <c r="H87" s="629">
        <f t="shared" si="11"/>
        <v>10.275687</v>
      </c>
      <c r="I87" s="629">
        <f t="shared" si="11"/>
        <v>12.362534549999999</v>
      </c>
      <c r="J87" s="629">
        <f t="shared" si="11"/>
        <v>14.41360371</v>
      </c>
      <c r="K87" s="629">
        <f t="shared" si="11"/>
        <v>16.343698419999999</v>
      </c>
      <c r="L87" s="629">
        <f t="shared" si="11"/>
        <v>18.015571909999998</v>
      </c>
      <c r="M87" s="629">
        <f t="shared" si="11"/>
        <v>19.798749189999999</v>
      </c>
      <c r="N87" s="629">
        <f t="shared" si="11"/>
        <v>21.49296438</v>
      </c>
      <c r="S87"/>
      <c r="T87" s="608" t="s">
        <v>93</v>
      </c>
      <c r="U87" s="645">
        <f>+T66</f>
        <v>0.9161184400000002</v>
      </c>
      <c r="V87" s="645">
        <f t="shared" si="12"/>
        <v>1.7515473600000002</v>
      </c>
      <c r="W87" s="645">
        <f t="shared" si="12"/>
        <v>2.8530165100000007</v>
      </c>
      <c r="X87" s="645">
        <f t="shared" si="12"/>
        <v>3.7048695000000009</v>
      </c>
      <c r="Y87" s="645">
        <f t="shared" si="12"/>
        <v>4.4896228500000008</v>
      </c>
      <c r="Z87" s="645">
        <f t="shared" si="12"/>
        <v>5.4513326300000005</v>
      </c>
      <c r="AA87" s="645">
        <f t="shared" si="12"/>
        <v>6.3104998500000002</v>
      </c>
      <c r="AB87" s="645">
        <f t="shared" si="12"/>
        <v>7.2815345900000006</v>
      </c>
      <c r="AC87" s="645">
        <f t="shared" si="12"/>
        <v>8.216827330000001</v>
      </c>
      <c r="AD87" s="645">
        <f t="shared" si="12"/>
        <v>9.2266430400000008</v>
      </c>
      <c r="AE87" s="645">
        <f t="shared" si="12"/>
        <v>10.15637869</v>
      </c>
      <c r="AF87" s="645">
        <f t="shared" si="12"/>
        <v>11.188007930000001</v>
      </c>
      <c r="AG87" s="158"/>
      <c r="AH87" s="158"/>
      <c r="AI87"/>
      <c r="AJ87" s="624" t="s">
        <v>93</v>
      </c>
      <c r="AK87" s="650">
        <f>+AJ66</f>
        <v>0.66965662999999997</v>
      </c>
      <c r="AL87" s="650">
        <f t="shared" si="13"/>
        <v>1.4807983199999999</v>
      </c>
      <c r="AM87" s="650">
        <f t="shared" si="13"/>
        <v>2.0463844799999995</v>
      </c>
      <c r="AN87" s="650">
        <f t="shared" si="13"/>
        <v>2.9806253299999996</v>
      </c>
      <c r="AO87" s="650">
        <f t="shared" si="13"/>
        <v>3.9823143799999996</v>
      </c>
      <c r="AP87" s="650">
        <f t="shared" si="13"/>
        <v>4.82435437</v>
      </c>
      <c r="AQ87" s="650">
        <f t="shared" si="13"/>
        <v>6.0520347000000001</v>
      </c>
      <c r="AR87" s="650">
        <f t="shared" si="13"/>
        <v>7.1320691199999997</v>
      </c>
      <c r="AS87" s="650">
        <f t="shared" si="13"/>
        <v>8.1268710899999999</v>
      </c>
      <c r="AT87" s="650">
        <f t="shared" si="13"/>
        <v>8.7889288699999994</v>
      </c>
      <c r="AU87" s="650">
        <f t="shared" si="13"/>
        <v>9.6423704999999984</v>
      </c>
      <c r="AV87" s="650">
        <f t="shared" si="13"/>
        <v>10.304956449999999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287" priority="15" operator="lessThan">
      <formula>0</formula>
    </cfRule>
  </conditionalFormatting>
  <conditionalFormatting sqref="O41">
    <cfRule type="cellIs" dxfId="286" priority="14" operator="lessThan">
      <formula>0</formula>
    </cfRule>
  </conditionalFormatting>
  <conditionalFormatting sqref="AX18:AX22">
    <cfRule type="cellIs" dxfId="285" priority="13" operator="lessThan">
      <formula>0</formula>
    </cfRule>
  </conditionalFormatting>
  <conditionalFormatting sqref="BN21:BN22">
    <cfRule type="cellIs" dxfId="284" priority="12" operator="lessThan">
      <formula>0</formula>
    </cfRule>
  </conditionalFormatting>
  <conditionalFormatting sqref="BB43:BB46">
    <cfRule type="cellIs" dxfId="283" priority="11" operator="greaterThan">
      <formula>0</formula>
    </cfRule>
  </conditionalFormatting>
  <conditionalFormatting sqref="AX18:AX20">
    <cfRule type="cellIs" dxfId="282" priority="10" operator="lessThan">
      <formula>0</formula>
    </cfRule>
  </conditionalFormatting>
  <conditionalFormatting sqref="BN18:BN20">
    <cfRule type="cellIs" dxfId="281" priority="9" operator="greaterThan">
      <formula>0</formula>
    </cfRule>
  </conditionalFormatting>
  <conditionalFormatting sqref="P18:P20">
    <cfRule type="cellIs" dxfId="280" priority="8" operator="lessThan">
      <formula>0</formula>
    </cfRule>
  </conditionalFormatting>
  <conditionalFormatting sqref="P67:P68">
    <cfRule type="cellIs" dxfId="279" priority="7" operator="lessThan">
      <formula>0</formula>
    </cfRule>
  </conditionalFormatting>
  <conditionalFormatting sqref="P64:P66">
    <cfRule type="cellIs" dxfId="278" priority="6" operator="lessThan">
      <formula>0</formula>
    </cfRule>
  </conditionalFormatting>
  <conditionalFormatting sqref="AH67:AH68">
    <cfRule type="cellIs" dxfId="277" priority="5" operator="lessThan">
      <formula>0</formula>
    </cfRule>
  </conditionalFormatting>
  <conditionalFormatting sqref="AH64:AH66">
    <cfRule type="cellIs" dxfId="276" priority="4" operator="greaterThan">
      <formula>0</formula>
    </cfRule>
  </conditionalFormatting>
  <conditionalFormatting sqref="AX67:AX68">
    <cfRule type="cellIs" dxfId="275" priority="3" operator="lessThan">
      <formula>0</formula>
    </cfRule>
  </conditionalFormatting>
  <conditionalFormatting sqref="AX64:AX66">
    <cfRule type="cellIs" dxfId="274" priority="2" operator="lessThan">
      <formula>0</formula>
    </cfRule>
  </conditionalFormatting>
  <conditionalFormatting sqref="S24:AH24 S21:T23 V21:AH23">
    <cfRule type="cellIs" dxfId="273" priority="1" operator="lessThan">
      <formula>0</formula>
    </cfRule>
  </conditionalFormatting>
  <pageMargins left="0.39370078740157483" right="0.19685039370078741" top="0.74803149606299213" bottom="0.3" header="0.31496062992125984" footer="0.31496062992125984"/>
  <pageSetup paperSize="9" scale="80" pageOrder="overThenDown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16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1012</v>
      </c>
      <c r="B3" s="807" t="str">
        <f>+VLOOKUP($A3,data!$A$4:$AH$32,2,0)</f>
        <v>ลำพูน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12392</v>
      </c>
      <c r="C9" s="180">
        <f>+VLOOKUP($A$3,data!$A$4:$AH$32,8,0)/10^6</f>
        <v>2.0429569999999999</v>
      </c>
      <c r="D9" s="181">
        <f>+VLOOKUP($A$3,data!$A$4:$AH$32,9,0)</f>
        <v>0.4678906972416656</v>
      </c>
      <c r="E9" s="180">
        <f>+VLOOKUP($A$3,data!$A$4:$AH$32,10,0)/10^6</f>
        <v>28.540527260000005</v>
      </c>
      <c r="F9" s="182">
        <f>+E9/C9</f>
        <v>13.970204590698682</v>
      </c>
      <c r="G9" s="179">
        <f>+VLOOKUP($A$3,data!$A$4:$AH$32,23,0)</f>
        <v>12878</v>
      </c>
      <c r="H9" s="180">
        <f>+VLOOKUP($A$3,data!$A$4:$AH$32,24,0)/10^6</f>
        <v>2.0535060000000001</v>
      </c>
      <c r="I9" s="181">
        <f>+VLOOKUP($A$3,data!$A$4:$AH$32,25,0)</f>
        <v>0.44527454179789772</v>
      </c>
      <c r="J9" s="180">
        <f>+VLOOKUP($A$3,data!$A$4:$AH$32,26,0)/10^6</f>
        <v>28.384496990000002</v>
      </c>
      <c r="K9" s="182">
        <f>+J9/H9</f>
        <v>13.822456321043134</v>
      </c>
    </row>
    <row r="10" spans="1:12" ht="26.25" x14ac:dyDescent="0.4">
      <c r="A10" s="187" t="s">
        <v>4</v>
      </c>
      <c r="B10" s="189">
        <f>+B9/B20</f>
        <v>0.8037880262048388</v>
      </c>
      <c r="C10" s="190"/>
      <c r="D10" s="190"/>
      <c r="E10" s="190"/>
      <c r="F10" s="191"/>
      <c r="G10" s="189">
        <f>+G9/G20</f>
        <v>0.81080400428130706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2314</v>
      </c>
      <c r="C13" s="180">
        <f>+VLOOKUP($A$3,data!$A$4:$AH$32,12,0)/10^6</f>
        <v>0.87736700000000001</v>
      </c>
      <c r="D13" s="181">
        <f>+VLOOKUP($A$3,data!$A$4:$AH$32,13,0)</f>
        <v>1.0524278482834728</v>
      </c>
      <c r="E13" s="180">
        <f>+VLOOKUP($A$3,data!$A$4:$AH$32,14,0)/10^6</f>
        <v>18.840500899999999</v>
      </c>
      <c r="F13" s="182">
        <f>+E13/C13</f>
        <v>21.473911031529564</v>
      </c>
      <c r="G13" s="179">
        <f>+VLOOKUP($A$3,data!$A$4:$AH$32,27,0)</f>
        <v>2291</v>
      </c>
      <c r="H13" s="180">
        <f>+VLOOKUP($A$3,data!$A$4:$AH$32,28,0)/10^6</f>
        <v>0.93105899999999997</v>
      </c>
      <c r="I13" s="181">
        <f>+VLOOKUP($A$3,data!$A$4:$AH$32,29,0)</f>
        <v>1.1078595332649146</v>
      </c>
      <c r="J13" s="180">
        <f>+VLOOKUP($A$3,data!$A$4:$AH$32,30,0)/10^6</f>
        <v>20.099567589999999</v>
      </c>
      <c r="K13" s="182">
        <f>+J13/H13</f>
        <v>21.587855968311352</v>
      </c>
    </row>
    <row r="14" spans="1:12" ht="26.25" x14ac:dyDescent="0.4">
      <c r="A14" s="187" t="s">
        <v>29</v>
      </c>
      <c r="B14" s="189">
        <f>+B13/B20</f>
        <v>0.15009405202049686</v>
      </c>
      <c r="C14" s="190"/>
      <c r="D14" s="190"/>
      <c r="E14" s="190"/>
      <c r="F14" s="191"/>
      <c r="G14" s="189">
        <f>+G13/G20</f>
        <v>0.14424227161115658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711</v>
      </c>
      <c r="C17" s="180">
        <f>+VLOOKUP($A$3,data!$A$4:$AH$32,16,0)/10^6</f>
        <v>0.439882</v>
      </c>
      <c r="D17" s="181">
        <f>+VLOOKUP($A$3,data!$A$4:$AH$32,17,0)</f>
        <v>1.6341100534014397</v>
      </c>
      <c r="E17" s="180">
        <f>+VLOOKUP($A$3,data!$A$4:$AH$32,18,0)/10^6</f>
        <v>12.280150999999998</v>
      </c>
      <c r="F17" s="182">
        <f>+E17/C17</f>
        <v>27.916920901514494</v>
      </c>
      <c r="G17" s="179">
        <f>+VLOOKUP($A$3,data!$A$4:$AH$32,31,0)</f>
        <v>714</v>
      </c>
      <c r="H17" s="180">
        <f>+VLOOKUP($A$3,data!$A$4:$AH$32,32,0)/10^6</f>
        <v>0.48620200000000002</v>
      </c>
      <c r="I17" s="181">
        <f>+VLOOKUP($A$3,data!$A$4:$AH$32,33,0)</f>
        <v>1.8695582792597933</v>
      </c>
      <c r="J17" s="180">
        <f>+VLOOKUP($A$3,data!$A$4:$AH$32,34,0)/10^6</f>
        <v>13.637468009999999</v>
      </c>
      <c r="K17" s="182">
        <f>+J17/H17</f>
        <v>28.048975549257303</v>
      </c>
    </row>
    <row r="18" spans="1:11" ht="26.25" x14ac:dyDescent="0.4">
      <c r="A18" s="187" t="s">
        <v>30</v>
      </c>
      <c r="B18" s="189">
        <f>+B17/B20</f>
        <v>4.6117921774664332E-2</v>
      </c>
      <c r="C18" s="190"/>
      <c r="D18" s="190"/>
      <c r="E18" s="190"/>
      <c r="F18" s="191"/>
      <c r="G18" s="189">
        <f>+G17/G20</f>
        <v>4.4953724107536362E-2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15417</v>
      </c>
      <c r="C20" s="180">
        <f>+VLOOKUP($A$3,data!$A$4:$AH$32,4,0)/10^6</f>
        <v>3.3602059999999998</v>
      </c>
      <c r="D20" s="181">
        <f>+VLOOKUP($A$3,data!$A$4:$AH$32,5,0)</f>
        <v>0.61439160675496785</v>
      </c>
      <c r="E20" s="180">
        <f>+VLOOKUP($A$3,data!$A$4:$AH$32,6,0)/10^6</f>
        <v>59.661179159999996</v>
      </c>
      <c r="F20" s="182">
        <f>+E20/C20</f>
        <v>17.755214757666643</v>
      </c>
      <c r="G20" s="179">
        <f>+VLOOKUP($A$3,data!$A$4:$AH$32,19,0)</f>
        <v>15883</v>
      </c>
      <c r="H20" s="180">
        <f>+VLOOKUP($A$3,data!$A$4:$AH$32,20,0)/10^6</f>
        <v>3.4707669999999999</v>
      </c>
      <c r="I20" s="181">
        <f>+VLOOKUP($A$3,data!$A$4:$AH$32,21,0)</f>
        <v>0.60760068274322732</v>
      </c>
      <c r="J20" s="180">
        <f>+VLOOKUP($A$3,data!$A$4:$AH$32,22,0)/10^6</f>
        <v>62.121532589999994</v>
      </c>
      <c r="K20" s="182">
        <f>+J20/H20</f>
        <v>17.898502720003965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ลำพูน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="70" zoomScaleNormal="100" zoomScalePageLayoutView="70" workbookViewId="0"/>
  </sheetViews>
  <sheetFormatPr defaultRowHeight="21" x14ac:dyDescent="0.35"/>
  <cols>
    <col min="1" max="1" width="9" style="158" bestFit="1" customWidth="1"/>
    <col min="2" max="2" width="6.75" style="158" bestFit="1" customWidth="1"/>
    <col min="3" max="3" width="5.75" style="158" bestFit="1" customWidth="1"/>
    <col min="4" max="4" width="6.375" style="158" bestFit="1" customWidth="1"/>
    <col min="5" max="8" width="6.875" style="158" bestFit="1" customWidth="1"/>
    <col min="9" max="10" width="6.75" style="158" bestFit="1" customWidth="1"/>
    <col min="11" max="11" width="6.875" style="158" bestFit="1" customWidth="1"/>
    <col min="12" max="12" width="7" style="158" bestFit="1" customWidth="1"/>
    <col min="13" max="13" width="6.75" style="158" bestFit="1" customWidth="1"/>
    <col min="14" max="14" width="6.8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3.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8" width="6.75" bestFit="1" customWidth="1"/>
    <col min="49" max="49" width="8.25" bestFit="1" customWidth="1"/>
    <col min="50" max="50" width="7.25" bestFit="1" customWidth="1"/>
    <col min="51" max="51" width="8.875" customWidth="1"/>
    <col min="52" max="64" width="6.75" bestFit="1" customWidth="1"/>
    <col min="65" max="65" width="6.875" bestFit="1" customWidth="1"/>
    <col min="66" max="66" width="7.25" bestFit="1" customWidth="1"/>
    <col min="67" max="67" width="6.75" bestFit="1" customWidth="1"/>
  </cols>
  <sheetData>
    <row r="1" spans="1:66" ht="27" thickBot="1" x14ac:dyDescent="0.25">
      <c r="A1" s="248">
        <v>1012</v>
      </c>
      <c r="B1" s="817" t="str">
        <f>+VLOOKUP($A$1,data!$A$4:$AH$32,2,0)</f>
        <v>ลำพูน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1012</v>
      </c>
      <c r="T1" s="817" t="str">
        <f>+VLOOKUP($A$1,data!$A$4:$AH$32,2,0)</f>
        <v>ลำพูน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1012</v>
      </c>
      <c r="AJ1" s="817" t="str">
        <f>+VLOOKUP($A$1,data!$A$4:$AH$32,2,0)</f>
        <v>ลำพูน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1012</v>
      </c>
      <c r="AZ1" s="817" t="str">
        <f>+VLOOKUP($A$1,data!$A$4:$AH$32,2,0)</f>
        <v>ลำพูน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55</v>
      </c>
      <c r="C18" s="406">
        <f>+VLOOKUP($A$1,data!$A$37:$AU$67,36)</f>
        <v>49</v>
      </c>
      <c r="D18" s="406">
        <f>+VLOOKUP($A$1,data!$A$37:$AU$67,37)</f>
        <v>63</v>
      </c>
      <c r="E18" s="406">
        <f>+VLOOKUP($A$1,data!$A$37:$AU$67,38)</f>
        <v>40</v>
      </c>
      <c r="F18" s="406">
        <f>+VLOOKUP($A$1,data!$A$37:$AU$67,39)</f>
        <v>116</v>
      </c>
      <c r="G18" s="406">
        <f>+VLOOKUP($A$1,data!$A$37:$AU$67,40)</f>
        <v>140</v>
      </c>
      <c r="H18" s="406">
        <f>+VLOOKUP($A$1,data!$A$37:$AU$67,41)</f>
        <v>88</v>
      </c>
      <c r="I18" s="406">
        <f>+VLOOKUP($A$1,data!$A$37:$AU$67,42)</f>
        <v>224</v>
      </c>
      <c r="J18" s="406">
        <f>+VLOOKUP($A$1,data!$A$37:$AU$67,43)</f>
        <v>92</v>
      </c>
      <c r="K18" s="406">
        <f>+VLOOKUP($A$1,data!$A$37:$AU$67,44)</f>
        <v>41</v>
      </c>
      <c r="L18" s="406">
        <f>+VLOOKUP($A$1,data!$A$37:$AU$67,45)</f>
        <v>50</v>
      </c>
      <c r="M18" s="406">
        <f>+VLOOKUP($A$1,data!$A$37:$AU$67,46)</f>
        <v>43</v>
      </c>
      <c r="N18" s="406">
        <f>SUM(B18:M18)</f>
        <v>1001</v>
      </c>
      <c r="O18" s="406">
        <f>SUM(B18:M18)</f>
        <v>1001</v>
      </c>
      <c r="P18" s="407">
        <f>+O20-O18</f>
        <v>-258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0.26220399999999999</v>
      </c>
      <c r="AK18" s="418">
        <f>+VLOOKUP($A$1,data!$A$69:$AU$99,36)</f>
        <v>0.27053199999999999</v>
      </c>
      <c r="AL18" s="418">
        <f>+VLOOKUP($A$1,data!$A$69:$AU$99,37)</f>
        <v>0.26494000000000001</v>
      </c>
      <c r="AM18" s="418">
        <f>+VLOOKUP($A$1,data!$A$69:$AU$99,38)</f>
        <v>0.26508100000000001</v>
      </c>
      <c r="AN18" s="418">
        <f>+VLOOKUP($A$1,data!$A$69:$AU$99,39)</f>
        <v>0.26327699999999998</v>
      </c>
      <c r="AO18" s="418">
        <f>+VLOOKUP($A$1,data!$A$69:$AU$99,40)</f>
        <v>0.25628699999999999</v>
      </c>
      <c r="AP18" s="418">
        <f>+VLOOKUP($A$1,data!$A$69:$AU$99,41)</f>
        <v>0.29874699999999998</v>
      </c>
      <c r="AQ18" s="418">
        <f>+VLOOKUP($A$1,data!$A$69:$AU$99,42)</f>
        <v>0.33008599999999999</v>
      </c>
      <c r="AR18" s="418">
        <f>+VLOOKUP($A$1,data!$A$69:$AU$99,43)</f>
        <v>0.30914700000000001</v>
      </c>
      <c r="AS18" s="418">
        <f>+VLOOKUP($A$1,data!$A$69:$AU$99,44)</f>
        <v>0.284692</v>
      </c>
      <c r="AT18" s="418">
        <f>+VLOOKUP($A$1,data!$A$69:$AU$99,45)</f>
        <v>0.26987299999999997</v>
      </c>
      <c r="AU18" s="418">
        <f>+VLOOKUP($A$1,data!$A$69:$AU$99,46)</f>
        <v>0.28854400000000002</v>
      </c>
      <c r="AV18" s="418">
        <f>SUM(AJ18:AU18)</f>
        <v>3.36341</v>
      </c>
      <c r="AW18" s="418">
        <f>SUM(AJ18:AU18)</f>
        <v>3.36341</v>
      </c>
      <c r="AX18" s="419">
        <f>+AW20-AW18</f>
        <v>0.11172699999999969</v>
      </c>
      <c r="AY18" s="308" t="s">
        <v>92</v>
      </c>
      <c r="AZ18" s="309">
        <f>+VLOOKUP($A$1,data!$A$101:$AU$131,35)</f>
        <v>9.2989000000000002E-2</v>
      </c>
      <c r="BA18" s="309">
        <f>+VLOOKUP($A$1,data!$A$101:$AU$131,36)</f>
        <v>9.5177999999999999E-2</v>
      </c>
      <c r="BB18" s="309">
        <f>+VLOOKUP($A$1,data!$A$101:$AU$131,37)</f>
        <v>9.2341999999999994E-2</v>
      </c>
      <c r="BC18" s="309">
        <f>+VLOOKUP($A$1,data!$A$101:$AU$131,38)</f>
        <v>9.0934000000000001E-2</v>
      </c>
      <c r="BD18" s="309">
        <f>+VLOOKUP($A$1,data!$A$101:$AU$131,39)</f>
        <v>9.0237999999999999E-2</v>
      </c>
      <c r="BE18" s="309">
        <f>+VLOOKUP($A$1,data!$A$101:$AU$131,40)</f>
        <v>8.9626999999999998E-2</v>
      </c>
      <c r="BF18" s="309">
        <f>+VLOOKUP($A$1,data!$A$101:$AU$131,41)</f>
        <v>8.1699999999999995E-2</v>
      </c>
      <c r="BG18" s="309">
        <f>+VLOOKUP($A$1,data!$A$101:$AU$131,42)</f>
        <v>7.4520000000000003E-2</v>
      </c>
      <c r="BH18" s="309">
        <f>+VLOOKUP($A$1,data!$A$101:$AU$131,43)</f>
        <v>7.0474999999999996E-2</v>
      </c>
      <c r="BI18" s="309">
        <f>+VLOOKUP($A$1,data!$A$101:$AU$131,44)</f>
        <v>0.113872</v>
      </c>
      <c r="BJ18" s="309">
        <f>+VLOOKUP($A$1,data!$A$101:$AU$131,45)</f>
        <v>9.0914999999999996E-2</v>
      </c>
      <c r="BK18" s="309">
        <f>+VLOOKUP($A$1,data!$A$101:$AU$131,46)</f>
        <v>0.12895699999999999</v>
      </c>
      <c r="BL18" s="309">
        <f>SUM(AZ18:BK18)</f>
        <v>1.1117469999999998</v>
      </c>
      <c r="BM18" s="309">
        <f>SUM(AZ18:BK18)</f>
        <v>1.1117469999999998</v>
      </c>
      <c r="BN18" s="310">
        <f>+BM20-BM18</f>
        <v>2.1346000000000309E-2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37.222936074526167</v>
      </c>
      <c r="C19" s="409">
        <f>+VLOOKUP($A$1,data!$A$37:$AU$67,20)</f>
        <v>57.460648891744285</v>
      </c>
      <c r="D19" s="409">
        <f>+VLOOKUP($A$1,data!$A$37:$AU$67,21)</f>
        <v>57.82203662062318</v>
      </c>
      <c r="E19" s="409">
        <f>+VLOOKUP($A$1,data!$A$37:$AU$67,22)</f>
        <v>60.351750722775442</v>
      </c>
      <c r="F19" s="409">
        <f>+VLOOKUP($A$1,data!$A$37:$AU$67,23)</f>
        <v>191.53549630581426</v>
      </c>
      <c r="G19" s="409">
        <f>+VLOOKUP($A$1,data!$A$37:$AU$67,24)</f>
        <v>160.81753935110822</v>
      </c>
      <c r="H19" s="409">
        <f>+VLOOKUP($A$1,data!$A$37:$AU$67,25)</f>
        <v>125.76292964985541</v>
      </c>
      <c r="I19" s="409">
        <f>+VLOOKUP($A$1,data!$A$37:$AU$67,26)</f>
        <v>184.66912945711528</v>
      </c>
      <c r="J19" s="409">
        <f>+VLOOKUP($A$1,data!$A$37:$AU$67,27)</f>
        <v>70.831994860263379</v>
      </c>
      <c r="K19" s="409">
        <f>+VLOOKUP($A$1,data!$A$37:$AU$67,28)</f>
        <v>62.158689367169913</v>
      </c>
      <c r="L19" s="409">
        <f>+VLOOKUP($A$1,data!$A$37:$AU$67,29)</f>
        <v>46.980404754256334</v>
      </c>
      <c r="M19" s="409">
        <f>+VLOOKUP($A$1,data!$A$37:$AU$67,30)</f>
        <v>69.386443944747811</v>
      </c>
      <c r="N19" s="409">
        <f>SUM(B19:M19)</f>
        <v>1124.9999999999998</v>
      </c>
      <c r="O19" s="630">
        <f t="shared" ref="O19:O20" si="0">SUM(B19:M19)</f>
        <v>1124.9999999999998</v>
      </c>
      <c r="P19" s="412">
        <f>+O20-O19</f>
        <v>-381.99999999999977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0.27740199999999998</v>
      </c>
      <c r="AK19" s="423">
        <f>+VLOOKUP($A$1,data!$A$69:$AU$99,20)</f>
        <v>0.28498600000000002</v>
      </c>
      <c r="AL19" s="423">
        <f>+VLOOKUP($A$1,data!$A$69:$AU$99,21)</f>
        <v>0.28166600000000003</v>
      </c>
      <c r="AM19" s="423">
        <f>+VLOOKUP($A$1,data!$A$69:$AU$99,22)</f>
        <v>0.27947</v>
      </c>
      <c r="AN19" s="423">
        <f>+VLOOKUP($A$1,data!$A$69:$AU$99,23)</f>
        <v>0.27507799999999999</v>
      </c>
      <c r="AO19" s="423">
        <f>+VLOOKUP($A$1,data!$A$69:$AU$99,24)</f>
        <v>0.27050200000000002</v>
      </c>
      <c r="AP19" s="423">
        <f>+VLOOKUP($A$1,data!$A$69:$AU$99,25)</f>
        <v>0.30612299999999998</v>
      </c>
      <c r="AQ19" s="423">
        <f>+VLOOKUP($A$1,data!$A$69:$AU$99,26)</f>
        <v>0.34088400000000002</v>
      </c>
      <c r="AR19" s="423">
        <f>+VLOOKUP($A$1,data!$A$69:$AU$99,27)</f>
        <v>0.32481100000000002</v>
      </c>
      <c r="AS19" s="423">
        <f>+VLOOKUP($A$1,data!$A$69:$AU$99,28)</f>
        <v>0.30913499999999999</v>
      </c>
      <c r="AT19" s="423">
        <f>+VLOOKUP($A$1,data!$A$69:$AU$99,29)</f>
        <v>0.29838599999999998</v>
      </c>
      <c r="AU19" s="423">
        <f>+VLOOKUP($A$1,data!$A$69:$AU$99,30)</f>
        <v>0.30554500000000001</v>
      </c>
      <c r="AV19" s="423">
        <f>SUM(AJ19:AU19)</f>
        <v>3.5539879999999999</v>
      </c>
      <c r="AW19" s="424">
        <f t="shared" ref="AW19:AW20" si="1">SUM(AJ19:AU19)</f>
        <v>3.5539879999999999</v>
      </c>
      <c r="AX19" s="425">
        <f>+AW20-AW19</f>
        <v>-7.8851000000000226E-2</v>
      </c>
      <c r="AY19" s="311" t="s">
        <v>94</v>
      </c>
      <c r="AZ19" s="312">
        <f>+VLOOKUP($A$1,data!$A$101:$AU$131,19)</f>
        <v>0.10362399999999999</v>
      </c>
      <c r="BA19" s="312">
        <f>+VLOOKUP($A$1,data!$A$101:$AU$131,20)</f>
        <v>0.102782</v>
      </c>
      <c r="BB19" s="312">
        <f>+VLOOKUP($A$1,data!$A$101:$AU$131,21)</f>
        <v>0.102661</v>
      </c>
      <c r="BC19" s="312">
        <f>+VLOOKUP($A$1,data!$A$101:$AU$131,22)</f>
        <v>0.101229</v>
      </c>
      <c r="BD19" s="312">
        <f>+VLOOKUP($A$1,data!$A$101:$AU$131,23)</f>
        <v>9.8819000000000004E-2</v>
      </c>
      <c r="BE19" s="312">
        <f>+VLOOKUP($A$1,data!$A$101:$AU$131,24)</f>
        <v>9.7366999999999995E-2</v>
      </c>
      <c r="BF19" s="312">
        <f>+VLOOKUP($A$1,data!$A$101:$AU$131,25)</f>
        <v>9.7342999999999999E-2</v>
      </c>
      <c r="BG19" s="312">
        <f>+VLOOKUP($A$1,data!$A$101:$AU$131,26)</f>
        <v>9.2376E-2</v>
      </c>
      <c r="BH19" s="312">
        <f>+VLOOKUP($A$1,data!$A$101:$AU$131,27)</f>
        <v>8.2013000000000003E-2</v>
      </c>
      <c r="BI19" s="312">
        <f>+VLOOKUP($A$1,data!$A$101:$AU$131,28)</f>
        <v>0.103118</v>
      </c>
      <c r="BJ19" s="312">
        <f>+VLOOKUP($A$1,data!$A$101:$AU$131,29)</f>
        <v>9.6114000000000005E-2</v>
      </c>
      <c r="BK19" s="312">
        <f>+VLOOKUP($A$1,data!$A$101:$AU$131,30)</f>
        <v>0.107215</v>
      </c>
      <c r="BL19" s="312">
        <f>SUM(AZ19:BK19)</f>
        <v>1.184661</v>
      </c>
      <c r="BM19" s="313">
        <f t="shared" ref="BM19:BM20" si="2">SUM(AZ19:BK19)</f>
        <v>1.184661</v>
      </c>
      <c r="BN19" s="314">
        <f>+BM20-BM19</f>
        <v>-5.1567999999999836E-2</v>
      </c>
    </row>
    <row r="20" spans="1:66" s="247" customFormat="1" ht="19.5" thickBot="1" x14ac:dyDescent="0.35">
      <c r="A20" s="413" t="s">
        <v>93</v>
      </c>
      <c r="B20" s="414">
        <f>+VLOOKUP($A$1,data!$A$37:$AU$67,3)</f>
        <v>85</v>
      </c>
      <c r="C20" s="414">
        <f>+VLOOKUP($A$1,data!$A$37:$AU$67,4)</f>
        <v>32</v>
      </c>
      <c r="D20" s="414">
        <f>+VLOOKUP($A$1,data!$A$37:$AU$67,5)</f>
        <v>70</v>
      </c>
      <c r="E20" s="414">
        <f>+VLOOKUP($A$1,data!$A$37:$AU$67,6)</f>
        <v>47</v>
      </c>
      <c r="F20" s="414">
        <f>+VLOOKUP($A$1,data!$A$37:$AU$67,7)</f>
        <v>43</v>
      </c>
      <c r="G20" s="414">
        <f>+VLOOKUP($A$1,data!$A$37:$AU$67,8)</f>
        <v>81</v>
      </c>
      <c r="H20" s="414">
        <f>+VLOOKUP($A$1,data!$A$37:$AU$67,9)</f>
        <v>64</v>
      </c>
      <c r="I20" s="414">
        <f>+VLOOKUP($A$1,data!$A$37:$AU$67,10)</f>
        <v>62</v>
      </c>
      <c r="J20" s="414">
        <f>+VLOOKUP($A$1,data!$A$37:$AU$67,11)</f>
        <v>36</v>
      </c>
      <c r="K20" s="414">
        <f>+VLOOKUP($A$1,data!$A$37:$AU$67,12)</f>
        <v>28</v>
      </c>
      <c r="L20" s="414">
        <f>+VLOOKUP($A$1,data!$A$37:$AU$67,13)</f>
        <v>114</v>
      </c>
      <c r="M20" s="414">
        <f>+VLOOKUP($A$1,data!$A$37:$AU$67,14)</f>
        <v>81</v>
      </c>
      <c r="N20" s="414">
        <f>SUM(B20:M20)</f>
        <v>743</v>
      </c>
      <c r="O20" s="631">
        <f t="shared" si="0"/>
        <v>743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0.26950800000000003</v>
      </c>
      <c r="AK20" s="420">
        <f>+VLOOKUP($A$1,data!$A$69:$AU$99,4)</f>
        <v>0.26792199999999999</v>
      </c>
      <c r="AL20" s="420">
        <f>+VLOOKUP($A$1,data!$A$69:$AU$99,5)</f>
        <v>0.26750499999999999</v>
      </c>
      <c r="AM20" s="420">
        <f>+VLOOKUP($A$1,data!$A$69:$AU$99,6)</f>
        <v>0.28560799999999997</v>
      </c>
      <c r="AN20" s="420">
        <f>+VLOOKUP($A$1,data!$A$69:$AU$99,7)</f>
        <v>0.287831</v>
      </c>
      <c r="AO20" s="420">
        <f>+VLOOKUP($A$1,data!$A$69:$AU$99,8)</f>
        <v>0.27431299999999997</v>
      </c>
      <c r="AP20" s="420">
        <f>+VLOOKUP($A$1,data!$A$69:$AU$99,9)</f>
        <v>0.31587300000000001</v>
      </c>
      <c r="AQ20" s="420">
        <f>+VLOOKUP($A$1,data!$A$69:$AU$99,10)</f>
        <v>0.32407399999999997</v>
      </c>
      <c r="AR20" s="420">
        <f>+VLOOKUP($A$1,data!$A$69:$AU$99,11)</f>
        <v>0.29863899999999999</v>
      </c>
      <c r="AS20" s="420">
        <f>+VLOOKUP($A$1,data!$A$69:$AU$99,12)</f>
        <v>0.28748899999999999</v>
      </c>
      <c r="AT20" s="420">
        <f>+VLOOKUP($A$1,data!$A$69:$AU$99,13)</f>
        <v>0.29763299999999998</v>
      </c>
      <c r="AU20" s="420">
        <f>+VLOOKUP($A$1,data!$A$69:$AU$99,14)</f>
        <v>0.29874200000000001</v>
      </c>
      <c r="AV20" s="420">
        <f>SUM(AJ20:AU20)</f>
        <v>3.4751369999999997</v>
      </c>
      <c r="AW20" s="421">
        <f t="shared" si="1"/>
        <v>3.4751369999999997</v>
      </c>
      <c r="AX20" s="422"/>
      <c r="AY20" s="315" t="s">
        <v>93</v>
      </c>
      <c r="AZ20" s="316">
        <f>+VLOOKUP($A$1,data!$A$101:$AU$131,3)</f>
        <v>9.8520999999999997E-2</v>
      </c>
      <c r="BA20" s="316">
        <f>+VLOOKUP($A$1,data!$A$101:$AU$131,4)</f>
        <v>9.8563999999999999E-2</v>
      </c>
      <c r="BB20" s="316">
        <f>+VLOOKUP($A$1,data!$A$101:$AU$131,5)</f>
        <v>0.100269</v>
      </c>
      <c r="BC20" s="316">
        <f>+VLOOKUP($A$1,data!$A$101:$AU$131,6)</f>
        <v>9.4239000000000003E-2</v>
      </c>
      <c r="BD20" s="316">
        <f>+VLOOKUP($A$1,data!$A$101:$AU$131,7)</f>
        <v>9.0033000000000002E-2</v>
      </c>
      <c r="BE20" s="316">
        <f>+VLOOKUP($A$1,data!$A$101:$AU$131,8)</f>
        <v>8.4287000000000001E-2</v>
      </c>
      <c r="BF20" s="316">
        <f>+VLOOKUP($A$1,data!$A$101:$AU$131,9)</f>
        <v>9.9019999999999997E-2</v>
      </c>
      <c r="BG20" s="316">
        <f>+VLOOKUP($A$1,data!$A$101:$AU$131,10)</f>
        <v>9.6767000000000006E-2</v>
      </c>
      <c r="BH20" s="316">
        <f>+VLOOKUP($A$1,data!$A$101:$AU$131,11)</f>
        <v>9.9975999999999995E-2</v>
      </c>
      <c r="BI20" s="316">
        <f>+VLOOKUP($A$1,data!$A$101:$AU$131,12)</f>
        <v>9.0958999999999998E-2</v>
      </c>
      <c r="BJ20" s="316">
        <f>+VLOOKUP($A$1,data!$A$101:$AU$131,13)</f>
        <v>9.2517000000000002E-2</v>
      </c>
      <c r="BK20" s="316">
        <f>+VLOOKUP($A$1,data!$A$101:$AU$131,14)</f>
        <v>8.7941000000000005E-2</v>
      </c>
      <c r="BL20" s="316">
        <f>SUM(AZ20:BK20)</f>
        <v>1.1330930000000001</v>
      </c>
      <c r="BM20" s="317">
        <f t="shared" si="2"/>
        <v>1.1330930000000001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142.50562158689362</v>
      </c>
      <c r="W21" s="671">
        <f>+VLOOKUP($A$1,data!$A$261:$AK$291,16)</f>
        <v>158</v>
      </c>
      <c r="X21" s="671">
        <f>+VLOOKUP($A$1,data!$A$261:$AK$291,36)</f>
        <v>545.21040796659156</v>
      </c>
      <c r="Y21" s="671">
        <f>+VLOOKUP($A$1,data!$A$261:$AK$291,17)</f>
        <v>301</v>
      </c>
      <c r="Z21" s="671">
        <f>+VLOOKUP($A$1,data!$A$261:$AK$291,37)</f>
        <v>910.47446193382575</v>
      </c>
      <c r="AA21" s="671">
        <f>+VLOOKUP($A$1,data!$A$261:$AK$291,18)</f>
        <v>459</v>
      </c>
      <c r="AB21" s="671">
        <f>+VLOOKUP($A$1,data!$A$261:$AK$291,34)</f>
        <v>1059.9999999999998</v>
      </c>
      <c r="AC21" s="671">
        <f>+VLOOKUP($A$1,data!$A$261:$AK$291,15)</f>
        <v>682</v>
      </c>
      <c r="AD21" s="671">
        <f>+AA21-Z21</f>
        <v>-451.47446193382575</v>
      </c>
      <c r="AE21" s="684">
        <f>+AC21-AB21</f>
        <v>-377.99999999999977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10</v>
      </c>
      <c r="W22" s="672">
        <f>+VLOOKUP($A$1,data!$A$229:$AK$259,16)</f>
        <v>29</v>
      </c>
      <c r="X22" s="672">
        <f>+VLOOKUP($A$1,data!$A$229:$AK$259,36)</f>
        <v>20</v>
      </c>
      <c r="Y22" s="672">
        <f>+VLOOKUP($A$1,data!$A$229:$AK$259,17)</f>
        <v>57</v>
      </c>
      <c r="Z22" s="672">
        <f>+VLOOKUP($A$1,data!$A$229:$AK$259,37)</f>
        <v>36</v>
      </c>
      <c r="AA22" s="672">
        <f>+VLOOKUP($A$1,data!$A$229:$AK$259,18)</f>
        <v>61</v>
      </c>
      <c r="AB22" s="672">
        <f>+VLOOKUP($A$1,data!$A$229:$AK$259,34)</f>
        <v>65</v>
      </c>
      <c r="AC22" s="765">
        <f>+VLOOKUP($A$1,data!$A$229:$AK$259,15)</f>
        <v>61</v>
      </c>
      <c r="AD22" s="671">
        <f>+AA22-Z22</f>
        <v>25</v>
      </c>
      <c r="AE22" s="685">
        <f>+AC22-AB22</f>
        <v>-4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152.50562158689362</v>
      </c>
      <c r="W23" s="689">
        <f t="shared" ref="W23:AC23" si="3">SUM(W21:W22)</f>
        <v>187</v>
      </c>
      <c r="X23" s="689">
        <f t="shared" si="3"/>
        <v>565.21040796659156</v>
      </c>
      <c r="Y23" s="689">
        <f t="shared" si="3"/>
        <v>358</v>
      </c>
      <c r="Z23" s="689">
        <f t="shared" si="3"/>
        <v>946.47446193382575</v>
      </c>
      <c r="AA23" s="689">
        <f t="shared" si="3"/>
        <v>520</v>
      </c>
      <c r="AB23" s="689">
        <f t="shared" si="3"/>
        <v>1124.9999999999998</v>
      </c>
      <c r="AC23" s="764">
        <f t="shared" si="3"/>
        <v>743</v>
      </c>
      <c r="AD23" s="689">
        <f>+AA23-Z23</f>
        <v>-426.47446193382575</v>
      </c>
      <c r="AE23" s="686">
        <f>+AC23-AB23</f>
        <v>-381.99999999999977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55</v>
      </c>
      <c r="D39" s="406">
        <f t="shared" ref="D39:N41" si="4">+C39+C18</f>
        <v>104</v>
      </c>
      <c r="E39" s="406">
        <f t="shared" si="4"/>
        <v>167</v>
      </c>
      <c r="F39" s="406">
        <f t="shared" si="4"/>
        <v>207</v>
      </c>
      <c r="G39" s="406">
        <f t="shared" si="4"/>
        <v>323</v>
      </c>
      <c r="H39" s="406">
        <f t="shared" si="4"/>
        <v>463</v>
      </c>
      <c r="I39" s="406">
        <f t="shared" si="4"/>
        <v>551</v>
      </c>
      <c r="J39" s="406">
        <f t="shared" si="4"/>
        <v>775</v>
      </c>
      <c r="K39" s="406">
        <f t="shared" si="4"/>
        <v>867</v>
      </c>
      <c r="L39" s="406">
        <f t="shared" si="4"/>
        <v>908</v>
      </c>
      <c r="M39" s="406">
        <f t="shared" si="4"/>
        <v>958</v>
      </c>
      <c r="N39" s="406">
        <f t="shared" si="4"/>
        <v>1001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0.26220399999999999</v>
      </c>
      <c r="AL39" s="418">
        <f t="shared" ref="AL39:AV41" si="5">+AK39+AK18</f>
        <v>0.53273599999999999</v>
      </c>
      <c r="AM39" s="418">
        <f t="shared" si="5"/>
        <v>0.79767600000000005</v>
      </c>
      <c r="AN39" s="418">
        <f t="shared" si="5"/>
        <v>1.062757</v>
      </c>
      <c r="AO39" s="418">
        <f t="shared" si="5"/>
        <v>1.3260339999999999</v>
      </c>
      <c r="AP39" s="418">
        <f t="shared" si="5"/>
        <v>1.5823209999999999</v>
      </c>
      <c r="AQ39" s="418">
        <f t="shared" si="5"/>
        <v>1.881068</v>
      </c>
      <c r="AR39" s="418">
        <f t="shared" si="5"/>
        <v>2.2111540000000001</v>
      </c>
      <c r="AS39" s="418">
        <f t="shared" si="5"/>
        <v>2.5203009999999999</v>
      </c>
      <c r="AT39" s="418">
        <f t="shared" si="5"/>
        <v>2.8049930000000001</v>
      </c>
      <c r="AU39" s="418">
        <f t="shared" si="5"/>
        <v>3.0748660000000001</v>
      </c>
      <c r="AV39" s="418">
        <f t="shared" si="5"/>
        <v>3.36341</v>
      </c>
      <c r="AW39" s="158"/>
      <c r="AX39" s="158"/>
      <c r="AY39" s="308" t="s">
        <v>92</v>
      </c>
      <c r="AZ39" s="717">
        <f>+VLOOKUP($A$1,data!$A$133:$BK$163,26)</f>
        <v>26.179851517344094</v>
      </c>
      <c r="BA39" s="717">
        <f>+VLOOKUP($A$1,data!$A$133:$BK$163,27)</f>
        <v>26.025539361789395</v>
      </c>
      <c r="BB39" s="717">
        <f>+VLOOKUP($A$1,data!$A$133:$BK$163,28)</f>
        <v>25.84330352769965</v>
      </c>
      <c r="BC39" s="717">
        <f>+VLOOKUP($A$1,data!$A$133:$BK$163,29)</f>
        <v>26.015981925733016</v>
      </c>
      <c r="BD39" s="717">
        <f>+VLOOKUP($A$1,data!$A$133:$BK$163,30)</f>
        <v>25.542182211423675</v>
      </c>
      <c r="BE39" s="717">
        <f>+VLOOKUP($A$1,data!$A$133:$BK$163,31)</f>
        <v>25.525932421537984</v>
      </c>
      <c r="BF39" s="717">
        <f>+VLOOKUP($A$1,data!$A$133:$BK$163,32)</f>
        <v>25.910197332284902</v>
      </c>
      <c r="BG39" s="717">
        <f>+VLOOKUP($A$1,data!$A$133:$BK$163,33)</f>
        <v>25.838581743500143</v>
      </c>
      <c r="BH39" s="717">
        <f>+VLOOKUP($A$1,data!$A$133:$BK$163,34)</f>
        <v>21.474738925527078</v>
      </c>
      <c r="BI39" s="717">
        <f>+VLOOKUP($A$1,data!$A$133:$BK$163,35)</f>
        <v>18.40836330579819</v>
      </c>
      <c r="BJ39" s="717">
        <f>+VLOOKUP($A$1,data!$A$133:$BK$163,36)</f>
        <v>18.563932629848747</v>
      </c>
      <c r="BK39" s="717">
        <f>+VLOOKUP($A$1,data!$A$133:$BK$163,37)</f>
        <v>23.586147769374442</v>
      </c>
      <c r="BL39" s="717">
        <f>+VLOOKUP($A$1,data!$A$133:$BK$163,38)</f>
        <v>28.570568340341829</v>
      </c>
      <c r="BM39" s="717">
        <f>+VLOOKUP($A$1,data!$A$133:$BK$163,39)</f>
        <v>25.199008836214066</v>
      </c>
      <c r="BN39" s="717">
        <f>+VLOOKUP($A$1,data!$A$133:$BK$163,40)</f>
        <v>30.887830208789918</v>
      </c>
      <c r="BO39" s="717">
        <f>+VLOOKUP($A$1,data!$A$133:$BK$163,41)</f>
        <v>24.841221322193352</v>
      </c>
    </row>
    <row r="40" spans="1:67" ht="21.75" thickBot="1" x14ac:dyDescent="0.4">
      <c r="A40"/>
      <c r="B40" s="408" t="s">
        <v>94</v>
      </c>
      <c r="C40" s="409">
        <f>+B19</f>
        <v>37.222936074526167</v>
      </c>
      <c r="D40" s="409">
        <f t="shared" si="4"/>
        <v>94.683584966270445</v>
      </c>
      <c r="E40" s="409">
        <f t="shared" si="4"/>
        <v>152.50562158689362</v>
      </c>
      <c r="F40" s="409">
        <f t="shared" si="4"/>
        <v>212.85737230966907</v>
      </c>
      <c r="G40" s="409">
        <f t="shared" si="4"/>
        <v>404.39286861548334</v>
      </c>
      <c r="H40" s="409">
        <f t="shared" si="4"/>
        <v>565.21040796659156</v>
      </c>
      <c r="I40" s="409">
        <f t="shared" si="4"/>
        <v>690.973337616447</v>
      </c>
      <c r="J40" s="409">
        <f t="shared" si="4"/>
        <v>875.64246707356233</v>
      </c>
      <c r="K40" s="409">
        <f t="shared" si="4"/>
        <v>946.47446193382575</v>
      </c>
      <c r="L40" s="409">
        <f t="shared" si="4"/>
        <v>1008.6331513009957</v>
      </c>
      <c r="M40" s="409">
        <f t="shared" si="4"/>
        <v>1055.613556055252</v>
      </c>
      <c r="N40" s="409">
        <f t="shared" si="4"/>
        <v>1124.9999999999998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0.27740199999999998</v>
      </c>
      <c r="AL40" s="423">
        <f t="shared" si="5"/>
        <v>0.562388</v>
      </c>
      <c r="AM40" s="423">
        <f t="shared" si="5"/>
        <v>0.84405400000000008</v>
      </c>
      <c r="AN40" s="423">
        <f t="shared" si="5"/>
        <v>1.1235240000000002</v>
      </c>
      <c r="AO40" s="423">
        <f t="shared" si="5"/>
        <v>1.3986020000000001</v>
      </c>
      <c r="AP40" s="423">
        <f t="shared" si="5"/>
        <v>1.6691040000000001</v>
      </c>
      <c r="AQ40" s="423">
        <f t="shared" si="5"/>
        <v>1.9752270000000001</v>
      </c>
      <c r="AR40" s="423">
        <f t="shared" si="5"/>
        <v>2.3161110000000003</v>
      </c>
      <c r="AS40" s="423">
        <f t="shared" si="5"/>
        <v>2.6409220000000002</v>
      </c>
      <c r="AT40" s="423">
        <f t="shared" si="5"/>
        <v>2.9500570000000002</v>
      </c>
      <c r="AU40" s="423">
        <f t="shared" si="5"/>
        <v>3.248443</v>
      </c>
      <c r="AV40" s="423">
        <f t="shared" si="5"/>
        <v>3.5539879999999999</v>
      </c>
      <c r="AW40" s="158"/>
      <c r="AX40" s="158"/>
      <c r="AY40" s="311" t="s">
        <v>94</v>
      </c>
      <c r="AZ40" s="718">
        <f>+VLOOKUP($A$1,data!$A$133:$BK$163,22)</f>
        <v>24.999968345414832</v>
      </c>
      <c r="BA40" s="718">
        <f>+$AZ$40</f>
        <v>24.999968345414832</v>
      </c>
      <c r="BB40" s="718">
        <f t="shared" ref="BB40:BO40" si="6">+$AZ$40</f>
        <v>24.999968345414832</v>
      </c>
      <c r="BC40" s="718">
        <f t="shared" si="6"/>
        <v>24.999968345414832</v>
      </c>
      <c r="BD40" s="718">
        <f t="shared" si="6"/>
        <v>24.999968345414832</v>
      </c>
      <c r="BE40" s="718">
        <f t="shared" si="6"/>
        <v>24.999968345414832</v>
      </c>
      <c r="BF40" s="718">
        <f t="shared" si="6"/>
        <v>24.999968345414832</v>
      </c>
      <c r="BG40" s="718">
        <f t="shared" si="6"/>
        <v>24.999968345414832</v>
      </c>
      <c r="BH40" s="718">
        <f t="shared" si="6"/>
        <v>24.999968345414832</v>
      </c>
      <c r="BI40" s="718">
        <f t="shared" si="6"/>
        <v>24.999968345414832</v>
      </c>
      <c r="BJ40" s="718">
        <f t="shared" si="6"/>
        <v>24.999968345414832</v>
      </c>
      <c r="BK40" s="718">
        <f t="shared" si="6"/>
        <v>24.999968345414832</v>
      </c>
      <c r="BL40" s="718">
        <f t="shared" si="6"/>
        <v>24.999968345414832</v>
      </c>
      <c r="BM40" s="718">
        <f t="shared" si="6"/>
        <v>24.999968345414832</v>
      </c>
      <c r="BN40" s="718">
        <f t="shared" si="6"/>
        <v>24.999968345414832</v>
      </c>
      <c r="BO40" s="718">
        <f t="shared" si="6"/>
        <v>24.999968345414832</v>
      </c>
    </row>
    <row r="41" spans="1:67" ht="21.75" thickBot="1" x14ac:dyDescent="0.4">
      <c r="A41"/>
      <c r="B41" s="413" t="s">
        <v>93</v>
      </c>
      <c r="C41" s="414">
        <f>+B20</f>
        <v>85</v>
      </c>
      <c r="D41" s="414">
        <f t="shared" si="4"/>
        <v>117</v>
      </c>
      <c r="E41" s="414">
        <f t="shared" si="4"/>
        <v>187</v>
      </c>
      <c r="F41" s="414">
        <f t="shared" si="4"/>
        <v>234</v>
      </c>
      <c r="G41" s="414">
        <f t="shared" si="4"/>
        <v>277</v>
      </c>
      <c r="H41" s="414">
        <f t="shared" si="4"/>
        <v>358</v>
      </c>
      <c r="I41" s="414">
        <f t="shared" si="4"/>
        <v>422</v>
      </c>
      <c r="J41" s="414">
        <f t="shared" si="4"/>
        <v>484</v>
      </c>
      <c r="K41" s="414">
        <f t="shared" si="4"/>
        <v>520</v>
      </c>
      <c r="L41" s="414">
        <f t="shared" si="4"/>
        <v>548</v>
      </c>
      <c r="M41" s="414">
        <f t="shared" si="4"/>
        <v>662</v>
      </c>
      <c r="N41" s="414">
        <f t="shared" si="4"/>
        <v>743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0.26950800000000003</v>
      </c>
      <c r="AL41" s="420">
        <f t="shared" si="5"/>
        <v>0.53743000000000007</v>
      </c>
      <c r="AM41" s="420">
        <f t="shared" si="5"/>
        <v>0.80493500000000007</v>
      </c>
      <c r="AN41" s="420">
        <f t="shared" si="5"/>
        <v>1.090543</v>
      </c>
      <c r="AO41" s="420">
        <f t="shared" si="5"/>
        <v>1.378374</v>
      </c>
      <c r="AP41" s="420">
        <f t="shared" si="5"/>
        <v>1.652687</v>
      </c>
      <c r="AQ41" s="420">
        <f t="shared" si="5"/>
        <v>1.9685600000000001</v>
      </c>
      <c r="AR41" s="420">
        <f t="shared" si="5"/>
        <v>2.2926340000000001</v>
      </c>
      <c r="AS41" s="420">
        <f t="shared" si="5"/>
        <v>2.5912730000000002</v>
      </c>
      <c r="AT41" s="420">
        <f t="shared" si="5"/>
        <v>2.878762</v>
      </c>
      <c r="AU41" s="420">
        <f t="shared" si="5"/>
        <v>3.1763949999999999</v>
      </c>
      <c r="AV41" s="420">
        <f t="shared" si="5"/>
        <v>3.4751369999999997</v>
      </c>
      <c r="AW41" s="158"/>
      <c r="AX41" s="158"/>
      <c r="AY41" s="315" t="s">
        <v>93</v>
      </c>
      <c r="AZ41" s="719">
        <f>+VLOOKUP($A$1,data!$A$133:$BK$163,3)</f>
        <v>26.76990128495309</v>
      </c>
      <c r="BA41" s="719">
        <f>+VLOOKUP($A$1,data!$A$133:$BK$163,4)</f>
        <v>26.894342485115391</v>
      </c>
      <c r="BB41" s="719">
        <f>+VLOOKUP($A$1,data!$A$133:$BK$163,5)</f>
        <v>27.263754370890819</v>
      </c>
      <c r="BC41" s="719">
        <f>+VLOOKUP($A$1,data!$A$133:$BK$163,6)</f>
        <v>26.9760471165003</v>
      </c>
      <c r="BD41" s="719">
        <f>+VLOOKUP($A$1,data!$A$133:$BK$163,7)</f>
        <v>24.809726021266457</v>
      </c>
      <c r="BE41" s="719">
        <f>+VLOOKUP($A$1,data!$A$133:$BK$163,8)</f>
        <v>23.826826583109266</v>
      </c>
      <c r="BF41" s="719">
        <f>+VLOOKUP($A$1,data!$A$133:$BK$163,9)</f>
        <v>23.504461795872839</v>
      </c>
      <c r="BG41" s="719">
        <f>+VLOOKUP($A$1,data!$A$133:$BK$163,10)</f>
        <v>25.507662489858468</v>
      </c>
      <c r="BH41" s="719">
        <f>+VLOOKUP($A$1,data!$A$133:$BK$163,11)</f>
        <v>23.857424063182904</v>
      </c>
      <c r="BI41" s="719">
        <f>+VLOOKUP($A$1,data!$A$133:$BK$163,12)</f>
        <v>22.960384575230393</v>
      </c>
      <c r="BJ41" s="719">
        <f>+VLOOKUP($A$1,data!$A$133:$BK$163,13)</f>
        <v>25.022024667627747</v>
      </c>
      <c r="BK41" s="719">
        <f>+VLOOKUP($A$1,data!$A$133:$BK$163,14)</f>
        <v>24.942476132914074</v>
      </c>
      <c r="BL41" s="719">
        <f>+VLOOKUP($A$1,data!$A$133:$BK$163,15)</f>
        <v>24.002712737463487</v>
      </c>
      <c r="BM41" s="719">
        <f>+VLOOKUP($A$1,data!$A$133:$BK$163,16)</f>
        <v>23.66024504952394</v>
      </c>
      <c r="BN41" s="719">
        <f>+VLOOKUP($A$1,data!$A$133:$BK$163,17)</f>
        <v>22.742401398561611</v>
      </c>
      <c r="BO41" s="719">
        <f>+VLOOKUP($A$1,data!$A$133:$BK$163,18)</f>
        <v>24.57203069321703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24.841221322193352</v>
      </c>
      <c r="BA43" s="826">
        <f>+VLOOKUP($A$1,data!$A$133:$BK$163,26)</f>
        <v>26.179851517344094</v>
      </c>
      <c r="BB43" s="473">
        <f>+AZ45-AZ43</f>
        <v>-0.26919062897632173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24.999968345414832</v>
      </c>
      <c r="BA44" s="830"/>
      <c r="BB44" s="472">
        <f>+AZ45-AZ44</f>
        <v>-0.42793765219780155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24.57203069321703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1012</v>
      </c>
      <c r="B47" s="817" t="str">
        <f>+VLOOKUP($A$1,data!$A$4:$AH$32,2,0)</f>
        <v>ลำพูน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1012</v>
      </c>
      <c r="T47" s="817" t="str">
        <f>+VLOOKUP($A$1,data!$A$4:$AH$32,2,0)</f>
        <v>ลำพูน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1012</v>
      </c>
      <c r="AJ47" s="817" t="str">
        <f>+VLOOKUP($A$1,data!$A$4:$AH$32,2,0)</f>
        <v>ลำพูน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5.1921678699999996</v>
      </c>
      <c r="C64" s="632">
        <f>+VLOOKUP($A$1,data!$A$165:$AU$195,36)</f>
        <v>5.3375255100000008</v>
      </c>
      <c r="D64" s="632">
        <f>+VLOOKUP($A$1,data!$A$165:$AU$195,37)</f>
        <v>5.2917031099999994</v>
      </c>
      <c r="E64" s="632">
        <f>+VLOOKUP($A$1,data!$A$165:$AU$195,38)</f>
        <v>5.1477178999999991</v>
      </c>
      <c r="F64" s="632">
        <f>+VLOOKUP($A$1,data!$A$165:$AU$195,39)</f>
        <v>5.4986887600000003</v>
      </c>
      <c r="G64" s="632">
        <f>+VLOOKUP($A$1,data!$A$165:$AU$195,40)</f>
        <v>5.0076202500000004</v>
      </c>
      <c r="H64" s="632">
        <f>+VLOOKUP($A$1,data!$A$165:$AU$195,41)</f>
        <v>5.9326230299999994</v>
      </c>
      <c r="I64" s="632">
        <f>+VLOOKUP($A$1,data!$A$165:$AU$195,42)</f>
        <v>6.6030480100000002</v>
      </c>
      <c r="J64" s="632">
        <f>+VLOOKUP($A$1,data!$A$165:$AU$195,43)</f>
        <v>6.1734626899999991</v>
      </c>
      <c r="K64" s="632">
        <f>+VLOOKUP($A$1,data!$A$165:$AU$195,44)</f>
        <v>5.5809518699999998</v>
      </c>
      <c r="L64" s="632">
        <f>+VLOOKUP($A$1,data!$A$165:$AU$195,45)</f>
        <v>5.6301456999999999</v>
      </c>
      <c r="M64" s="632">
        <f>+VLOOKUP($A$1,data!$A$165:$AU$195,46)</f>
        <v>5.7354674400000007</v>
      </c>
      <c r="N64" s="632">
        <f>SUM(B64:M64)</f>
        <v>67.131122140000002</v>
      </c>
      <c r="O64" s="632">
        <f>SUM(B64:M64)</f>
        <v>67.131122140000002</v>
      </c>
      <c r="P64" s="635">
        <f>+O66-O64</f>
        <v>3.8619085099999921</v>
      </c>
      <c r="S64" s="605" t="s">
        <v>92</v>
      </c>
      <c r="T64" s="640">
        <f>+VLOOKUP($A$1,data!$A$197:$AU$227,35)</f>
        <v>1.8628759300000004</v>
      </c>
      <c r="U64" s="640">
        <f>+VLOOKUP($A$1,data!$A$197:$AU$227,36)</f>
        <v>1.98391647</v>
      </c>
      <c r="V64" s="640">
        <f>+VLOOKUP($A$1,data!$A$197:$AU$227,37)</f>
        <v>2.0314326</v>
      </c>
      <c r="W64" s="640">
        <f>+VLOOKUP($A$1,data!$A$197:$AU$227,38)</f>
        <v>1.8752655200000004</v>
      </c>
      <c r="X64" s="640">
        <f>+VLOOKUP($A$1,data!$A$197:$AU$227,39)</f>
        <v>1.93540991</v>
      </c>
      <c r="Y64" s="640">
        <f>+VLOOKUP($A$1,data!$A$197:$AU$227,40)</f>
        <v>2.0899681600000002</v>
      </c>
      <c r="Z64" s="640">
        <f>+VLOOKUP($A$1,data!$A$197:$AU$227,41)</f>
        <v>2.1669449300000005</v>
      </c>
      <c r="AA64" s="640">
        <f>+VLOOKUP($A$1,data!$A$197:$AU$227,42)</f>
        <v>2.3610808400000001</v>
      </c>
      <c r="AB64" s="640">
        <f>+VLOOKUP($A$1,data!$A$197:$AU$227,43)</f>
        <v>1.7384858999999999</v>
      </c>
      <c r="AC64" s="640">
        <f>+VLOOKUP($A$1,data!$A$197:$AU$227,44)</f>
        <v>1.8983431300000002</v>
      </c>
      <c r="AD64" s="640">
        <f>+VLOOKUP($A$1,data!$A$197:$AU$227,45)</f>
        <v>2.0618028699999997</v>
      </c>
      <c r="AE64" s="640">
        <f>+VLOOKUP($A$1,data!$A$197:$AU$227,46)</f>
        <v>1.8022456900000003</v>
      </c>
      <c r="AF64" s="640">
        <f>SUM(T64:AE64)</f>
        <v>23.807771950000003</v>
      </c>
      <c r="AG64" s="640">
        <f>SUM(T64:AE64)</f>
        <v>23.807771950000003</v>
      </c>
      <c r="AH64" s="641">
        <f>+AG66-AG64</f>
        <v>2.3788097599999958</v>
      </c>
      <c r="AI64" s="621" t="s">
        <v>92</v>
      </c>
      <c r="AJ64" s="648">
        <f>+B64-T64</f>
        <v>3.3292919399999992</v>
      </c>
      <c r="AK64" s="648">
        <f t="shared" ref="AK64:AU66" si="7">+C64-U64</f>
        <v>3.3536090400000007</v>
      </c>
      <c r="AL64" s="648">
        <f t="shared" si="7"/>
        <v>3.2602705099999993</v>
      </c>
      <c r="AM64" s="648">
        <f t="shared" si="7"/>
        <v>3.2724523799999989</v>
      </c>
      <c r="AN64" s="648">
        <f t="shared" si="7"/>
        <v>3.5632788500000006</v>
      </c>
      <c r="AO64" s="648">
        <f t="shared" si="7"/>
        <v>2.9176520900000003</v>
      </c>
      <c r="AP64" s="648">
        <f t="shared" si="7"/>
        <v>3.7656780999999988</v>
      </c>
      <c r="AQ64" s="648">
        <f t="shared" si="7"/>
        <v>4.2419671700000006</v>
      </c>
      <c r="AR64" s="648">
        <f t="shared" si="7"/>
        <v>4.4349767899999994</v>
      </c>
      <c r="AS64" s="648">
        <f t="shared" si="7"/>
        <v>3.6826087399999996</v>
      </c>
      <c r="AT64" s="648">
        <f t="shared" si="7"/>
        <v>3.5683428300000002</v>
      </c>
      <c r="AU64" s="648">
        <f t="shared" si="7"/>
        <v>3.9332217500000004</v>
      </c>
      <c r="AV64" s="648">
        <f>SUM(AJ64:AU64)</f>
        <v>43.323350189999999</v>
      </c>
      <c r="AW64" s="648">
        <f>SUM(AJ64:AU64)</f>
        <v>43.323350189999999</v>
      </c>
      <c r="AX64" s="651">
        <f>+AW66-AW64</f>
        <v>1.4830987500000035</v>
      </c>
    </row>
    <row r="65" spans="1:50" ht="21.75" thickBot="1" x14ac:dyDescent="0.4">
      <c r="A65" s="538" t="s">
        <v>94</v>
      </c>
      <c r="B65" s="633">
        <f>+VLOOKUP($A$1,data!$A$165:$AU$195,19)</f>
        <v>5.5014099999999999</v>
      </c>
      <c r="C65" s="633">
        <f>+VLOOKUP($A$1,data!$A$165:$AU$195,20)</f>
        <v>5.6507250000000004</v>
      </c>
      <c r="D65" s="633">
        <f>+VLOOKUP($A$1,data!$A$165:$AU$195,21)</f>
        <v>5.5749219999999999</v>
      </c>
      <c r="E65" s="633">
        <f>+VLOOKUP($A$1,data!$A$165:$AU$195,22)</f>
        <v>5.4707869999999996</v>
      </c>
      <c r="F65" s="633">
        <f>+VLOOKUP($A$1,data!$A$165:$AU$195,23)</f>
        <v>5.5895039999999998</v>
      </c>
      <c r="G65" s="633">
        <f>+VLOOKUP($A$1,data!$A$165:$AU$195,24)</f>
        <v>5.4349100000000004</v>
      </c>
      <c r="H65" s="633">
        <f>+VLOOKUP($A$1,data!$A$165:$AU$195,25)</f>
        <v>6.0202689999999999</v>
      </c>
      <c r="I65" s="633">
        <f>+VLOOKUP($A$1,data!$A$165:$AU$195,26)</f>
        <v>6.777965</v>
      </c>
      <c r="J65" s="633">
        <f>+VLOOKUP($A$1,data!$A$165:$AU$195,27)</f>
        <v>6.4930690000000002</v>
      </c>
      <c r="K65" s="633">
        <f>+VLOOKUP($A$1,data!$A$165:$AU$195,28)</f>
        <v>6.0665620000000002</v>
      </c>
      <c r="L65" s="633">
        <f>+VLOOKUP($A$1,data!$A$165:$AU$195,29)</f>
        <v>5.9774039999999999</v>
      </c>
      <c r="M65" s="633">
        <f>+VLOOKUP($A$1,data!$A$165:$AU$195,30)</f>
        <v>6.1194269999999999</v>
      </c>
      <c r="N65" s="633">
        <f>SUM(B65:M65)</f>
        <v>70.676953999999995</v>
      </c>
      <c r="O65" s="636">
        <f t="shared" ref="O65:O66" si="8">SUM(B65:M65)</f>
        <v>70.676953999999995</v>
      </c>
      <c r="P65" s="637">
        <f>+O66-O65</f>
        <v>0.3160766499999994</v>
      </c>
      <c r="S65" s="601" t="s">
        <v>94</v>
      </c>
      <c r="T65" s="642">
        <f>+VLOOKUP($A$1,data!$A$197:$AU$227,19)</f>
        <v>1.9860640000000001</v>
      </c>
      <c r="U65" s="642">
        <f>+VLOOKUP($A$1,data!$A$197:$AU$227,20)</f>
        <v>2.0621529999999999</v>
      </c>
      <c r="V65" s="642">
        <f>+VLOOKUP($A$1,data!$A$197:$AU$227,21)</f>
        <v>1.9961409999999999</v>
      </c>
      <c r="W65" s="642">
        <f>+VLOOKUP($A$1,data!$A$197:$AU$227,22)</f>
        <v>1.9947569999999999</v>
      </c>
      <c r="X65" s="642">
        <f>+VLOOKUP($A$1,data!$A$197:$AU$227,23)</f>
        <v>2.0190619999999999</v>
      </c>
      <c r="Y65" s="642">
        <f>+VLOOKUP($A$1,data!$A$197:$AU$227,24)</f>
        <v>2.09091</v>
      </c>
      <c r="Z65" s="642">
        <f>+VLOOKUP($A$1,data!$A$197:$AU$227,25)</f>
        <v>2.0422189999999998</v>
      </c>
      <c r="AA65" s="642">
        <f>+VLOOKUP($A$1,data!$A$197:$AU$227,26)</f>
        <v>2.1559919999999999</v>
      </c>
      <c r="AB65" s="642">
        <f>+VLOOKUP($A$1,data!$A$197:$AU$227,27)</f>
        <v>1.9292389999999999</v>
      </c>
      <c r="AC65" s="642">
        <f>+VLOOKUP($A$1,data!$A$197:$AU$227,28)</f>
        <v>2.058135</v>
      </c>
      <c r="AD65" s="642">
        <f>+VLOOKUP($A$1,data!$A$197:$AU$227,29)</f>
        <v>2.1090179999999998</v>
      </c>
      <c r="AE65" s="642">
        <f>+VLOOKUP($A$1,data!$A$197:$AU$227,30)</f>
        <v>2.533083</v>
      </c>
      <c r="AF65" s="642">
        <f>SUM(T65:AE65)</f>
        <v>24.976772999999998</v>
      </c>
      <c r="AG65" s="643">
        <f t="shared" ref="AG65:AG66" si="9">SUM(T65:AE65)</f>
        <v>24.976772999999998</v>
      </c>
      <c r="AH65" s="644">
        <f>+AG66-AG65</f>
        <v>1.2098087100000008</v>
      </c>
      <c r="AI65" s="617" t="s">
        <v>94</v>
      </c>
      <c r="AJ65" s="649">
        <f>+B65-T65</f>
        <v>3.5153460000000001</v>
      </c>
      <c r="AK65" s="649">
        <f t="shared" si="7"/>
        <v>3.5885720000000005</v>
      </c>
      <c r="AL65" s="649">
        <f t="shared" si="7"/>
        <v>3.5787810000000002</v>
      </c>
      <c r="AM65" s="649">
        <f t="shared" si="7"/>
        <v>3.4760299999999997</v>
      </c>
      <c r="AN65" s="649">
        <f t="shared" si="7"/>
        <v>3.5704419999999999</v>
      </c>
      <c r="AO65" s="649">
        <f t="shared" si="7"/>
        <v>3.3440000000000003</v>
      </c>
      <c r="AP65" s="649">
        <f t="shared" si="7"/>
        <v>3.9780500000000001</v>
      </c>
      <c r="AQ65" s="649">
        <f t="shared" si="7"/>
        <v>4.6219730000000006</v>
      </c>
      <c r="AR65" s="649">
        <f t="shared" si="7"/>
        <v>4.5638300000000003</v>
      </c>
      <c r="AS65" s="649">
        <f t="shared" si="7"/>
        <v>4.0084270000000002</v>
      </c>
      <c r="AT65" s="649">
        <f t="shared" si="7"/>
        <v>3.8683860000000001</v>
      </c>
      <c r="AU65" s="649">
        <f t="shared" si="7"/>
        <v>3.586344</v>
      </c>
      <c r="AV65" s="649">
        <f>SUM(AJ65:AU65)</f>
        <v>45.700181000000001</v>
      </c>
      <c r="AW65" s="652">
        <f t="shared" ref="AW65:AW66" si="10">SUM(AJ65:AU65)</f>
        <v>45.700181000000001</v>
      </c>
      <c r="AX65" s="653">
        <f>+AW66-AW65</f>
        <v>-0.89373205999999783</v>
      </c>
    </row>
    <row r="66" spans="1:50" ht="21.75" thickBot="1" x14ac:dyDescent="0.4">
      <c r="A66" s="546" t="s">
        <v>93</v>
      </c>
      <c r="B66" s="634">
        <f>+VLOOKUP($A$1,data!$A$165:$AU$195,3)</f>
        <v>5.4477426300000005</v>
      </c>
      <c r="C66" s="634">
        <f>+VLOOKUP($A$1,data!$A$165:$AU$195,4)</f>
        <v>5.4814596000000009</v>
      </c>
      <c r="D66" s="634">
        <f>+VLOOKUP($A$1,data!$A$165:$AU$195,5)</f>
        <v>5.4408992399999994</v>
      </c>
      <c r="E66" s="634">
        <f>+VLOOKUP($A$1,data!$A$165:$AU$195,6)</f>
        <v>5.8138520499999995</v>
      </c>
      <c r="F66" s="634">
        <f>+VLOOKUP($A$1,data!$A$165:$AU$195,7)</f>
        <v>5.7922599999999997</v>
      </c>
      <c r="G66" s="634">
        <f>+VLOOKUP($A$1,data!$A$165:$AU$195,8)</f>
        <v>6.064232360000001</v>
      </c>
      <c r="H66" s="634">
        <f>+VLOOKUP($A$1,data!$A$165:$AU$195,9)</f>
        <v>6.3263233699999999</v>
      </c>
      <c r="I66" s="634">
        <f>+VLOOKUP($A$1,data!$A$165:$AU$195,10)</f>
        <v>6.6688039600000009</v>
      </c>
      <c r="J66" s="634">
        <f>+VLOOKUP($A$1,data!$A$165:$AU$195,11)</f>
        <v>6.0644080699999989</v>
      </c>
      <c r="K66" s="634">
        <f>+VLOOKUP($A$1,data!$A$165:$AU$195,12)</f>
        <v>5.8135632400000006</v>
      </c>
      <c r="L66" s="634">
        <f>+VLOOKUP($A$1,data!$A$165:$AU$195,13)</f>
        <v>5.9992015300000006</v>
      </c>
      <c r="M66" s="634">
        <f>+VLOOKUP($A$1,data!$A$165:$AU$195,14)</f>
        <v>6.0802845999999997</v>
      </c>
      <c r="N66" s="634">
        <f>SUM(B66:M66)</f>
        <v>70.993030649999994</v>
      </c>
      <c r="O66" s="638">
        <f t="shared" si="8"/>
        <v>70.993030649999994</v>
      </c>
      <c r="P66" s="639"/>
      <c r="S66" s="608" t="s">
        <v>93</v>
      </c>
      <c r="T66" s="645">
        <f>+VLOOKUP($A$1,data!$A$197:$AU$227,3)</f>
        <v>1.8631266799999999</v>
      </c>
      <c r="U66" s="645">
        <f>+VLOOKUP($A$1,data!$A$197:$AU$227,4)</f>
        <v>2.2994842800000002</v>
      </c>
      <c r="V66" s="645">
        <f>+VLOOKUP($A$1,data!$A$197:$AU$227,5)</f>
        <v>2.2898876100000001</v>
      </c>
      <c r="W66" s="645">
        <f>+VLOOKUP($A$1,data!$A$197:$AU$227,6)</f>
        <v>1.7501095800000002</v>
      </c>
      <c r="X66" s="645">
        <f>+VLOOKUP($A$1,data!$A$197:$AU$227,7)</f>
        <v>2.1700848799999992</v>
      </c>
      <c r="Y66" s="645">
        <f>+VLOOKUP($A$1,data!$A$197:$AU$227,8)</f>
        <v>2.26665721</v>
      </c>
      <c r="Z66" s="645">
        <f>+VLOOKUP($A$1,data!$A$197:$AU$227,9)</f>
        <v>2.0158747699999995</v>
      </c>
      <c r="AA66" s="645">
        <f>+VLOOKUP($A$1,data!$A$197:$AU$227,10)</f>
        <v>2.27943271</v>
      </c>
      <c r="AB66" s="645">
        <f>+VLOOKUP($A$1,data!$A$197:$AU$227,11)</f>
        <v>2.0482590999999997</v>
      </c>
      <c r="AC66" s="645">
        <f>+VLOOKUP($A$1,data!$A$197:$AU$227,12)</f>
        <v>2.4127286799999998</v>
      </c>
      <c r="AD66" s="645">
        <f>+VLOOKUP($A$1,data!$A$197:$AU$227,13)</f>
        <v>2.3041844899999999</v>
      </c>
      <c r="AE66" s="645">
        <f>+VLOOKUP($A$1,data!$A$197:$AU$227,14)</f>
        <v>2.48675172</v>
      </c>
      <c r="AF66" s="645">
        <f>SUM(T66:AE66)</f>
        <v>26.186581709999999</v>
      </c>
      <c r="AG66" s="646">
        <f t="shared" si="9"/>
        <v>26.186581709999999</v>
      </c>
      <c r="AH66" s="647"/>
      <c r="AI66" s="624" t="s">
        <v>93</v>
      </c>
      <c r="AJ66" s="650">
        <f>+B66-T66</f>
        <v>3.5846159500000008</v>
      </c>
      <c r="AK66" s="650">
        <f t="shared" si="7"/>
        <v>3.1819753200000007</v>
      </c>
      <c r="AL66" s="650">
        <f t="shared" si="7"/>
        <v>3.1510116299999993</v>
      </c>
      <c r="AM66" s="650">
        <f t="shared" si="7"/>
        <v>4.0637424699999993</v>
      </c>
      <c r="AN66" s="650">
        <f t="shared" si="7"/>
        <v>3.6221751200000005</v>
      </c>
      <c r="AO66" s="650">
        <f t="shared" si="7"/>
        <v>3.797575150000001</v>
      </c>
      <c r="AP66" s="650">
        <f t="shared" si="7"/>
        <v>4.3104486000000009</v>
      </c>
      <c r="AQ66" s="650">
        <f t="shared" si="7"/>
        <v>4.3893712500000008</v>
      </c>
      <c r="AR66" s="650">
        <f t="shared" si="7"/>
        <v>4.0161489699999997</v>
      </c>
      <c r="AS66" s="650">
        <f>+K66-AC66</f>
        <v>3.4008345600000007</v>
      </c>
      <c r="AT66" s="650">
        <f>+L66-AD66</f>
        <v>3.6950170400000006</v>
      </c>
      <c r="AU66" s="650">
        <f>+M66-AE66</f>
        <v>3.5935328799999997</v>
      </c>
      <c r="AV66" s="650">
        <f>SUM(AJ66:AU66)</f>
        <v>44.806448940000003</v>
      </c>
      <c r="AW66" s="654">
        <f t="shared" si="10"/>
        <v>44.806448940000003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5.1921678699999996</v>
      </c>
      <c r="D85" s="628">
        <f t="shared" ref="D85:N87" si="11">+C85+C64</f>
        <v>10.529693380000001</v>
      </c>
      <c r="E85" s="628">
        <f t="shared" si="11"/>
        <v>15.821396490000001</v>
      </c>
      <c r="F85" s="628">
        <f t="shared" si="11"/>
        <v>20.969114390000001</v>
      </c>
      <c r="G85" s="628">
        <f t="shared" si="11"/>
        <v>26.467803150000002</v>
      </c>
      <c r="H85" s="628">
        <f t="shared" si="11"/>
        <v>31.475423400000004</v>
      </c>
      <c r="I85" s="628">
        <f t="shared" si="11"/>
        <v>37.408046430000006</v>
      </c>
      <c r="J85" s="628">
        <f t="shared" si="11"/>
        <v>44.011094440000008</v>
      </c>
      <c r="K85" s="628">
        <f t="shared" si="11"/>
        <v>50.184557130000009</v>
      </c>
      <c r="L85" s="628">
        <f t="shared" si="11"/>
        <v>55.765509000000009</v>
      </c>
      <c r="M85" s="628">
        <f t="shared" si="11"/>
        <v>61.395654700000009</v>
      </c>
      <c r="N85" s="628">
        <f t="shared" si="11"/>
        <v>67.131122140000002</v>
      </c>
      <c r="S85"/>
      <c r="T85" s="605" t="s">
        <v>92</v>
      </c>
      <c r="U85" s="640">
        <f>+T64</f>
        <v>1.8628759300000004</v>
      </c>
      <c r="V85" s="640">
        <f t="shared" ref="V85:AF87" si="12">+U85+U64</f>
        <v>3.8467924000000004</v>
      </c>
      <c r="W85" s="640">
        <f t="shared" si="12"/>
        <v>5.8782250000000005</v>
      </c>
      <c r="X85" s="640">
        <f t="shared" si="12"/>
        <v>7.7534905200000006</v>
      </c>
      <c r="Y85" s="640">
        <f t="shared" si="12"/>
        <v>9.6889004300000003</v>
      </c>
      <c r="Z85" s="640">
        <f t="shared" si="12"/>
        <v>11.77886859</v>
      </c>
      <c r="AA85" s="640">
        <f t="shared" si="12"/>
        <v>13.945813520000002</v>
      </c>
      <c r="AB85" s="640">
        <f t="shared" si="12"/>
        <v>16.306894360000001</v>
      </c>
      <c r="AC85" s="640">
        <f t="shared" si="12"/>
        <v>18.045380260000002</v>
      </c>
      <c r="AD85" s="640">
        <f t="shared" si="12"/>
        <v>19.943723390000002</v>
      </c>
      <c r="AE85" s="640">
        <f t="shared" si="12"/>
        <v>22.005526260000003</v>
      </c>
      <c r="AF85" s="640">
        <f t="shared" si="12"/>
        <v>23.807771950000003</v>
      </c>
      <c r="AG85" s="158"/>
      <c r="AH85" s="158"/>
      <c r="AI85"/>
      <c r="AJ85" s="621" t="s">
        <v>92</v>
      </c>
      <c r="AK85" s="648">
        <f>+AJ64</f>
        <v>3.3292919399999992</v>
      </c>
      <c r="AL85" s="648">
        <f t="shared" ref="AL85:AV87" si="13">+AK85+AK64</f>
        <v>6.6829009799999994</v>
      </c>
      <c r="AM85" s="648">
        <f t="shared" si="13"/>
        <v>9.9431714899999992</v>
      </c>
      <c r="AN85" s="648">
        <f t="shared" si="13"/>
        <v>13.215623869999998</v>
      </c>
      <c r="AO85" s="648">
        <f t="shared" si="13"/>
        <v>16.778902719999998</v>
      </c>
      <c r="AP85" s="648">
        <f t="shared" si="13"/>
        <v>19.696554809999999</v>
      </c>
      <c r="AQ85" s="648">
        <f t="shared" si="13"/>
        <v>23.462232909999997</v>
      </c>
      <c r="AR85" s="648">
        <f t="shared" si="13"/>
        <v>27.70420008</v>
      </c>
      <c r="AS85" s="648">
        <f t="shared" si="13"/>
        <v>32.13917687</v>
      </c>
      <c r="AT85" s="648">
        <f t="shared" si="13"/>
        <v>35.821785609999999</v>
      </c>
      <c r="AU85" s="648">
        <f t="shared" si="13"/>
        <v>39.390128439999998</v>
      </c>
      <c r="AV85" s="648">
        <f t="shared" si="13"/>
        <v>43.323350189999999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5.5014099999999999</v>
      </c>
      <c r="D86" s="633">
        <f t="shared" si="11"/>
        <v>11.152135000000001</v>
      </c>
      <c r="E86" s="633">
        <f t="shared" si="11"/>
        <v>16.727057000000002</v>
      </c>
      <c r="F86" s="633">
        <f t="shared" si="11"/>
        <v>22.197844000000003</v>
      </c>
      <c r="G86" s="633">
        <f t="shared" si="11"/>
        <v>27.787348000000001</v>
      </c>
      <c r="H86" s="633">
        <f t="shared" si="11"/>
        <v>33.222258000000004</v>
      </c>
      <c r="I86" s="633">
        <f t="shared" si="11"/>
        <v>39.242527000000003</v>
      </c>
      <c r="J86" s="633">
        <f t="shared" si="11"/>
        <v>46.020492000000004</v>
      </c>
      <c r="K86" s="633">
        <f t="shared" si="11"/>
        <v>52.513561000000003</v>
      </c>
      <c r="L86" s="633">
        <f t="shared" si="11"/>
        <v>58.580123</v>
      </c>
      <c r="M86" s="633">
        <f t="shared" si="11"/>
        <v>64.557526999999993</v>
      </c>
      <c r="N86" s="633">
        <f t="shared" si="11"/>
        <v>70.676953999999995</v>
      </c>
      <c r="S86"/>
      <c r="T86" s="601" t="s">
        <v>94</v>
      </c>
      <c r="U86" s="642">
        <f>+T65</f>
        <v>1.9860640000000001</v>
      </c>
      <c r="V86" s="642">
        <f t="shared" si="12"/>
        <v>4.0482170000000002</v>
      </c>
      <c r="W86" s="642">
        <f t="shared" si="12"/>
        <v>6.0443579999999999</v>
      </c>
      <c r="X86" s="642">
        <f t="shared" si="12"/>
        <v>8.0391149999999989</v>
      </c>
      <c r="Y86" s="642">
        <f t="shared" si="12"/>
        <v>10.058176999999999</v>
      </c>
      <c r="Z86" s="642">
        <f t="shared" si="12"/>
        <v>12.149086999999998</v>
      </c>
      <c r="AA86" s="642">
        <f t="shared" si="12"/>
        <v>14.191305999999997</v>
      </c>
      <c r="AB86" s="642">
        <f t="shared" si="12"/>
        <v>16.347297999999999</v>
      </c>
      <c r="AC86" s="642">
        <f t="shared" si="12"/>
        <v>18.276536999999998</v>
      </c>
      <c r="AD86" s="642">
        <f t="shared" si="12"/>
        <v>20.334671999999998</v>
      </c>
      <c r="AE86" s="642">
        <f t="shared" si="12"/>
        <v>22.443689999999997</v>
      </c>
      <c r="AF86" s="642">
        <f t="shared" si="12"/>
        <v>24.976772999999998</v>
      </c>
      <c r="AG86" s="158"/>
      <c r="AH86" s="158"/>
      <c r="AI86"/>
      <c r="AJ86" s="617" t="s">
        <v>94</v>
      </c>
      <c r="AK86" s="649">
        <f>+AJ65</f>
        <v>3.5153460000000001</v>
      </c>
      <c r="AL86" s="649">
        <f t="shared" si="13"/>
        <v>7.1039180000000002</v>
      </c>
      <c r="AM86" s="649">
        <f t="shared" si="13"/>
        <v>10.682699</v>
      </c>
      <c r="AN86" s="649">
        <f t="shared" si="13"/>
        <v>14.158728999999999</v>
      </c>
      <c r="AO86" s="649">
        <f t="shared" si="13"/>
        <v>17.729171000000001</v>
      </c>
      <c r="AP86" s="649">
        <f t="shared" si="13"/>
        <v>21.073171000000002</v>
      </c>
      <c r="AQ86" s="649">
        <f t="shared" si="13"/>
        <v>25.051221000000002</v>
      </c>
      <c r="AR86" s="649">
        <f t="shared" si="13"/>
        <v>29.673194000000002</v>
      </c>
      <c r="AS86" s="649">
        <f t="shared" si="13"/>
        <v>34.237024000000005</v>
      </c>
      <c r="AT86" s="649">
        <f t="shared" si="13"/>
        <v>38.245451000000003</v>
      </c>
      <c r="AU86" s="649">
        <f t="shared" si="13"/>
        <v>42.113837000000004</v>
      </c>
      <c r="AV86" s="649">
        <f t="shared" si="13"/>
        <v>45.700181000000001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5.4477426300000005</v>
      </c>
      <c r="D87" s="629">
        <f t="shared" si="11"/>
        <v>10.929202230000001</v>
      </c>
      <c r="E87" s="629">
        <f t="shared" si="11"/>
        <v>16.370101470000002</v>
      </c>
      <c r="F87" s="629">
        <f t="shared" si="11"/>
        <v>22.183953520000003</v>
      </c>
      <c r="G87" s="629">
        <f t="shared" si="11"/>
        <v>27.976213520000002</v>
      </c>
      <c r="H87" s="629">
        <f t="shared" si="11"/>
        <v>34.04044588</v>
      </c>
      <c r="I87" s="629">
        <f t="shared" si="11"/>
        <v>40.366769249999997</v>
      </c>
      <c r="J87" s="629">
        <f t="shared" si="11"/>
        <v>47.035573209999995</v>
      </c>
      <c r="K87" s="629">
        <f t="shared" si="11"/>
        <v>53.099981279999994</v>
      </c>
      <c r="L87" s="629">
        <f t="shared" si="11"/>
        <v>58.913544519999995</v>
      </c>
      <c r="M87" s="629">
        <f t="shared" si="11"/>
        <v>64.912746049999996</v>
      </c>
      <c r="N87" s="629">
        <f t="shared" si="11"/>
        <v>70.993030649999994</v>
      </c>
      <c r="S87"/>
      <c r="T87" s="608" t="s">
        <v>93</v>
      </c>
      <c r="U87" s="645">
        <f>+T66</f>
        <v>1.8631266799999999</v>
      </c>
      <c r="V87" s="645">
        <f t="shared" si="12"/>
        <v>4.1626109600000003</v>
      </c>
      <c r="W87" s="645">
        <f t="shared" si="12"/>
        <v>6.4524985700000004</v>
      </c>
      <c r="X87" s="645">
        <f t="shared" si="12"/>
        <v>8.2026081499999997</v>
      </c>
      <c r="Y87" s="645">
        <f t="shared" si="12"/>
        <v>10.372693029999999</v>
      </c>
      <c r="Z87" s="645">
        <f t="shared" si="12"/>
        <v>12.639350239999999</v>
      </c>
      <c r="AA87" s="645">
        <f t="shared" si="12"/>
        <v>14.655225009999999</v>
      </c>
      <c r="AB87" s="645">
        <f t="shared" si="12"/>
        <v>16.934657719999997</v>
      </c>
      <c r="AC87" s="645">
        <f t="shared" si="12"/>
        <v>18.982916819999996</v>
      </c>
      <c r="AD87" s="645">
        <f t="shared" si="12"/>
        <v>21.395645499999997</v>
      </c>
      <c r="AE87" s="645">
        <f t="shared" si="12"/>
        <v>23.699829989999998</v>
      </c>
      <c r="AF87" s="645">
        <f t="shared" si="12"/>
        <v>26.186581709999999</v>
      </c>
      <c r="AG87" s="158"/>
      <c r="AH87" s="158"/>
      <c r="AI87"/>
      <c r="AJ87" s="624" t="s">
        <v>93</v>
      </c>
      <c r="AK87" s="650">
        <f>+AJ66</f>
        <v>3.5846159500000008</v>
      </c>
      <c r="AL87" s="650">
        <f t="shared" si="13"/>
        <v>6.766591270000001</v>
      </c>
      <c r="AM87" s="650">
        <f t="shared" si="13"/>
        <v>9.9176029000000003</v>
      </c>
      <c r="AN87" s="650">
        <f t="shared" si="13"/>
        <v>13.98134537</v>
      </c>
      <c r="AO87" s="650">
        <f t="shared" si="13"/>
        <v>17.603520490000001</v>
      </c>
      <c r="AP87" s="650">
        <f t="shared" si="13"/>
        <v>21.401095640000001</v>
      </c>
      <c r="AQ87" s="650">
        <f t="shared" si="13"/>
        <v>25.711544240000002</v>
      </c>
      <c r="AR87" s="650">
        <f t="shared" si="13"/>
        <v>30.100915490000002</v>
      </c>
      <c r="AS87" s="650">
        <f t="shared" si="13"/>
        <v>34.117064460000002</v>
      </c>
      <c r="AT87" s="650">
        <f t="shared" si="13"/>
        <v>37.517899020000002</v>
      </c>
      <c r="AU87" s="650">
        <f t="shared" si="13"/>
        <v>41.212916060000005</v>
      </c>
      <c r="AV87" s="650">
        <f t="shared" si="13"/>
        <v>44.806448940000003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272" priority="15" operator="lessThan">
      <formula>0</formula>
    </cfRule>
  </conditionalFormatting>
  <conditionalFormatting sqref="O41">
    <cfRule type="cellIs" dxfId="271" priority="14" operator="lessThan">
      <formula>0</formula>
    </cfRule>
  </conditionalFormatting>
  <conditionalFormatting sqref="AX18:AX22">
    <cfRule type="cellIs" dxfId="270" priority="13" operator="lessThan">
      <formula>0</formula>
    </cfRule>
  </conditionalFormatting>
  <conditionalFormatting sqref="BN21:BN22">
    <cfRule type="cellIs" dxfId="269" priority="12" operator="lessThan">
      <formula>0</formula>
    </cfRule>
  </conditionalFormatting>
  <conditionalFormatting sqref="BB43:BB46">
    <cfRule type="cellIs" dxfId="268" priority="11" operator="greaterThan">
      <formula>0</formula>
    </cfRule>
  </conditionalFormatting>
  <conditionalFormatting sqref="AX18:AX20">
    <cfRule type="cellIs" dxfId="267" priority="10" operator="lessThan">
      <formula>0</formula>
    </cfRule>
  </conditionalFormatting>
  <conditionalFormatting sqref="BN18:BN20">
    <cfRule type="cellIs" dxfId="266" priority="9" operator="greaterThan">
      <formula>0</formula>
    </cfRule>
  </conditionalFormatting>
  <conditionalFormatting sqref="P18:P20">
    <cfRule type="cellIs" dxfId="265" priority="8" operator="lessThan">
      <formula>0</formula>
    </cfRule>
  </conditionalFormatting>
  <conditionalFormatting sqref="P67:P68">
    <cfRule type="cellIs" dxfId="264" priority="7" operator="lessThan">
      <formula>0</formula>
    </cfRule>
  </conditionalFormatting>
  <conditionalFormatting sqref="P64:P66">
    <cfRule type="cellIs" dxfId="263" priority="6" operator="lessThan">
      <formula>0</formula>
    </cfRule>
  </conditionalFormatting>
  <conditionalFormatting sqref="AH67:AH68">
    <cfRule type="cellIs" dxfId="262" priority="5" operator="lessThan">
      <formula>0</formula>
    </cfRule>
  </conditionalFormatting>
  <conditionalFormatting sqref="AH64:AH66">
    <cfRule type="cellIs" dxfId="261" priority="4" operator="greaterThan">
      <formula>0</formula>
    </cfRule>
  </conditionalFormatting>
  <conditionalFormatting sqref="AX67:AX68">
    <cfRule type="cellIs" dxfId="260" priority="3" operator="lessThan">
      <formula>0</formula>
    </cfRule>
  </conditionalFormatting>
  <conditionalFormatting sqref="AX64:AX66">
    <cfRule type="cellIs" dxfId="259" priority="2" operator="lessThan">
      <formula>0</formula>
    </cfRule>
  </conditionalFormatting>
  <conditionalFormatting sqref="S24:AH24 S21:T23 V21:AH23">
    <cfRule type="cellIs" dxfId="258" priority="1" operator="lessThan">
      <formula>0</formula>
    </cfRule>
  </conditionalFormatting>
  <pageMargins left="0.39370078740157483" right="0.19685039370078741" top="0.74803149606299213" bottom="0.23" header="0.31496062992125984" footer="0.31496062992125984"/>
  <pageSetup paperSize="9" scale="80" pageOrder="overThenDown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25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1013</v>
      </c>
      <c r="B3" s="807" t="str">
        <f>+VLOOKUP($A3,data!$A$4:$AH$32,2,0)</f>
        <v>บ้านโฮ่ง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806</v>
      </c>
      <c r="C9" s="180">
        <f>+VLOOKUP($A$3,data!$A$4:$AH$32,8,0)/10^6</f>
        <v>0.106973</v>
      </c>
      <c r="D9" s="181">
        <f>+VLOOKUP($A$3,data!$A$4:$AH$32,9,0)</f>
        <v>0.37549867050450625</v>
      </c>
      <c r="E9" s="180">
        <f>+VLOOKUP($A$3,data!$A$4:$AH$32,10,0)/10^6</f>
        <v>1.4380096599999999</v>
      </c>
      <c r="F9" s="182">
        <f>+E9/C9</f>
        <v>13.442734708758284</v>
      </c>
      <c r="G9" s="179">
        <f>+VLOOKUP($A$3,data!$A$4:$AH$32,23,0)</f>
        <v>843</v>
      </c>
      <c r="H9" s="180">
        <f>+VLOOKUP($A$3,data!$A$4:$AH$32,24,0)/10^6</f>
        <v>0.10134</v>
      </c>
      <c r="I9" s="181">
        <f>+VLOOKUP($A$3,data!$A$4:$AH$32,25,0)</f>
        <v>0.33674206866760265</v>
      </c>
      <c r="J9" s="180">
        <f>+VLOOKUP($A$3,data!$A$4:$AH$32,26,0)/10^6</f>
        <v>1.3268710599999998</v>
      </c>
      <c r="K9" s="182">
        <f>+J9/H9</f>
        <v>13.0932609038879</v>
      </c>
    </row>
    <row r="10" spans="1:12" ht="26.25" x14ac:dyDescent="0.4">
      <c r="A10" s="187" t="s">
        <v>4</v>
      </c>
      <c r="B10" s="189">
        <f>+B9/B20</f>
        <v>0.75397567820392886</v>
      </c>
      <c r="C10" s="190"/>
      <c r="D10" s="190"/>
      <c r="E10" s="190"/>
      <c r="F10" s="191"/>
      <c r="G10" s="189">
        <f>+G9/G20</f>
        <v>0.72672413793103452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190</v>
      </c>
      <c r="C13" s="180">
        <f>+VLOOKUP($A$3,data!$A$4:$AH$32,12,0)/10^6</f>
        <v>4.7673E-2</v>
      </c>
      <c r="D13" s="181">
        <f>+VLOOKUP($A$3,data!$A$4:$AH$32,13,0)</f>
        <v>0.75936604014017206</v>
      </c>
      <c r="E13" s="180">
        <f>+VLOOKUP($A$3,data!$A$4:$AH$32,14,0)/10^6</f>
        <v>1.0185564000000003</v>
      </c>
      <c r="F13" s="182">
        <f>+E13/C13</f>
        <v>21.365477314203012</v>
      </c>
      <c r="G13" s="179">
        <f>+VLOOKUP($A$3,data!$A$4:$AH$32,27,0)</f>
        <v>256</v>
      </c>
      <c r="H13" s="180">
        <f>+VLOOKUP($A$3,data!$A$4:$AH$32,28,0)/10^6</f>
        <v>6.5959000000000004E-2</v>
      </c>
      <c r="I13" s="181">
        <f>+VLOOKUP($A$3,data!$A$4:$AH$32,29,0)</f>
        <v>0.81035690152957796</v>
      </c>
      <c r="J13" s="180">
        <f>+VLOOKUP($A$3,data!$A$4:$AH$32,30,0)/10^6</f>
        <v>1.4089838499999998</v>
      </c>
      <c r="K13" s="182">
        <f>+J13/H13</f>
        <v>21.361510180566711</v>
      </c>
    </row>
    <row r="14" spans="1:12" ht="26.25" x14ac:dyDescent="0.4">
      <c r="A14" s="187" t="s">
        <v>29</v>
      </c>
      <c r="B14" s="189">
        <f>+B13/B20</f>
        <v>0.17773620205799812</v>
      </c>
      <c r="C14" s="190"/>
      <c r="D14" s="190"/>
      <c r="E14" s="190"/>
      <c r="F14" s="191"/>
      <c r="G14" s="189">
        <f>+G13/G20</f>
        <v>0.22068965517241379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73</v>
      </c>
      <c r="C17" s="180">
        <f>+VLOOKUP($A$3,data!$A$4:$AH$32,16,0)/10^6</f>
        <v>3.8279000000000001E-2</v>
      </c>
      <c r="D17" s="181">
        <f>+VLOOKUP($A$3,data!$A$4:$AH$32,17,0)</f>
        <v>1.5310068993100689</v>
      </c>
      <c r="E17" s="180">
        <f>+VLOOKUP($A$3,data!$A$4:$AH$32,18,0)/10^6</f>
        <v>1.0727132500000001</v>
      </c>
      <c r="F17" s="182">
        <f>+E17/C17</f>
        <v>28.023544240967635</v>
      </c>
      <c r="G17" s="179">
        <f>+VLOOKUP($A$3,data!$A$4:$AH$32,31,0)</f>
        <v>61</v>
      </c>
      <c r="H17" s="180">
        <f>+VLOOKUP($A$3,data!$A$4:$AH$32,32,0)/10^6</f>
        <v>3.2176999999999997E-2</v>
      </c>
      <c r="I17" s="181">
        <f>+VLOOKUP($A$3,data!$A$4:$AH$32,33,0)</f>
        <v>1.3157636475158454</v>
      </c>
      <c r="J17" s="180">
        <f>+VLOOKUP($A$3,data!$A$4:$AH$32,34,0)/10^6</f>
        <v>0.90761065000000007</v>
      </c>
      <c r="K17" s="182">
        <f>+J17/H17</f>
        <v>28.206813873263517</v>
      </c>
    </row>
    <row r="18" spans="1:11" ht="26.25" x14ac:dyDescent="0.4">
      <c r="A18" s="187" t="s">
        <v>30</v>
      </c>
      <c r="B18" s="189">
        <f>+B17/B20</f>
        <v>6.8288119738072972E-2</v>
      </c>
      <c r="C18" s="190"/>
      <c r="D18" s="190"/>
      <c r="E18" s="190"/>
      <c r="F18" s="191"/>
      <c r="G18" s="189">
        <f>+G17/G20</f>
        <v>5.2586206896551725E-2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1069</v>
      </c>
      <c r="C20" s="180">
        <f>+VLOOKUP($A$3,data!$A$4:$AH$32,4,0)/10^6</f>
        <v>0.19292500000000001</v>
      </c>
      <c r="D20" s="181">
        <f>+VLOOKUP($A$3,data!$A$4:$AH$32,5,0)</f>
        <v>0.51769015067151458</v>
      </c>
      <c r="E20" s="180">
        <f>+VLOOKUP($A$3,data!$A$4:$AH$32,6,0)/10^6</f>
        <v>3.5292793100000006</v>
      </c>
      <c r="F20" s="182">
        <f>+E20/C20</f>
        <v>18.29353018012181</v>
      </c>
      <c r="G20" s="179">
        <f>+VLOOKUP($A$3,data!$A$4:$AH$32,19,0)</f>
        <v>1160</v>
      </c>
      <c r="H20" s="180">
        <f>+VLOOKUP($A$3,data!$A$4:$AH$32,20,0)/10^6</f>
        <v>0.19947599999999999</v>
      </c>
      <c r="I20" s="181">
        <f>+VLOOKUP($A$3,data!$A$4:$AH$32,21,0)</f>
        <v>0.49036302291708916</v>
      </c>
      <c r="J20" s="180">
        <f>+VLOOKUP($A$3,data!$A$4:$AH$32,22,0)/10^6</f>
        <v>3.6434655600000001</v>
      </c>
      <c r="K20" s="182">
        <f>+J20/H20</f>
        <v>18.265182578355294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บ้านโฮ่ง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view="pageLayout" zoomScale="70" zoomScaleNormal="100" zoomScalePageLayoutView="70" workbookViewId="0"/>
  </sheetViews>
  <sheetFormatPr defaultRowHeight="21" x14ac:dyDescent="0.35"/>
  <cols>
    <col min="1" max="1" width="9" style="158" bestFit="1" customWidth="1"/>
    <col min="2" max="2" width="6.75" style="158" bestFit="1" customWidth="1"/>
    <col min="3" max="4" width="5.625" style="158" bestFit="1" customWidth="1"/>
    <col min="5" max="5" width="5.75" style="158" bestFit="1" customWidth="1"/>
    <col min="6" max="6" width="5.625" style="158" bestFit="1" customWidth="1"/>
    <col min="7" max="7" width="5.75" style="158" bestFit="1" customWidth="1"/>
    <col min="8" max="9" width="6" style="158" bestFit="1" customWidth="1"/>
    <col min="10" max="11" width="5.75" style="158" bestFit="1" customWidth="1"/>
    <col min="12" max="14" width="6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7" width="6.75" bestFit="1" customWidth="1"/>
    <col min="48" max="48" width="6.875" bestFit="1" customWidth="1"/>
    <col min="49" max="49" width="8.25" bestFit="1" customWidth="1"/>
    <col min="50" max="50" width="6.75" bestFit="1" customWidth="1"/>
    <col min="51" max="51" width="7.875" customWidth="1"/>
    <col min="52" max="67" width="6.75" bestFit="1" customWidth="1"/>
  </cols>
  <sheetData>
    <row r="1" spans="1:66" ht="27" thickBot="1" x14ac:dyDescent="0.25">
      <c r="A1" s="248">
        <v>1013</v>
      </c>
      <c r="B1" s="817" t="str">
        <f>+VLOOKUP($A$1,data!$A$4:$AH$32,2,0)</f>
        <v>บ้านโฮ่ง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1013</v>
      </c>
      <c r="T1" s="817" t="str">
        <f>+VLOOKUP($A$1,data!$A$4:$AH$32,2,0)</f>
        <v>บ้านโฮ่ง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1013</v>
      </c>
      <c r="AJ1" s="817" t="str">
        <f>+VLOOKUP($A$1,data!$A$4:$AH$32,2,0)</f>
        <v>บ้านโฮ่ง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1013</v>
      </c>
      <c r="AZ1" s="817" t="str">
        <f>+VLOOKUP($A$1,data!$A$4:$AH$32,2,0)</f>
        <v>บ้านโฮ่ง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4</v>
      </c>
      <c r="C18" s="406">
        <f>+VLOOKUP($A$1,data!$A$37:$AU$67,36)</f>
        <v>5</v>
      </c>
      <c r="D18" s="406">
        <f>+VLOOKUP($A$1,data!$A$37:$AU$67,37)</f>
        <v>8</v>
      </c>
      <c r="E18" s="406">
        <f>+VLOOKUP($A$1,data!$A$37:$AU$67,38)</f>
        <v>2</v>
      </c>
      <c r="F18" s="406">
        <f>+VLOOKUP($A$1,data!$A$37:$AU$67,39)</f>
        <v>12</v>
      </c>
      <c r="G18" s="406">
        <f>+VLOOKUP($A$1,data!$A$37:$AU$67,40)</f>
        <v>14</v>
      </c>
      <c r="H18" s="406">
        <f>+VLOOKUP($A$1,data!$A$37:$AU$67,41)</f>
        <v>16</v>
      </c>
      <c r="I18" s="406">
        <f>+VLOOKUP($A$1,data!$A$37:$AU$67,42)</f>
        <v>23</v>
      </c>
      <c r="J18" s="406">
        <f>+VLOOKUP($A$1,data!$A$37:$AU$67,43)</f>
        <v>3</v>
      </c>
      <c r="K18" s="406">
        <f>+VLOOKUP($A$1,data!$A$37:$AU$67,44)</f>
        <v>5</v>
      </c>
      <c r="L18" s="406">
        <f>+VLOOKUP($A$1,data!$A$37:$AU$67,45)</f>
        <v>5</v>
      </c>
      <c r="M18" s="406">
        <f>+VLOOKUP($A$1,data!$A$37:$AU$67,46)</f>
        <v>19</v>
      </c>
      <c r="N18" s="406">
        <f>SUM(B18:M18)</f>
        <v>116</v>
      </c>
      <c r="O18" s="406">
        <f>SUM(B18:M18)</f>
        <v>116</v>
      </c>
      <c r="P18" s="407">
        <f>+O20-O18</f>
        <v>-34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1.332E-2</v>
      </c>
      <c r="AK18" s="418">
        <f>+VLOOKUP($A$1,data!$A$69:$AU$99,36)</f>
        <v>1.3984999999999999E-2</v>
      </c>
      <c r="AL18" s="418">
        <f>+VLOOKUP($A$1,data!$A$69:$AU$99,37)</f>
        <v>1.4978999999999999E-2</v>
      </c>
      <c r="AM18" s="418">
        <f>+VLOOKUP($A$1,data!$A$69:$AU$99,38)</f>
        <v>1.4609E-2</v>
      </c>
      <c r="AN18" s="418">
        <f>+VLOOKUP($A$1,data!$A$69:$AU$99,39)</f>
        <v>1.3882E-2</v>
      </c>
      <c r="AO18" s="418">
        <f>+VLOOKUP($A$1,data!$A$69:$AU$99,40)</f>
        <v>1.4596E-2</v>
      </c>
      <c r="AP18" s="418">
        <f>+VLOOKUP($A$1,data!$A$69:$AU$99,41)</f>
        <v>1.9675999999999999E-2</v>
      </c>
      <c r="AQ18" s="418">
        <f>+VLOOKUP($A$1,data!$A$69:$AU$99,42)</f>
        <v>2.1694000000000001E-2</v>
      </c>
      <c r="AR18" s="418">
        <f>+VLOOKUP($A$1,data!$A$69:$AU$99,43)</f>
        <v>1.9997999999999998E-2</v>
      </c>
      <c r="AS18" s="418">
        <f>+VLOOKUP($A$1,data!$A$69:$AU$99,44)</f>
        <v>1.4822E-2</v>
      </c>
      <c r="AT18" s="418">
        <f>+VLOOKUP($A$1,data!$A$69:$AU$99,45)</f>
        <v>1.4978E-2</v>
      </c>
      <c r="AU18" s="418">
        <f>+VLOOKUP($A$1,data!$A$69:$AU$99,46)</f>
        <v>1.6389999999999998E-2</v>
      </c>
      <c r="AV18" s="418">
        <f>SUM(AJ18:AU18)</f>
        <v>0.19292899999999996</v>
      </c>
      <c r="AW18" s="418">
        <f>SUM(AJ18:AU18)</f>
        <v>0.19292899999999996</v>
      </c>
      <c r="AX18" s="419">
        <f>+AW20-AW18</f>
        <v>6.547000000000025E-3</v>
      </c>
      <c r="AY18" s="308" t="s">
        <v>92</v>
      </c>
      <c r="AZ18" s="309">
        <f>+VLOOKUP($A$1,data!$A$101:$AU$131,35)</f>
        <v>4.3899999999999998E-3</v>
      </c>
      <c r="BA18" s="309">
        <f>+VLOOKUP($A$1,data!$A$101:$AU$131,36)</f>
        <v>4.5250000000000004E-3</v>
      </c>
      <c r="BB18" s="309">
        <f>+VLOOKUP($A$1,data!$A$101:$AU$131,37)</f>
        <v>4.8260000000000004E-3</v>
      </c>
      <c r="BC18" s="309">
        <f>+VLOOKUP($A$1,data!$A$101:$AU$131,38)</f>
        <v>4.7159999999999997E-3</v>
      </c>
      <c r="BD18" s="309">
        <f>+VLOOKUP($A$1,data!$A$101:$AU$131,39)</f>
        <v>4.5799999999999999E-3</v>
      </c>
      <c r="BE18" s="309">
        <f>+VLOOKUP($A$1,data!$A$101:$AU$131,40)</f>
        <v>4.8840000000000003E-3</v>
      </c>
      <c r="BF18" s="309">
        <f>+VLOOKUP($A$1,data!$A$101:$AU$131,41)</f>
        <v>6.1659999999999996E-3</v>
      </c>
      <c r="BG18" s="309">
        <f>+VLOOKUP($A$1,data!$A$101:$AU$131,42)</f>
        <v>6.4559999999999999E-3</v>
      </c>
      <c r="BH18" s="309">
        <f>+VLOOKUP($A$1,data!$A$101:$AU$131,43)</f>
        <v>5.9020000000000001E-3</v>
      </c>
      <c r="BI18" s="309">
        <f>+VLOOKUP($A$1,data!$A$101:$AU$131,44)</f>
        <v>4.1780000000000003E-3</v>
      </c>
      <c r="BJ18" s="309">
        <f>+VLOOKUP($A$1,data!$A$101:$AU$131,45)</f>
        <v>4.1320000000000003E-3</v>
      </c>
      <c r="BK18" s="309">
        <f>+VLOOKUP($A$1,data!$A$101:$AU$131,46)</f>
        <v>4.4099999999999999E-3</v>
      </c>
      <c r="BL18" s="309">
        <f>SUM(AZ18:BK18)</f>
        <v>5.9164999999999995E-2</v>
      </c>
      <c r="BM18" s="309">
        <f>SUM(AZ18:BK18)</f>
        <v>5.9164999999999995E-2</v>
      </c>
      <c r="BN18" s="310">
        <f>+BM20-BM18</f>
        <v>4.2100000000000054E-3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1.5609756097560972</v>
      </c>
      <c r="C19" s="409">
        <f>+VLOOKUP($A$1,data!$A$37:$AU$67,20)</f>
        <v>1.5609756097560972</v>
      </c>
      <c r="D19" s="409">
        <f>+VLOOKUP($A$1,data!$A$37:$AU$67,21)</f>
        <v>2.7317073170731705</v>
      </c>
      <c r="E19" s="409">
        <f>+VLOOKUP($A$1,data!$A$37:$AU$67,22)</f>
        <v>4.48780487804878</v>
      </c>
      <c r="F19" s="409">
        <f>+VLOOKUP($A$1,data!$A$37:$AU$67,23)</f>
        <v>5.6585365853658516</v>
      </c>
      <c r="G19" s="409">
        <f>+VLOOKUP($A$1,data!$A$37:$AU$67,24)</f>
        <v>4.0975609756097553</v>
      </c>
      <c r="H19" s="409">
        <f>+VLOOKUP($A$1,data!$A$37:$AU$67,25)</f>
        <v>4.0975609756097553</v>
      </c>
      <c r="I19" s="409">
        <f>+VLOOKUP($A$1,data!$A$37:$AU$67,26)</f>
        <v>4.6829268292682915</v>
      </c>
      <c r="J19" s="409">
        <f>+VLOOKUP($A$1,data!$A$37:$AU$67,27)</f>
        <v>2.7317073170731705</v>
      </c>
      <c r="K19" s="409">
        <f>+VLOOKUP($A$1,data!$A$37:$AU$67,28)</f>
        <v>1.7560975609756095</v>
      </c>
      <c r="L19" s="409">
        <f>+VLOOKUP($A$1,data!$A$37:$AU$67,29)</f>
        <v>1.9512195121951217</v>
      </c>
      <c r="M19" s="409">
        <f>+VLOOKUP($A$1,data!$A$37:$AU$67,30)</f>
        <v>4.6829268292682915</v>
      </c>
      <c r="N19" s="409">
        <f>SUM(B19:M19)</f>
        <v>39.999999999999993</v>
      </c>
      <c r="O19" s="630">
        <f t="shared" ref="O19:O20" si="0">SUM(B19:M19)</f>
        <v>39.999999999999993</v>
      </c>
      <c r="P19" s="412">
        <f>+O20-O19</f>
        <v>42.000000000000007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1.3631000000000001E-2</v>
      </c>
      <c r="AK19" s="423">
        <f>+VLOOKUP($A$1,data!$A$69:$AU$99,20)</f>
        <v>1.5637000000000002E-2</v>
      </c>
      <c r="AL19" s="423">
        <f>+VLOOKUP($A$1,data!$A$69:$AU$99,21)</f>
        <v>1.4796999999999999E-2</v>
      </c>
      <c r="AM19" s="423">
        <f>+VLOOKUP($A$1,data!$A$69:$AU$99,22)</f>
        <v>1.5474E-2</v>
      </c>
      <c r="AN19" s="423">
        <f>+VLOOKUP($A$1,data!$A$69:$AU$99,23)</f>
        <v>1.4754E-2</v>
      </c>
      <c r="AO19" s="423">
        <f>+VLOOKUP($A$1,data!$A$69:$AU$99,24)</f>
        <v>1.5386E-2</v>
      </c>
      <c r="AP19" s="423">
        <f>+VLOOKUP($A$1,data!$A$69:$AU$99,25)</f>
        <v>2.0004999999999998E-2</v>
      </c>
      <c r="AQ19" s="423">
        <f>+VLOOKUP($A$1,data!$A$69:$AU$99,26)</f>
        <v>1.9585000000000002E-2</v>
      </c>
      <c r="AR19" s="423">
        <f>+VLOOKUP($A$1,data!$A$69:$AU$99,27)</f>
        <v>1.9292E-2</v>
      </c>
      <c r="AS19" s="423">
        <f>+VLOOKUP($A$1,data!$A$69:$AU$99,28)</f>
        <v>1.7606E-2</v>
      </c>
      <c r="AT19" s="423">
        <f>+VLOOKUP($A$1,data!$A$69:$AU$99,29)</f>
        <v>1.6618999999999998E-2</v>
      </c>
      <c r="AU19" s="423">
        <f>+VLOOKUP($A$1,data!$A$69:$AU$99,30)</f>
        <v>1.6653999999999999E-2</v>
      </c>
      <c r="AV19" s="423">
        <f>SUM(AJ19:AU19)</f>
        <v>0.19944000000000001</v>
      </c>
      <c r="AW19" s="424">
        <f t="shared" ref="AW19:AW20" si="1">SUM(AJ19:AU19)</f>
        <v>0.19944000000000001</v>
      </c>
      <c r="AX19" s="425">
        <f>+AW20-AW19</f>
        <v>3.5999999999980492E-5</v>
      </c>
      <c r="AY19" s="311" t="s">
        <v>94</v>
      </c>
      <c r="AZ19" s="312">
        <f>+VLOOKUP($A$1,data!$A$101:$AU$131,19)</f>
        <v>4.3940000000000003E-3</v>
      </c>
      <c r="BA19" s="312">
        <f>+VLOOKUP($A$1,data!$A$101:$AU$131,20)</f>
        <v>4.862E-3</v>
      </c>
      <c r="BB19" s="312">
        <f>+VLOOKUP($A$1,data!$A$101:$AU$131,21)</f>
        <v>4.627E-3</v>
      </c>
      <c r="BC19" s="312">
        <f>+VLOOKUP($A$1,data!$A$101:$AU$131,22)</f>
        <v>4.8719999999999996E-3</v>
      </c>
      <c r="BD19" s="312">
        <f>+VLOOKUP($A$1,data!$A$101:$AU$131,23)</f>
        <v>4.6210000000000001E-3</v>
      </c>
      <c r="BE19" s="312">
        <f>+VLOOKUP($A$1,data!$A$101:$AU$131,24)</f>
        <v>4.8180000000000002E-3</v>
      </c>
      <c r="BF19" s="312">
        <f>+VLOOKUP($A$1,data!$A$101:$AU$131,25)</f>
        <v>5.9820000000000003E-3</v>
      </c>
      <c r="BG19" s="312">
        <f>+VLOOKUP($A$1,data!$A$101:$AU$131,26)</f>
        <v>5.6270000000000001E-3</v>
      </c>
      <c r="BH19" s="312">
        <f>+VLOOKUP($A$1,data!$A$101:$AU$131,27)</f>
        <v>5.4980000000000003E-3</v>
      </c>
      <c r="BI19" s="312">
        <f>+VLOOKUP($A$1,data!$A$101:$AU$131,28)</f>
        <v>4.9870000000000001E-3</v>
      </c>
      <c r="BJ19" s="312">
        <f>+VLOOKUP($A$1,data!$A$101:$AU$131,29)</f>
        <v>4.6430000000000004E-3</v>
      </c>
      <c r="BK19" s="312">
        <f>+VLOOKUP($A$1,data!$A$101:$AU$131,30)</f>
        <v>4.6389999999999999E-3</v>
      </c>
      <c r="BL19" s="312">
        <f>SUM(AZ19:BK19)</f>
        <v>5.9569999999999998E-2</v>
      </c>
      <c r="BM19" s="313">
        <f t="shared" ref="BM19:BM20" si="2">SUM(AZ19:BK19)</f>
        <v>5.9569999999999998E-2</v>
      </c>
      <c r="BN19" s="314">
        <f>+BM20-BM19</f>
        <v>3.8050000000000028E-3</v>
      </c>
    </row>
    <row r="20" spans="1:66" s="247" customFormat="1" ht="19.5" thickBot="1" x14ac:dyDescent="0.35">
      <c r="A20" s="413" t="s">
        <v>93</v>
      </c>
      <c r="B20" s="414">
        <f>+VLOOKUP($A$1,data!$A$37:$AU$67,3)</f>
        <v>4</v>
      </c>
      <c r="C20" s="414">
        <f>+VLOOKUP($A$1,data!$A$37:$AU$67,4)</f>
        <v>2</v>
      </c>
      <c r="D20" s="414">
        <f>+VLOOKUP($A$1,data!$A$37:$AU$67,5)</f>
        <v>6</v>
      </c>
      <c r="E20" s="414">
        <f>+VLOOKUP($A$1,data!$A$37:$AU$67,6)</f>
        <v>20</v>
      </c>
      <c r="F20" s="414">
        <f>+VLOOKUP($A$1,data!$A$37:$AU$67,7)</f>
        <v>13</v>
      </c>
      <c r="G20" s="414">
        <f>+VLOOKUP($A$1,data!$A$37:$AU$67,8)</f>
        <v>11</v>
      </c>
      <c r="H20" s="414">
        <f>+VLOOKUP($A$1,data!$A$37:$AU$67,9)</f>
        <v>0</v>
      </c>
      <c r="I20" s="414">
        <f>+VLOOKUP($A$1,data!$A$37:$AU$67,10)</f>
        <v>1</v>
      </c>
      <c r="J20" s="414">
        <f>+VLOOKUP($A$1,data!$A$37:$AU$67,11)</f>
        <v>12</v>
      </c>
      <c r="K20" s="414">
        <f>+VLOOKUP($A$1,data!$A$37:$AU$67,12)</f>
        <v>4</v>
      </c>
      <c r="L20" s="414">
        <f>+VLOOKUP($A$1,data!$A$37:$AU$67,13)</f>
        <v>6</v>
      </c>
      <c r="M20" s="414">
        <f>+VLOOKUP($A$1,data!$A$37:$AU$67,14)</f>
        <v>3</v>
      </c>
      <c r="N20" s="414">
        <f>SUM(B20:M20)</f>
        <v>82</v>
      </c>
      <c r="O20" s="631">
        <f t="shared" si="0"/>
        <v>82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1.5394E-2</v>
      </c>
      <c r="AK20" s="420">
        <f>+VLOOKUP($A$1,data!$A$69:$AU$99,4)</f>
        <v>1.5424999999999999E-2</v>
      </c>
      <c r="AL20" s="420">
        <f>+VLOOKUP($A$1,data!$A$69:$AU$99,5)</f>
        <v>1.4383999999999999E-2</v>
      </c>
      <c r="AM20" s="420">
        <f>+VLOOKUP($A$1,data!$A$69:$AU$99,6)</f>
        <v>1.5949999999999999E-2</v>
      </c>
      <c r="AN20" s="420">
        <f>+VLOOKUP($A$1,data!$A$69:$AU$99,7)</f>
        <v>1.5245E-2</v>
      </c>
      <c r="AO20" s="420">
        <f>+VLOOKUP($A$1,data!$A$69:$AU$99,8)</f>
        <v>1.5461000000000001E-2</v>
      </c>
      <c r="AP20" s="420">
        <f>+VLOOKUP($A$1,data!$A$69:$AU$99,9)</f>
        <v>2.1388999999999998E-2</v>
      </c>
      <c r="AQ20" s="420">
        <f>+VLOOKUP($A$1,data!$A$69:$AU$99,10)</f>
        <v>1.9012999999999999E-2</v>
      </c>
      <c r="AR20" s="420">
        <f>+VLOOKUP($A$1,data!$A$69:$AU$99,11)</f>
        <v>1.7194999999999998E-2</v>
      </c>
      <c r="AS20" s="420">
        <f>+VLOOKUP($A$1,data!$A$69:$AU$99,12)</f>
        <v>1.6733000000000001E-2</v>
      </c>
      <c r="AT20" s="420">
        <f>+VLOOKUP($A$1,data!$A$69:$AU$99,13)</f>
        <v>1.6348000000000001E-2</v>
      </c>
      <c r="AU20" s="420">
        <f>+VLOOKUP($A$1,data!$A$69:$AU$99,14)</f>
        <v>1.6938999999999999E-2</v>
      </c>
      <c r="AV20" s="420">
        <f>SUM(AJ20:AU20)</f>
        <v>0.19947599999999999</v>
      </c>
      <c r="AW20" s="421">
        <f t="shared" si="1"/>
        <v>0.19947599999999999</v>
      </c>
      <c r="AX20" s="422"/>
      <c r="AY20" s="315" t="s">
        <v>93</v>
      </c>
      <c r="AZ20" s="316">
        <f>+VLOOKUP($A$1,data!$A$101:$AU$131,3)</f>
        <v>4.4060000000000002E-3</v>
      </c>
      <c r="BA20" s="316">
        <f>+VLOOKUP($A$1,data!$A$101:$AU$131,4)</f>
        <v>4.4250000000000001E-3</v>
      </c>
      <c r="BB20" s="316">
        <f>+VLOOKUP($A$1,data!$A$101:$AU$131,5)</f>
        <v>4.346E-3</v>
      </c>
      <c r="BC20" s="316">
        <f>+VLOOKUP($A$1,data!$A$101:$AU$131,6)</f>
        <v>4.6299999999999996E-3</v>
      </c>
      <c r="BD20" s="316">
        <f>+VLOOKUP($A$1,data!$A$101:$AU$131,7)</f>
        <v>4.5050000000000003E-3</v>
      </c>
      <c r="BE20" s="316">
        <f>+VLOOKUP($A$1,data!$A$101:$AU$131,8)</f>
        <v>4.8890000000000001E-3</v>
      </c>
      <c r="BF20" s="316">
        <f>+VLOOKUP($A$1,data!$A$101:$AU$131,9)</f>
        <v>7.4110000000000001E-3</v>
      </c>
      <c r="BG20" s="316">
        <f>+VLOOKUP($A$1,data!$A$101:$AU$131,10)</f>
        <v>6.6280000000000002E-3</v>
      </c>
      <c r="BH20" s="316">
        <f>+VLOOKUP($A$1,data!$A$101:$AU$131,11)</f>
        <v>5.855E-3</v>
      </c>
      <c r="BI20" s="316">
        <f>+VLOOKUP($A$1,data!$A$101:$AU$131,12)</f>
        <v>5.6670000000000002E-3</v>
      </c>
      <c r="BJ20" s="316">
        <f>+VLOOKUP($A$1,data!$A$101:$AU$131,13)</f>
        <v>5.2519999999999997E-3</v>
      </c>
      <c r="BK20" s="316">
        <f>+VLOOKUP($A$1,data!$A$101:$AU$131,14)</f>
        <v>5.3610000000000003E-3</v>
      </c>
      <c r="BL20" s="316">
        <f>SUM(AZ20:BK20)</f>
        <v>6.3375000000000001E-2</v>
      </c>
      <c r="BM20" s="317">
        <f t="shared" si="2"/>
        <v>6.3375000000000001E-2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4.8536585365853648</v>
      </c>
      <c r="W21" s="671">
        <f>+VLOOKUP($A$1,data!$A$261:$AK$291,16)</f>
        <v>10</v>
      </c>
      <c r="X21" s="671">
        <f>+VLOOKUP($A$1,data!$A$261:$AK$291,36)</f>
        <v>18.097560975609753</v>
      </c>
      <c r="Y21" s="671">
        <f>+VLOOKUP($A$1,data!$A$261:$AK$291,17)</f>
        <v>53</v>
      </c>
      <c r="Z21" s="671">
        <f>+VLOOKUP($A$1,data!$A$261:$AK$291,37)</f>
        <v>28.609756097560972</v>
      </c>
      <c r="AA21" s="671">
        <f>+VLOOKUP($A$1,data!$A$261:$AK$291,18)</f>
        <v>66</v>
      </c>
      <c r="AB21" s="671">
        <f>+VLOOKUP($A$1,data!$A$261:$AK$291,34)</f>
        <v>34.999999999999993</v>
      </c>
      <c r="AC21" s="671">
        <f>+VLOOKUP($A$1,data!$A$261:$AK$291,15)</f>
        <v>79</v>
      </c>
      <c r="AD21" s="671">
        <f>+AA21-Z21</f>
        <v>37.390243902439025</v>
      </c>
      <c r="AE21" s="684">
        <f>+AC21-AB21</f>
        <v>44.000000000000007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1</v>
      </c>
      <c r="W22" s="672">
        <f>+VLOOKUP($A$1,data!$A$229:$AK$259,16)</f>
        <v>2</v>
      </c>
      <c r="X22" s="672">
        <f>+VLOOKUP($A$1,data!$A$229:$AK$259,36)</f>
        <v>2</v>
      </c>
      <c r="Y22" s="672">
        <f>+VLOOKUP($A$1,data!$A$229:$AK$259,17)</f>
        <v>3</v>
      </c>
      <c r="Z22" s="672">
        <f>+VLOOKUP($A$1,data!$A$229:$AK$259,37)</f>
        <v>3</v>
      </c>
      <c r="AA22" s="672">
        <f>+VLOOKUP($A$1,data!$A$229:$AK$259,18)</f>
        <v>3</v>
      </c>
      <c r="AB22" s="672">
        <f>+VLOOKUP($A$1,data!$A$229:$AK$259,34)</f>
        <v>5</v>
      </c>
      <c r="AC22" s="765">
        <f>+VLOOKUP($A$1,data!$A$229:$AK$259,15)</f>
        <v>3</v>
      </c>
      <c r="AD22" s="671">
        <f>+AA22-Z22</f>
        <v>0</v>
      </c>
      <c r="AE22" s="685">
        <f>+AC22-AB22</f>
        <v>-2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5.8536585365853648</v>
      </c>
      <c r="W23" s="689">
        <f t="shared" ref="W23:AC23" si="3">SUM(W21:W22)</f>
        <v>12</v>
      </c>
      <c r="X23" s="689">
        <f t="shared" si="3"/>
        <v>20.097560975609753</v>
      </c>
      <c r="Y23" s="689">
        <f t="shared" si="3"/>
        <v>56</v>
      </c>
      <c r="Z23" s="689">
        <f t="shared" si="3"/>
        <v>31.609756097560972</v>
      </c>
      <c r="AA23" s="689">
        <f t="shared" si="3"/>
        <v>69</v>
      </c>
      <c r="AB23" s="689">
        <f t="shared" si="3"/>
        <v>39.999999999999993</v>
      </c>
      <c r="AC23" s="764">
        <f t="shared" si="3"/>
        <v>82</v>
      </c>
      <c r="AD23" s="689">
        <f>+AA23-Z23</f>
        <v>37.390243902439025</v>
      </c>
      <c r="AE23" s="686">
        <f>+AC23-AB23</f>
        <v>42.000000000000007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4</v>
      </c>
      <c r="D39" s="406">
        <f t="shared" ref="D39:N41" si="4">+C39+C18</f>
        <v>9</v>
      </c>
      <c r="E39" s="406">
        <f t="shared" si="4"/>
        <v>17</v>
      </c>
      <c r="F39" s="406">
        <f t="shared" si="4"/>
        <v>19</v>
      </c>
      <c r="G39" s="406">
        <f t="shared" si="4"/>
        <v>31</v>
      </c>
      <c r="H39" s="406">
        <f t="shared" si="4"/>
        <v>45</v>
      </c>
      <c r="I39" s="406">
        <f t="shared" si="4"/>
        <v>61</v>
      </c>
      <c r="J39" s="406">
        <f t="shared" si="4"/>
        <v>84</v>
      </c>
      <c r="K39" s="406">
        <f t="shared" si="4"/>
        <v>87</v>
      </c>
      <c r="L39" s="406">
        <f t="shared" si="4"/>
        <v>92</v>
      </c>
      <c r="M39" s="406">
        <f t="shared" si="4"/>
        <v>97</v>
      </c>
      <c r="N39" s="406">
        <f t="shared" si="4"/>
        <v>116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1.332E-2</v>
      </c>
      <c r="AL39" s="418">
        <f t="shared" ref="AL39:AV41" si="5">+AK39+AK18</f>
        <v>2.7304999999999999E-2</v>
      </c>
      <c r="AM39" s="418">
        <f t="shared" si="5"/>
        <v>4.2284000000000002E-2</v>
      </c>
      <c r="AN39" s="418">
        <f t="shared" si="5"/>
        <v>5.6892999999999999E-2</v>
      </c>
      <c r="AO39" s="418">
        <f t="shared" si="5"/>
        <v>7.0775000000000005E-2</v>
      </c>
      <c r="AP39" s="418">
        <f t="shared" si="5"/>
        <v>8.5371000000000002E-2</v>
      </c>
      <c r="AQ39" s="418">
        <f t="shared" si="5"/>
        <v>0.105047</v>
      </c>
      <c r="AR39" s="418">
        <f t="shared" si="5"/>
        <v>0.12674099999999999</v>
      </c>
      <c r="AS39" s="418">
        <f t="shared" si="5"/>
        <v>0.14673899999999998</v>
      </c>
      <c r="AT39" s="418">
        <f t="shared" si="5"/>
        <v>0.16156099999999998</v>
      </c>
      <c r="AU39" s="418">
        <f t="shared" si="5"/>
        <v>0.17653899999999997</v>
      </c>
      <c r="AV39" s="418">
        <f t="shared" si="5"/>
        <v>0.19292899999999996</v>
      </c>
      <c r="AW39" s="158"/>
      <c r="AX39" s="158"/>
      <c r="AY39" s="308" t="s">
        <v>92</v>
      </c>
      <c r="AZ39" s="717">
        <f>+VLOOKUP($A$1,data!$A$133:$BK$163,26)</f>
        <v>24.788255223037829</v>
      </c>
      <c r="BA39" s="717">
        <f>+VLOOKUP($A$1,data!$A$133:$BK$163,27)</f>
        <v>24.4462452728255</v>
      </c>
      <c r="BB39" s="717">
        <f>+VLOOKUP($A$1,data!$A$133:$BK$163,28)</f>
        <v>24.367583943448622</v>
      </c>
      <c r="BC39" s="717">
        <f>+VLOOKUP($A$1,data!$A$133:$BK$163,29)</f>
        <v>24.526550647032575</v>
      </c>
      <c r="BD39" s="717">
        <f>+VLOOKUP($A$1,data!$A$133:$BK$163,30)</f>
        <v>24.403622250970248</v>
      </c>
      <c r="BE39" s="717">
        <f>+VLOOKUP($A$1,data!$A$133:$BK$163,31)</f>
        <v>24.80771314050482</v>
      </c>
      <c r="BF39" s="717">
        <f>+VLOOKUP($A$1,data!$A$133:$BK$163,32)</f>
        <v>25.071868583162214</v>
      </c>
      <c r="BG39" s="717">
        <f>+VLOOKUP($A$1,data!$A$133:$BK$163,33)</f>
        <v>24.645164707128483</v>
      </c>
      <c r="BH39" s="717">
        <f>+VLOOKUP($A$1,data!$A$133:$BK$163,34)</f>
        <v>23.843774168600156</v>
      </c>
      <c r="BI39" s="717">
        <f>+VLOOKUP($A$1,data!$A$133:$BK$163,35)</f>
        <v>22.934280639431616</v>
      </c>
      <c r="BJ39" s="717">
        <f>+VLOOKUP($A$1,data!$A$133:$BK$163,36)</f>
        <v>22.787644787644787</v>
      </c>
      <c r="BK39" s="717">
        <f>+VLOOKUP($A$1,data!$A$133:$BK$163,37)</f>
        <v>24.039606215256569</v>
      </c>
      <c r="BL39" s="717">
        <f>+VLOOKUP($A$1,data!$A$133:$BK$163,38)</f>
        <v>21.989473684210527</v>
      </c>
      <c r="BM39" s="717">
        <f>+VLOOKUP($A$1,data!$A$133:$BK$163,39)</f>
        <v>21.622187336473051</v>
      </c>
      <c r="BN39" s="717">
        <f>+VLOOKUP($A$1,data!$A$133:$BK$163,40)</f>
        <v>21.201923076923077</v>
      </c>
      <c r="BO39" s="717">
        <f>+VLOOKUP($A$1,data!$A$133:$BK$163,41)</f>
        <v>23.467744494510377</v>
      </c>
    </row>
    <row r="40" spans="1:67" ht="21.75" thickBot="1" x14ac:dyDescent="0.4">
      <c r="A40"/>
      <c r="B40" s="408" t="s">
        <v>94</v>
      </c>
      <c r="C40" s="409">
        <f>+B19</f>
        <v>1.5609756097560972</v>
      </c>
      <c r="D40" s="409">
        <f t="shared" si="4"/>
        <v>3.1219512195121943</v>
      </c>
      <c r="E40" s="409">
        <f t="shared" si="4"/>
        <v>5.8536585365853648</v>
      </c>
      <c r="F40" s="409">
        <f t="shared" si="4"/>
        <v>10.341463414634145</v>
      </c>
      <c r="G40" s="409">
        <f t="shared" si="4"/>
        <v>15.999999999999996</v>
      </c>
      <c r="H40" s="409">
        <f t="shared" si="4"/>
        <v>20.097560975609753</v>
      </c>
      <c r="I40" s="409">
        <f t="shared" si="4"/>
        <v>24.195121951219509</v>
      </c>
      <c r="J40" s="409">
        <f t="shared" si="4"/>
        <v>28.878048780487802</v>
      </c>
      <c r="K40" s="409">
        <f t="shared" si="4"/>
        <v>31.609756097560972</v>
      </c>
      <c r="L40" s="409">
        <f t="shared" si="4"/>
        <v>33.365853658536579</v>
      </c>
      <c r="M40" s="409">
        <f t="shared" si="4"/>
        <v>35.317073170731703</v>
      </c>
      <c r="N40" s="409">
        <f t="shared" si="4"/>
        <v>39.999999999999993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1.3631000000000001E-2</v>
      </c>
      <c r="AL40" s="423">
        <f t="shared" si="5"/>
        <v>2.9268000000000002E-2</v>
      </c>
      <c r="AM40" s="423">
        <f t="shared" si="5"/>
        <v>4.4065E-2</v>
      </c>
      <c r="AN40" s="423">
        <f t="shared" si="5"/>
        <v>5.9539000000000002E-2</v>
      </c>
      <c r="AO40" s="423">
        <f t="shared" si="5"/>
        <v>7.4292999999999998E-2</v>
      </c>
      <c r="AP40" s="423">
        <f t="shared" si="5"/>
        <v>8.9678999999999995E-2</v>
      </c>
      <c r="AQ40" s="423">
        <f t="shared" si="5"/>
        <v>0.10968399999999999</v>
      </c>
      <c r="AR40" s="423">
        <f t="shared" si="5"/>
        <v>0.129269</v>
      </c>
      <c r="AS40" s="423">
        <f t="shared" si="5"/>
        <v>0.148561</v>
      </c>
      <c r="AT40" s="423">
        <f t="shared" si="5"/>
        <v>0.16616700000000001</v>
      </c>
      <c r="AU40" s="423">
        <f t="shared" si="5"/>
        <v>0.182786</v>
      </c>
      <c r="AV40" s="423">
        <f t="shared" si="5"/>
        <v>0.19944000000000001</v>
      </c>
      <c r="AW40" s="158"/>
      <c r="AX40" s="158"/>
      <c r="AY40" s="311" t="s">
        <v>94</v>
      </c>
      <c r="AZ40" s="718">
        <f>+VLOOKUP($A$1,data!$A$133:$BK$163,22)</f>
        <v>22.999112003397553</v>
      </c>
      <c r="BA40" s="718">
        <f>+$AZ$40</f>
        <v>22.999112003397553</v>
      </c>
      <c r="BB40" s="718">
        <f t="shared" ref="BB40:BO40" si="6">+$AZ$40</f>
        <v>22.999112003397553</v>
      </c>
      <c r="BC40" s="718">
        <f t="shared" si="6"/>
        <v>22.999112003397553</v>
      </c>
      <c r="BD40" s="718">
        <f t="shared" si="6"/>
        <v>22.999112003397553</v>
      </c>
      <c r="BE40" s="718">
        <f t="shared" si="6"/>
        <v>22.999112003397553</v>
      </c>
      <c r="BF40" s="718">
        <f t="shared" si="6"/>
        <v>22.999112003397553</v>
      </c>
      <c r="BG40" s="718">
        <f t="shared" si="6"/>
        <v>22.999112003397553</v>
      </c>
      <c r="BH40" s="718">
        <f t="shared" si="6"/>
        <v>22.999112003397553</v>
      </c>
      <c r="BI40" s="718">
        <f t="shared" si="6"/>
        <v>22.999112003397553</v>
      </c>
      <c r="BJ40" s="718">
        <f t="shared" si="6"/>
        <v>22.999112003397553</v>
      </c>
      <c r="BK40" s="718">
        <f t="shared" si="6"/>
        <v>22.999112003397553</v>
      </c>
      <c r="BL40" s="718">
        <f t="shared" si="6"/>
        <v>22.999112003397553</v>
      </c>
      <c r="BM40" s="718">
        <f t="shared" si="6"/>
        <v>22.999112003397553</v>
      </c>
      <c r="BN40" s="718">
        <f t="shared" si="6"/>
        <v>22.999112003397553</v>
      </c>
      <c r="BO40" s="718">
        <f t="shared" si="6"/>
        <v>22.999112003397553</v>
      </c>
    </row>
    <row r="41" spans="1:67" ht="21.75" thickBot="1" x14ac:dyDescent="0.4">
      <c r="A41"/>
      <c r="B41" s="413" t="s">
        <v>93</v>
      </c>
      <c r="C41" s="414">
        <f>+B20</f>
        <v>4</v>
      </c>
      <c r="D41" s="414">
        <f t="shared" si="4"/>
        <v>6</v>
      </c>
      <c r="E41" s="414">
        <f t="shared" si="4"/>
        <v>12</v>
      </c>
      <c r="F41" s="414">
        <f t="shared" si="4"/>
        <v>32</v>
      </c>
      <c r="G41" s="414">
        <f t="shared" si="4"/>
        <v>45</v>
      </c>
      <c r="H41" s="414">
        <f t="shared" si="4"/>
        <v>56</v>
      </c>
      <c r="I41" s="414">
        <f t="shared" si="4"/>
        <v>56</v>
      </c>
      <c r="J41" s="414">
        <f t="shared" si="4"/>
        <v>57</v>
      </c>
      <c r="K41" s="414">
        <f t="shared" si="4"/>
        <v>69</v>
      </c>
      <c r="L41" s="414">
        <f t="shared" si="4"/>
        <v>73</v>
      </c>
      <c r="M41" s="414">
        <f t="shared" si="4"/>
        <v>79</v>
      </c>
      <c r="N41" s="414">
        <f t="shared" si="4"/>
        <v>82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1.5394E-2</v>
      </c>
      <c r="AL41" s="420">
        <f t="shared" si="5"/>
        <v>3.0818999999999999E-2</v>
      </c>
      <c r="AM41" s="420">
        <f t="shared" si="5"/>
        <v>4.5203E-2</v>
      </c>
      <c r="AN41" s="420">
        <f t="shared" si="5"/>
        <v>6.1152999999999999E-2</v>
      </c>
      <c r="AO41" s="420">
        <f t="shared" si="5"/>
        <v>7.6397999999999994E-2</v>
      </c>
      <c r="AP41" s="420">
        <f t="shared" si="5"/>
        <v>9.1858999999999996E-2</v>
      </c>
      <c r="AQ41" s="420">
        <f t="shared" si="5"/>
        <v>0.11324799999999999</v>
      </c>
      <c r="AR41" s="420">
        <f t="shared" si="5"/>
        <v>0.13226099999999999</v>
      </c>
      <c r="AS41" s="420">
        <f t="shared" si="5"/>
        <v>0.14945599999999998</v>
      </c>
      <c r="AT41" s="420">
        <f t="shared" si="5"/>
        <v>0.16618899999999998</v>
      </c>
      <c r="AU41" s="420">
        <f t="shared" si="5"/>
        <v>0.18253699999999998</v>
      </c>
      <c r="AV41" s="420">
        <f t="shared" si="5"/>
        <v>0.19947599999999999</v>
      </c>
      <c r="AW41" s="158"/>
      <c r="AX41" s="158"/>
      <c r="AY41" s="315" t="s">
        <v>93</v>
      </c>
      <c r="AZ41" s="719">
        <f>+VLOOKUP($A$1,data!$A$133:$BK$163,3)</f>
        <v>22.252525252525253</v>
      </c>
      <c r="BA41" s="719">
        <f>+VLOOKUP($A$1,data!$A$133:$BK$163,4)</f>
        <v>22.292191435768263</v>
      </c>
      <c r="BB41" s="719">
        <f>+VLOOKUP($A$1,data!$A$133:$BK$163,5)</f>
        <v>23.203416978109985</v>
      </c>
      <c r="BC41" s="719">
        <f>+VLOOKUP($A$1,data!$A$133:$BK$163,6)</f>
        <v>22.571085988352174</v>
      </c>
      <c r="BD41" s="719">
        <f>+VLOOKUP($A$1,data!$A$133:$BK$163,7)</f>
        <v>22.497570456754129</v>
      </c>
      <c r="BE41" s="719">
        <f>+VLOOKUP($A$1,data!$A$133:$BK$163,8)</f>
        <v>22.810126582278482</v>
      </c>
      <c r="BF41" s="719">
        <f>+VLOOKUP($A$1,data!$A$133:$BK$163,9)</f>
        <v>24.024570024570025</v>
      </c>
      <c r="BG41" s="719">
        <f>+VLOOKUP($A$1,data!$A$133:$BK$163,10)</f>
        <v>22.846463967747354</v>
      </c>
      <c r="BH41" s="719">
        <f>+VLOOKUP($A$1,data!$A$133:$BK$163,11)</f>
        <v>25.732638888888886</v>
      </c>
      <c r="BI41" s="719">
        <f>+VLOOKUP($A$1,data!$A$133:$BK$163,12)</f>
        <v>25.840155945419102</v>
      </c>
      <c r="BJ41" s="719">
        <f>+VLOOKUP($A$1,data!$A$133:$BK$163,13)</f>
        <v>25.401301518438181</v>
      </c>
      <c r="BK41" s="719">
        <f>+VLOOKUP($A$1,data!$A$133:$BK$163,14)</f>
        <v>23.959605209605208</v>
      </c>
      <c r="BL41" s="719">
        <f>+VLOOKUP($A$1,data!$A$133:$BK$163,15)</f>
        <v>25.299107142857142</v>
      </c>
      <c r="BM41" s="719">
        <f>+VLOOKUP($A$1,data!$A$133:$BK$163,16)</f>
        <v>24.314814814814813</v>
      </c>
      <c r="BN41" s="719">
        <f>+VLOOKUP($A$1,data!$A$133:$BK$163,17)</f>
        <v>24.04035874439462</v>
      </c>
      <c r="BO41" s="719">
        <f>+VLOOKUP($A$1,data!$A$133:$BK$163,18)</f>
        <v>24.109792284866469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23.467744494510377</v>
      </c>
      <c r="BA43" s="826">
        <f>+VLOOKUP($A$1,data!$A$133:$BK$163,26)</f>
        <v>24.788255223037829</v>
      </c>
      <c r="BB43" s="473">
        <f>+AZ45-AZ43</f>
        <v>0.6420477903560915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22.999112003397553</v>
      </c>
      <c r="BA44" s="830"/>
      <c r="BB44" s="472">
        <f>+AZ45-AZ44</f>
        <v>1.1106802814689161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24.109792284866469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1013</v>
      </c>
      <c r="B47" s="817" t="str">
        <f>+VLOOKUP($A$1,data!$A$4:$AH$32,2,0)</f>
        <v>บ้านโฮ่ง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1013</v>
      </c>
      <c r="T47" s="817" t="str">
        <f>+VLOOKUP($A$1,data!$A$4:$AH$32,2,0)</f>
        <v>บ้านโฮ่ง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1013</v>
      </c>
      <c r="AJ47" s="817" t="str">
        <f>+VLOOKUP($A$1,data!$A$4:$AH$32,2,0)</f>
        <v>บ้านโฮ่ง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0.27400146000000003</v>
      </c>
      <c r="C64" s="632">
        <f>+VLOOKUP($A$1,data!$A$165:$AU$195,36)</f>
        <v>0.28583059999999999</v>
      </c>
      <c r="D64" s="632">
        <f>+VLOOKUP($A$1,data!$A$165:$AU$195,37)</f>
        <v>0.31488501999999996</v>
      </c>
      <c r="E64" s="632">
        <f>+VLOOKUP($A$1,data!$A$165:$AU$195,38)</f>
        <v>0.29579028999999996</v>
      </c>
      <c r="F64" s="632">
        <f>+VLOOKUP($A$1,data!$A$165:$AU$195,39)</f>
        <v>0.29470255000000006</v>
      </c>
      <c r="G64" s="632">
        <f>+VLOOKUP($A$1,data!$A$165:$AU$195,40)</f>
        <v>0.31575351000000002</v>
      </c>
      <c r="H64" s="632">
        <f>+VLOOKUP($A$1,data!$A$165:$AU$195,41)</f>
        <v>0.42450643999999993</v>
      </c>
      <c r="I64" s="632">
        <f>+VLOOKUP($A$1,data!$A$165:$AU$195,42)</f>
        <v>0.45464505999999999</v>
      </c>
      <c r="J64" s="632">
        <f>+VLOOKUP($A$1,data!$A$165:$AU$195,43)</f>
        <v>0.40904619999999997</v>
      </c>
      <c r="K64" s="632">
        <f>+VLOOKUP($A$1,data!$A$165:$AU$195,44)</f>
        <v>0.30923938999999995</v>
      </c>
      <c r="L64" s="632">
        <f>+VLOOKUP($A$1,data!$A$165:$AU$195,45)</f>
        <v>0.30254153</v>
      </c>
      <c r="M64" s="632">
        <f>+VLOOKUP($A$1,data!$A$165:$AU$195,46)</f>
        <v>0.35749402999999991</v>
      </c>
      <c r="N64" s="632">
        <f>SUM(B64:M64)</f>
        <v>4.0384360800000003</v>
      </c>
      <c r="O64" s="632">
        <f>SUM(B64:M64)</f>
        <v>4.0384360800000003</v>
      </c>
      <c r="P64" s="635">
        <f>+O66-O64</f>
        <v>0.13547407999999983</v>
      </c>
      <c r="S64" s="605" t="s">
        <v>92</v>
      </c>
      <c r="T64" s="640">
        <f>+VLOOKUP($A$1,data!$A$197:$AU$227,35)</f>
        <v>0.36397334999999997</v>
      </c>
      <c r="U64" s="640">
        <f>+VLOOKUP($A$1,data!$A$197:$AU$227,36)</f>
        <v>0.48737103000000004</v>
      </c>
      <c r="V64" s="640">
        <f>+VLOOKUP($A$1,data!$A$197:$AU$227,37)</f>
        <v>0.41725390999999995</v>
      </c>
      <c r="W64" s="640">
        <f>+VLOOKUP($A$1,data!$A$197:$AU$227,38)</f>
        <v>0.38719904999999999</v>
      </c>
      <c r="X64" s="640">
        <f>+VLOOKUP($A$1,data!$A$197:$AU$227,39)</f>
        <v>0.38970068999999996</v>
      </c>
      <c r="Y64" s="640">
        <f>+VLOOKUP($A$1,data!$A$197:$AU$227,40)</f>
        <v>0.41612479999999996</v>
      </c>
      <c r="Z64" s="640">
        <f>+VLOOKUP($A$1,data!$A$197:$AU$227,41)</f>
        <v>0.36057385999999997</v>
      </c>
      <c r="AA64" s="640">
        <f>+VLOOKUP($A$1,data!$A$197:$AU$227,42)</f>
        <v>0.34982587999999998</v>
      </c>
      <c r="AB64" s="640">
        <f>+VLOOKUP($A$1,data!$A$197:$AU$227,43)</f>
        <v>0.42294643000000004</v>
      </c>
      <c r="AC64" s="640">
        <f>+VLOOKUP($A$1,data!$A$197:$AU$227,44)</f>
        <v>0.38620521000000002</v>
      </c>
      <c r="AD64" s="640">
        <f>+VLOOKUP($A$1,data!$A$197:$AU$227,45)</f>
        <v>0.38803984000000002</v>
      </c>
      <c r="AE64" s="640">
        <f>+VLOOKUP($A$1,data!$A$197:$AU$227,46)</f>
        <v>0.41429508000000004</v>
      </c>
      <c r="AF64" s="640">
        <f>SUM(T64:AE64)</f>
        <v>4.7835091300000006</v>
      </c>
      <c r="AG64" s="640">
        <f>SUM(T64:AE64)</f>
        <v>4.7835091300000006</v>
      </c>
      <c r="AH64" s="641">
        <f>+AG66-AG64</f>
        <v>-0.31799186000000113</v>
      </c>
      <c r="AI64" s="621" t="s">
        <v>92</v>
      </c>
      <c r="AJ64" s="648">
        <f>+B64-T64</f>
        <v>-8.9971889999999943E-2</v>
      </c>
      <c r="AK64" s="648">
        <f t="shared" ref="AK64:AU66" si="7">+C64-U64</f>
        <v>-0.20154043000000005</v>
      </c>
      <c r="AL64" s="648">
        <f t="shared" si="7"/>
        <v>-0.10236888999999999</v>
      </c>
      <c r="AM64" s="648">
        <f t="shared" si="7"/>
        <v>-9.1408760000000033E-2</v>
      </c>
      <c r="AN64" s="648">
        <f t="shared" si="7"/>
        <v>-9.4998139999999898E-2</v>
      </c>
      <c r="AO64" s="648">
        <f t="shared" si="7"/>
        <v>-0.10037128999999995</v>
      </c>
      <c r="AP64" s="648">
        <f t="shared" si="7"/>
        <v>6.3932579999999961E-2</v>
      </c>
      <c r="AQ64" s="648">
        <f t="shared" si="7"/>
        <v>0.10481918000000001</v>
      </c>
      <c r="AR64" s="648">
        <f t="shared" si="7"/>
        <v>-1.3900230000000069E-2</v>
      </c>
      <c r="AS64" s="648">
        <f t="shared" si="7"/>
        <v>-7.6965820000000074E-2</v>
      </c>
      <c r="AT64" s="648">
        <f t="shared" si="7"/>
        <v>-8.5498310000000022E-2</v>
      </c>
      <c r="AU64" s="648">
        <f t="shared" si="7"/>
        <v>-5.6801050000000131E-2</v>
      </c>
      <c r="AV64" s="648">
        <f>SUM(AJ64:AU64)</f>
        <v>-0.74507305000000035</v>
      </c>
      <c r="AW64" s="648">
        <f>SUM(AJ64:AU64)</f>
        <v>-0.74507305000000035</v>
      </c>
      <c r="AX64" s="651">
        <f>+AW66-AW64</f>
        <v>0.45346594000000073</v>
      </c>
    </row>
    <row r="65" spans="1:50" ht="21.75" thickBot="1" x14ac:dyDescent="0.4">
      <c r="A65" s="538" t="s">
        <v>94</v>
      </c>
      <c r="B65" s="633">
        <f>+VLOOKUP($A$1,data!$A$165:$AU$195,19)</f>
        <v>0.28898299999999999</v>
      </c>
      <c r="C65" s="633">
        <f>+VLOOKUP($A$1,data!$A$165:$AU$195,20)</f>
        <v>0.31544699999999998</v>
      </c>
      <c r="D65" s="633">
        <f>+VLOOKUP($A$1,data!$A$165:$AU$195,21)</f>
        <v>0.311722</v>
      </c>
      <c r="E65" s="633">
        <f>+VLOOKUP($A$1,data!$A$165:$AU$195,22)</f>
        <v>0.31923099999999999</v>
      </c>
      <c r="F65" s="633">
        <f>+VLOOKUP($A$1,data!$A$165:$AU$195,23)</f>
        <v>0.30587300000000001</v>
      </c>
      <c r="G65" s="633">
        <f>+VLOOKUP($A$1,data!$A$165:$AU$195,24)</f>
        <v>0.31915300000000002</v>
      </c>
      <c r="H65" s="633">
        <f>+VLOOKUP($A$1,data!$A$165:$AU$195,25)</f>
        <v>0.40540199999999998</v>
      </c>
      <c r="I65" s="633">
        <f>+VLOOKUP($A$1,data!$A$165:$AU$195,26)</f>
        <v>0.39544200000000002</v>
      </c>
      <c r="J65" s="633">
        <f>+VLOOKUP($A$1,data!$A$165:$AU$195,27)</f>
        <v>0.39924599999999999</v>
      </c>
      <c r="K65" s="633">
        <f>+VLOOKUP($A$1,data!$A$165:$AU$195,28)</f>
        <v>0.35936400000000002</v>
      </c>
      <c r="L65" s="633">
        <f>+VLOOKUP($A$1,data!$A$165:$AU$195,29)</f>
        <v>0.34016099999999999</v>
      </c>
      <c r="M65" s="633">
        <f>+VLOOKUP($A$1,data!$A$165:$AU$195,30)</f>
        <v>0.34264600000000001</v>
      </c>
      <c r="N65" s="633">
        <f>SUM(B65:M65)</f>
        <v>4.1026700000000007</v>
      </c>
      <c r="O65" s="636">
        <f t="shared" ref="O65:O66" si="8">SUM(B65:M65)</f>
        <v>4.1026700000000007</v>
      </c>
      <c r="P65" s="637">
        <f>+O66-O65</f>
        <v>7.1240159999999442E-2</v>
      </c>
      <c r="S65" s="601" t="s">
        <v>94</v>
      </c>
      <c r="T65" s="642">
        <f>+VLOOKUP($A$1,data!$A$197:$AU$227,19)</f>
        <v>0.33571899999999999</v>
      </c>
      <c r="U65" s="642">
        <f>+VLOOKUP($A$1,data!$A$197:$AU$227,20)</f>
        <v>0.57530000000000003</v>
      </c>
      <c r="V65" s="642">
        <f>+VLOOKUP($A$1,data!$A$197:$AU$227,21)</f>
        <v>0.394592</v>
      </c>
      <c r="W65" s="642">
        <f>+VLOOKUP($A$1,data!$A$197:$AU$227,22)</f>
        <v>0.36883500000000002</v>
      </c>
      <c r="X65" s="642">
        <f>+VLOOKUP($A$1,data!$A$197:$AU$227,23)</f>
        <v>0.39964499999999997</v>
      </c>
      <c r="Y65" s="642">
        <f>+VLOOKUP($A$1,data!$A$197:$AU$227,24)</f>
        <v>0.39297900000000002</v>
      </c>
      <c r="Z65" s="642">
        <f>+VLOOKUP($A$1,data!$A$197:$AU$227,25)</f>
        <v>0.34385500000000002</v>
      </c>
      <c r="AA65" s="642">
        <f>+VLOOKUP($A$1,data!$A$197:$AU$227,26)</f>
        <v>0.35621399999999998</v>
      </c>
      <c r="AB65" s="642">
        <f>+VLOOKUP($A$1,data!$A$197:$AU$227,27)</f>
        <v>0.39479500000000001</v>
      </c>
      <c r="AC65" s="642">
        <f>+VLOOKUP($A$1,data!$A$197:$AU$227,28)</f>
        <v>0.367844</v>
      </c>
      <c r="AD65" s="642">
        <f>+VLOOKUP($A$1,data!$A$197:$AU$227,29)</f>
        <v>0.40697100000000003</v>
      </c>
      <c r="AE65" s="642">
        <f>+VLOOKUP($A$1,data!$A$197:$AU$227,30)</f>
        <v>0.41926200000000002</v>
      </c>
      <c r="AF65" s="642">
        <f>SUM(T65:AE65)</f>
        <v>4.756011</v>
      </c>
      <c r="AG65" s="643">
        <f t="shared" ref="AG65:AG66" si="9">SUM(T65:AE65)</f>
        <v>4.756011</v>
      </c>
      <c r="AH65" s="644">
        <f>+AG66-AG65</f>
        <v>-0.29049373000000056</v>
      </c>
      <c r="AI65" s="617" t="s">
        <v>94</v>
      </c>
      <c r="AJ65" s="649">
        <f>+B65-T65</f>
        <v>-4.6736E-2</v>
      </c>
      <c r="AK65" s="649">
        <f t="shared" si="7"/>
        <v>-0.25985300000000006</v>
      </c>
      <c r="AL65" s="649">
        <f t="shared" si="7"/>
        <v>-8.2869999999999999E-2</v>
      </c>
      <c r="AM65" s="649">
        <f t="shared" si="7"/>
        <v>-4.9604000000000037E-2</v>
      </c>
      <c r="AN65" s="649">
        <f t="shared" si="7"/>
        <v>-9.3771999999999966E-2</v>
      </c>
      <c r="AO65" s="649">
        <f t="shared" si="7"/>
        <v>-7.3826000000000003E-2</v>
      </c>
      <c r="AP65" s="649">
        <f t="shared" si="7"/>
        <v>6.1546999999999963E-2</v>
      </c>
      <c r="AQ65" s="649">
        <f t="shared" si="7"/>
        <v>3.9228000000000041E-2</v>
      </c>
      <c r="AR65" s="649">
        <f t="shared" si="7"/>
        <v>4.4509999999999827E-3</v>
      </c>
      <c r="AS65" s="649">
        <f t="shared" si="7"/>
        <v>-8.4799999999999875E-3</v>
      </c>
      <c r="AT65" s="649">
        <f t="shared" si="7"/>
        <v>-6.6810000000000036E-2</v>
      </c>
      <c r="AU65" s="649">
        <f t="shared" si="7"/>
        <v>-7.6616000000000017E-2</v>
      </c>
      <c r="AV65" s="649">
        <f>SUM(AJ65:AU65)</f>
        <v>-0.65334100000000017</v>
      </c>
      <c r="AW65" s="652">
        <f t="shared" ref="AW65:AW66" si="10">SUM(AJ65:AU65)</f>
        <v>-0.65334100000000017</v>
      </c>
      <c r="AX65" s="653">
        <f>+AW66-AW65</f>
        <v>0.36173389000000056</v>
      </c>
    </row>
    <row r="66" spans="1:50" ht="21.75" thickBot="1" x14ac:dyDescent="0.4">
      <c r="A66" s="546" t="s">
        <v>93</v>
      </c>
      <c r="B66" s="634">
        <f>+VLOOKUP($A$1,data!$A$165:$AU$195,3)</f>
        <v>0.32004014000000003</v>
      </c>
      <c r="C66" s="634">
        <f>+VLOOKUP($A$1,data!$A$165:$AU$195,4)</f>
        <v>0.31536668000000001</v>
      </c>
      <c r="D66" s="634">
        <f>+VLOOKUP($A$1,data!$A$165:$AU$195,5)</f>
        <v>0.30585413</v>
      </c>
      <c r="E66" s="634">
        <f>+VLOOKUP($A$1,data!$A$165:$AU$195,6)</f>
        <v>0.34626844000000001</v>
      </c>
      <c r="F66" s="634">
        <f>+VLOOKUP($A$1,data!$A$165:$AU$195,7)</f>
        <v>0.33090036</v>
      </c>
      <c r="G66" s="634">
        <f>+VLOOKUP($A$1,data!$A$165:$AU$195,8)</f>
        <v>0.3305787</v>
      </c>
      <c r="H66" s="634">
        <f>+VLOOKUP($A$1,data!$A$165:$AU$195,9)</f>
        <v>0.42908170000000001</v>
      </c>
      <c r="I66" s="634">
        <f>+VLOOKUP($A$1,data!$A$165:$AU$195,10)</f>
        <v>0.38064826000000002</v>
      </c>
      <c r="J66" s="634">
        <f>+VLOOKUP($A$1,data!$A$165:$AU$195,11)</f>
        <v>0.37470166000000005</v>
      </c>
      <c r="K66" s="634">
        <f>+VLOOKUP($A$1,data!$A$165:$AU$195,12)</f>
        <v>0.35006639000000001</v>
      </c>
      <c r="L66" s="634">
        <f>+VLOOKUP($A$1,data!$A$165:$AU$195,13)</f>
        <v>0.33752599</v>
      </c>
      <c r="M66" s="634">
        <f>+VLOOKUP($A$1,data!$A$165:$AU$195,14)</f>
        <v>0.35287771000000001</v>
      </c>
      <c r="N66" s="634">
        <f>SUM(B66:M66)</f>
        <v>4.1739101600000001</v>
      </c>
      <c r="O66" s="638">
        <f t="shared" si="8"/>
        <v>4.1739101600000001</v>
      </c>
      <c r="P66" s="639"/>
      <c r="S66" s="608" t="s">
        <v>93</v>
      </c>
      <c r="T66" s="645">
        <f>+VLOOKUP($A$1,data!$A$197:$AU$227,3)</f>
        <v>0.29691940999999999</v>
      </c>
      <c r="U66" s="645">
        <f>+VLOOKUP($A$1,data!$A$197:$AU$227,4)</f>
        <v>0.29194260999999999</v>
      </c>
      <c r="V66" s="645">
        <f>+VLOOKUP($A$1,data!$A$197:$AU$227,5)</f>
        <v>0.46194679</v>
      </c>
      <c r="W66" s="645">
        <f>+VLOOKUP($A$1,data!$A$197:$AU$227,6)</f>
        <v>0.29239462999999993</v>
      </c>
      <c r="X66" s="645">
        <f>+VLOOKUP($A$1,data!$A$197:$AU$227,7)</f>
        <v>0.33233063000000002</v>
      </c>
      <c r="Y66" s="645">
        <f>+VLOOKUP($A$1,data!$A$197:$AU$227,8)</f>
        <v>0.38847378999999999</v>
      </c>
      <c r="Z66" s="645">
        <f>+VLOOKUP($A$1,data!$A$197:$AU$227,9)</f>
        <v>0.38975214000000002</v>
      </c>
      <c r="AA66" s="645">
        <f>+VLOOKUP($A$1,data!$A$197:$AU$227,10)</f>
        <v>0.39856014999999995</v>
      </c>
      <c r="AB66" s="645">
        <f>+VLOOKUP($A$1,data!$A$197:$AU$227,11)</f>
        <v>0.36807790000000001</v>
      </c>
      <c r="AC66" s="645">
        <f>+VLOOKUP($A$1,data!$A$197:$AU$227,12)</f>
        <v>0.37191096999999995</v>
      </c>
      <c r="AD66" s="645">
        <f>+VLOOKUP($A$1,data!$A$197:$AU$227,13)</f>
        <v>0.38370525999999994</v>
      </c>
      <c r="AE66" s="645">
        <f>+VLOOKUP($A$1,data!$A$197:$AU$227,14)</f>
        <v>0.48950298999999997</v>
      </c>
      <c r="AF66" s="645">
        <f>SUM(T66:AE66)</f>
        <v>4.4655172699999994</v>
      </c>
      <c r="AG66" s="646">
        <f t="shared" si="9"/>
        <v>4.4655172699999994</v>
      </c>
      <c r="AH66" s="647"/>
      <c r="AI66" s="624" t="s">
        <v>93</v>
      </c>
      <c r="AJ66" s="650">
        <f>+B66-T66</f>
        <v>2.3120730000000034E-2</v>
      </c>
      <c r="AK66" s="650">
        <f t="shared" si="7"/>
        <v>2.3424070000000019E-2</v>
      </c>
      <c r="AL66" s="650">
        <f t="shared" si="7"/>
        <v>-0.15609265999999999</v>
      </c>
      <c r="AM66" s="650">
        <f t="shared" si="7"/>
        <v>5.3873810000000077E-2</v>
      </c>
      <c r="AN66" s="650">
        <f t="shared" si="7"/>
        <v>-1.4302700000000113E-3</v>
      </c>
      <c r="AO66" s="650">
        <f t="shared" si="7"/>
        <v>-5.7895089999999982E-2</v>
      </c>
      <c r="AP66" s="650">
        <f t="shared" si="7"/>
        <v>3.9329559999999986E-2</v>
      </c>
      <c r="AQ66" s="650">
        <f t="shared" si="7"/>
        <v>-1.791188999999993E-2</v>
      </c>
      <c r="AR66" s="650">
        <f t="shared" si="7"/>
        <v>6.6237600000000341E-3</v>
      </c>
      <c r="AS66" s="650">
        <f>+K66-AC66</f>
        <v>-2.1844579999999947E-2</v>
      </c>
      <c r="AT66" s="650">
        <f>+L66-AD66</f>
        <v>-4.6179269999999939E-2</v>
      </c>
      <c r="AU66" s="650">
        <f>+M66-AE66</f>
        <v>-0.13662527999999996</v>
      </c>
      <c r="AV66" s="650">
        <f>SUM(AJ66:AU66)</f>
        <v>-0.29160710999999961</v>
      </c>
      <c r="AW66" s="654">
        <f t="shared" si="10"/>
        <v>-0.29160710999999961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0.27400146000000003</v>
      </c>
      <c r="D85" s="628">
        <f t="shared" ref="D85:N87" si="11">+C85+C64</f>
        <v>0.55983205999999996</v>
      </c>
      <c r="E85" s="628">
        <f t="shared" si="11"/>
        <v>0.87471707999999992</v>
      </c>
      <c r="F85" s="628">
        <f t="shared" si="11"/>
        <v>1.1705073699999999</v>
      </c>
      <c r="G85" s="628">
        <f t="shared" si="11"/>
        <v>1.4652099199999999</v>
      </c>
      <c r="H85" s="628">
        <f t="shared" si="11"/>
        <v>1.7809634299999999</v>
      </c>
      <c r="I85" s="628">
        <f t="shared" si="11"/>
        <v>2.2054698699999999</v>
      </c>
      <c r="J85" s="628">
        <f t="shared" si="11"/>
        <v>2.6601149299999998</v>
      </c>
      <c r="K85" s="628">
        <f t="shared" si="11"/>
        <v>3.0691611299999999</v>
      </c>
      <c r="L85" s="628">
        <f t="shared" si="11"/>
        <v>3.37840052</v>
      </c>
      <c r="M85" s="628">
        <f t="shared" si="11"/>
        <v>3.6809420500000001</v>
      </c>
      <c r="N85" s="628">
        <f t="shared" si="11"/>
        <v>4.0384360800000003</v>
      </c>
      <c r="S85"/>
      <c r="T85" s="605" t="s">
        <v>92</v>
      </c>
      <c r="U85" s="640">
        <f>+T64</f>
        <v>0.36397334999999997</v>
      </c>
      <c r="V85" s="640">
        <f t="shared" ref="V85:AF87" si="12">+U85+U64</f>
        <v>0.85134438000000001</v>
      </c>
      <c r="W85" s="640">
        <f t="shared" si="12"/>
        <v>1.2685982899999999</v>
      </c>
      <c r="X85" s="640">
        <f t="shared" si="12"/>
        <v>1.6557973399999999</v>
      </c>
      <c r="Y85" s="640">
        <f t="shared" si="12"/>
        <v>2.0454980300000001</v>
      </c>
      <c r="Z85" s="640">
        <f t="shared" si="12"/>
        <v>2.46162283</v>
      </c>
      <c r="AA85" s="640">
        <f t="shared" si="12"/>
        <v>2.8221966900000002</v>
      </c>
      <c r="AB85" s="640">
        <f t="shared" si="12"/>
        <v>3.1720225700000002</v>
      </c>
      <c r="AC85" s="640">
        <f t="shared" si="12"/>
        <v>3.5949690000000003</v>
      </c>
      <c r="AD85" s="640">
        <f t="shared" si="12"/>
        <v>3.9811742100000003</v>
      </c>
      <c r="AE85" s="640">
        <f t="shared" si="12"/>
        <v>4.3692140500000001</v>
      </c>
      <c r="AF85" s="640">
        <f t="shared" si="12"/>
        <v>4.7835091300000006</v>
      </c>
      <c r="AG85" s="158"/>
      <c r="AH85" s="158"/>
      <c r="AI85"/>
      <c r="AJ85" s="621" t="s">
        <v>92</v>
      </c>
      <c r="AK85" s="648">
        <f>+AJ64</f>
        <v>-8.9971889999999943E-2</v>
      </c>
      <c r="AL85" s="648">
        <f t="shared" ref="AL85:AV87" si="13">+AK85+AK64</f>
        <v>-0.29151231999999999</v>
      </c>
      <c r="AM85" s="648">
        <f t="shared" si="13"/>
        <v>-0.39388120999999998</v>
      </c>
      <c r="AN85" s="648">
        <f t="shared" si="13"/>
        <v>-0.48528997000000001</v>
      </c>
      <c r="AO85" s="648">
        <f t="shared" si="13"/>
        <v>-0.58028810999999991</v>
      </c>
      <c r="AP85" s="648">
        <f t="shared" si="13"/>
        <v>-0.68065939999999991</v>
      </c>
      <c r="AQ85" s="648">
        <f t="shared" si="13"/>
        <v>-0.61672682000000001</v>
      </c>
      <c r="AR85" s="648">
        <f t="shared" si="13"/>
        <v>-0.51190764</v>
      </c>
      <c r="AS85" s="648">
        <f t="shared" si="13"/>
        <v>-0.52580787000000007</v>
      </c>
      <c r="AT85" s="648">
        <f t="shared" si="13"/>
        <v>-0.60277369000000014</v>
      </c>
      <c r="AU85" s="648">
        <f t="shared" si="13"/>
        <v>-0.68827200000000022</v>
      </c>
      <c r="AV85" s="648">
        <f t="shared" si="13"/>
        <v>-0.74507305000000035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0.28898299999999999</v>
      </c>
      <c r="D86" s="633">
        <f t="shared" si="11"/>
        <v>0.60443000000000002</v>
      </c>
      <c r="E86" s="633">
        <f t="shared" si="11"/>
        <v>0.91615200000000008</v>
      </c>
      <c r="F86" s="633">
        <f t="shared" si="11"/>
        <v>1.2353830000000001</v>
      </c>
      <c r="G86" s="633">
        <f t="shared" si="11"/>
        <v>1.5412560000000002</v>
      </c>
      <c r="H86" s="633">
        <f t="shared" si="11"/>
        <v>1.8604090000000002</v>
      </c>
      <c r="I86" s="633">
        <f t="shared" si="11"/>
        <v>2.2658110000000002</v>
      </c>
      <c r="J86" s="633">
        <f t="shared" si="11"/>
        <v>2.6612530000000003</v>
      </c>
      <c r="K86" s="633">
        <f t="shared" si="11"/>
        <v>3.0604990000000001</v>
      </c>
      <c r="L86" s="633">
        <f t="shared" si="11"/>
        <v>3.4198630000000003</v>
      </c>
      <c r="M86" s="633">
        <f t="shared" si="11"/>
        <v>3.7600240000000005</v>
      </c>
      <c r="N86" s="633">
        <f t="shared" si="11"/>
        <v>4.1026700000000007</v>
      </c>
      <c r="S86"/>
      <c r="T86" s="601" t="s">
        <v>94</v>
      </c>
      <c r="U86" s="642">
        <f>+T65</f>
        <v>0.33571899999999999</v>
      </c>
      <c r="V86" s="642">
        <f t="shared" si="12"/>
        <v>0.91101900000000002</v>
      </c>
      <c r="W86" s="642">
        <f t="shared" si="12"/>
        <v>1.3056110000000001</v>
      </c>
      <c r="X86" s="642">
        <f t="shared" si="12"/>
        <v>1.6744460000000001</v>
      </c>
      <c r="Y86" s="642">
        <f t="shared" si="12"/>
        <v>2.0740910000000001</v>
      </c>
      <c r="Z86" s="642">
        <f t="shared" si="12"/>
        <v>2.4670700000000001</v>
      </c>
      <c r="AA86" s="642">
        <f t="shared" si="12"/>
        <v>2.8109250000000001</v>
      </c>
      <c r="AB86" s="642">
        <f t="shared" si="12"/>
        <v>3.1671390000000001</v>
      </c>
      <c r="AC86" s="642">
        <f t="shared" si="12"/>
        <v>3.5619339999999999</v>
      </c>
      <c r="AD86" s="642">
        <f t="shared" si="12"/>
        <v>3.9297779999999998</v>
      </c>
      <c r="AE86" s="642">
        <f t="shared" si="12"/>
        <v>4.3367490000000002</v>
      </c>
      <c r="AF86" s="642">
        <f t="shared" si="12"/>
        <v>4.756011</v>
      </c>
      <c r="AG86" s="158"/>
      <c r="AH86" s="158"/>
      <c r="AI86"/>
      <c r="AJ86" s="617" t="s">
        <v>94</v>
      </c>
      <c r="AK86" s="649">
        <f>+AJ65</f>
        <v>-4.6736E-2</v>
      </c>
      <c r="AL86" s="649">
        <f t="shared" si="13"/>
        <v>-0.30658900000000006</v>
      </c>
      <c r="AM86" s="649">
        <f t="shared" si="13"/>
        <v>-0.38945900000000006</v>
      </c>
      <c r="AN86" s="649">
        <f t="shared" si="13"/>
        <v>-0.43906300000000009</v>
      </c>
      <c r="AO86" s="649">
        <f t="shared" si="13"/>
        <v>-0.53283500000000006</v>
      </c>
      <c r="AP86" s="649">
        <f t="shared" si="13"/>
        <v>-0.60666100000000012</v>
      </c>
      <c r="AQ86" s="649">
        <f t="shared" si="13"/>
        <v>-0.5451140000000001</v>
      </c>
      <c r="AR86" s="649">
        <f t="shared" si="13"/>
        <v>-0.50588600000000006</v>
      </c>
      <c r="AS86" s="649">
        <f t="shared" si="13"/>
        <v>-0.50143500000000008</v>
      </c>
      <c r="AT86" s="649">
        <f t="shared" si="13"/>
        <v>-0.50991500000000012</v>
      </c>
      <c r="AU86" s="649">
        <f t="shared" si="13"/>
        <v>-0.57672500000000015</v>
      </c>
      <c r="AV86" s="649">
        <f t="shared" si="13"/>
        <v>-0.65334100000000017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0.32004014000000003</v>
      </c>
      <c r="D87" s="629">
        <f t="shared" si="11"/>
        <v>0.63540682000000004</v>
      </c>
      <c r="E87" s="629">
        <f t="shared" si="11"/>
        <v>0.94126094999999999</v>
      </c>
      <c r="F87" s="629">
        <f t="shared" si="11"/>
        <v>1.28752939</v>
      </c>
      <c r="G87" s="629">
        <f t="shared" si="11"/>
        <v>1.61842975</v>
      </c>
      <c r="H87" s="629">
        <f t="shared" si="11"/>
        <v>1.94900845</v>
      </c>
      <c r="I87" s="629">
        <f t="shared" si="11"/>
        <v>2.3780901500000002</v>
      </c>
      <c r="J87" s="629">
        <f t="shared" si="11"/>
        <v>2.7587384100000003</v>
      </c>
      <c r="K87" s="629">
        <f t="shared" si="11"/>
        <v>3.1334400700000002</v>
      </c>
      <c r="L87" s="629">
        <f t="shared" si="11"/>
        <v>3.4835064600000001</v>
      </c>
      <c r="M87" s="629">
        <f t="shared" si="11"/>
        <v>3.8210324500000001</v>
      </c>
      <c r="N87" s="629">
        <f t="shared" si="11"/>
        <v>4.1739101600000001</v>
      </c>
      <c r="S87"/>
      <c r="T87" s="608" t="s">
        <v>93</v>
      </c>
      <c r="U87" s="645">
        <f>+T66</f>
        <v>0.29691940999999999</v>
      </c>
      <c r="V87" s="645">
        <f t="shared" si="12"/>
        <v>0.58886201999999999</v>
      </c>
      <c r="W87" s="645">
        <f t="shared" si="12"/>
        <v>1.0508088099999999</v>
      </c>
      <c r="X87" s="645">
        <f t="shared" si="12"/>
        <v>1.3432034399999999</v>
      </c>
      <c r="Y87" s="645">
        <f t="shared" si="12"/>
        <v>1.6755340699999999</v>
      </c>
      <c r="Z87" s="645">
        <f t="shared" si="12"/>
        <v>2.0640078599999998</v>
      </c>
      <c r="AA87" s="645">
        <f t="shared" si="12"/>
        <v>2.4537599999999999</v>
      </c>
      <c r="AB87" s="645">
        <f t="shared" si="12"/>
        <v>2.8523201499999997</v>
      </c>
      <c r="AC87" s="645">
        <f t="shared" si="12"/>
        <v>3.2203980499999996</v>
      </c>
      <c r="AD87" s="645">
        <f t="shared" si="12"/>
        <v>3.5923090199999996</v>
      </c>
      <c r="AE87" s="645">
        <f t="shared" si="12"/>
        <v>3.9760142799999993</v>
      </c>
      <c r="AF87" s="645">
        <f t="shared" si="12"/>
        <v>4.4655172699999994</v>
      </c>
      <c r="AG87" s="158"/>
      <c r="AH87" s="158"/>
      <c r="AI87"/>
      <c r="AJ87" s="624" t="s">
        <v>93</v>
      </c>
      <c r="AK87" s="650">
        <f>+AJ66</f>
        <v>2.3120730000000034E-2</v>
      </c>
      <c r="AL87" s="650">
        <f t="shared" si="13"/>
        <v>4.6544800000000053E-2</v>
      </c>
      <c r="AM87" s="650">
        <f t="shared" si="13"/>
        <v>-0.10954785999999994</v>
      </c>
      <c r="AN87" s="650">
        <f t="shared" si="13"/>
        <v>-5.5674049999999864E-2</v>
      </c>
      <c r="AO87" s="650">
        <f t="shared" si="13"/>
        <v>-5.7104319999999875E-2</v>
      </c>
      <c r="AP87" s="650">
        <f t="shared" si="13"/>
        <v>-0.11499940999999986</v>
      </c>
      <c r="AQ87" s="650">
        <f t="shared" si="13"/>
        <v>-7.5669849999999872E-2</v>
      </c>
      <c r="AR87" s="650">
        <f t="shared" si="13"/>
        <v>-9.3581739999999802E-2</v>
      </c>
      <c r="AS87" s="650">
        <f t="shared" si="13"/>
        <v>-8.6957979999999768E-2</v>
      </c>
      <c r="AT87" s="650">
        <f t="shared" si="13"/>
        <v>-0.10880255999999972</v>
      </c>
      <c r="AU87" s="650">
        <f t="shared" si="13"/>
        <v>-0.15498182999999965</v>
      </c>
      <c r="AV87" s="650">
        <f t="shared" si="13"/>
        <v>-0.29160710999999961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257" priority="15" operator="lessThan">
      <formula>0</formula>
    </cfRule>
  </conditionalFormatting>
  <conditionalFormatting sqref="O41">
    <cfRule type="cellIs" dxfId="256" priority="14" operator="lessThan">
      <formula>0</formula>
    </cfRule>
  </conditionalFormatting>
  <conditionalFormatting sqref="AX18:AX22">
    <cfRule type="cellIs" dxfId="255" priority="13" operator="lessThan">
      <formula>0</formula>
    </cfRule>
  </conditionalFormatting>
  <conditionalFormatting sqref="BN21:BN22">
    <cfRule type="cellIs" dxfId="254" priority="12" operator="lessThan">
      <formula>0</formula>
    </cfRule>
  </conditionalFormatting>
  <conditionalFormatting sqref="BB43:BB46">
    <cfRule type="cellIs" dxfId="253" priority="11" operator="greaterThan">
      <formula>0</formula>
    </cfRule>
  </conditionalFormatting>
  <conditionalFormatting sqref="AX18:AX20">
    <cfRule type="cellIs" dxfId="252" priority="10" operator="lessThan">
      <formula>0</formula>
    </cfRule>
  </conditionalFormatting>
  <conditionalFormatting sqref="BN18:BN20">
    <cfRule type="cellIs" dxfId="251" priority="9" operator="greaterThan">
      <formula>0</formula>
    </cfRule>
  </conditionalFormatting>
  <conditionalFormatting sqref="P18:P20">
    <cfRule type="cellIs" dxfId="250" priority="8" operator="lessThan">
      <formula>0</formula>
    </cfRule>
  </conditionalFormatting>
  <conditionalFormatting sqref="P67:P68">
    <cfRule type="cellIs" dxfId="249" priority="7" operator="lessThan">
      <formula>0</formula>
    </cfRule>
  </conditionalFormatting>
  <conditionalFormatting sqref="P64:P66">
    <cfRule type="cellIs" dxfId="248" priority="6" operator="lessThan">
      <formula>0</formula>
    </cfRule>
  </conditionalFormatting>
  <conditionalFormatting sqref="AH67:AH68">
    <cfRule type="cellIs" dxfId="247" priority="5" operator="lessThan">
      <formula>0</formula>
    </cfRule>
  </conditionalFormatting>
  <conditionalFormatting sqref="AH64:AH66">
    <cfRule type="cellIs" dxfId="246" priority="4" operator="greaterThan">
      <formula>0</formula>
    </cfRule>
  </conditionalFormatting>
  <conditionalFormatting sqref="AX67:AX68">
    <cfRule type="cellIs" dxfId="245" priority="3" operator="lessThan">
      <formula>0</formula>
    </cfRule>
  </conditionalFormatting>
  <conditionalFormatting sqref="AX64:AX66">
    <cfRule type="cellIs" dxfId="244" priority="2" operator="lessThan">
      <formula>0</formula>
    </cfRule>
  </conditionalFormatting>
  <conditionalFormatting sqref="S24:AH24 S21:T23 V21:AH23">
    <cfRule type="cellIs" dxfId="243" priority="1" operator="lessThan">
      <formula>0</formula>
    </cfRule>
  </conditionalFormatting>
  <pageMargins left="0.39370078740157483" right="0.19685039370078741" top="0.74803149606299213" bottom="0.27" header="0.31496062992125984" footer="0.31496062992125984"/>
  <pageSetup paperSize="9" scale="80" pageOrder="overThenDown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25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1014</v>
      </c>
      <c r="B3" s="807" t="str">
        <f>+VLOOKUP($A3,data!$A$4:$AH$32,2,0)</f>
        <v>ลำปาง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31182</v>
      </c>
      <c r="C9" s="180">
        <f>+VLOOKUP($A$3,data!$A$4:$AH$32,8,0)/10^6</f>
        <v>5.0695009999999998</v>
      </c>
      <c r="D9" s="181">
        <f>+VLOOKUP($A$3,data!$A$4:$AH$32,9,0)</f>
        <v>0.45298730751170663</v>
      </c>
      <c r="E9" s="180">
        <f>+VLOOKUP($A$3,data!$A$4:$AH$32,10,0)/10^6</f>
        <v>68.989183480000008</v>
      </c>
      <c r="F9" s="182">
        <f>+E9/C9</f>
        <v>13.608673413813314</v>
      </c>
      <c r="G9" s="179">
        <f>+VLOOKUP($A$3,data!$A$4:$AH$32,23,0)</f>
        <v>32186</v>
      </c>
      <c r="H9" s="180">
        <f>+VLOOKUP($A$3,data!$A$4:$AH$32,24,0)/10^6</f>
        <v>4.9969330000000003</v>
      </c>
      <c r="I9" s="181">
        <f>+VLOOKUP($A$3,data!$A$4:$AH$32,25,0)</f>
        <v>0.43208645995645351</v>
      </c>
      <c r="J9" s="180">
        <f>+VLOOKUP($A$3,data!$A$4:$AH$32,26,0)/10^6</f>
        <v>67.296252519999996</v>
      </c>
      <c r="K9" s="182">
        <f>+J9/H9</f>
        <v>13.467511475539094</v>
      </c>
    </row>
    <row r="10" spans="1:12" ht="26.25" x14ac:dyDescent="0.4">
      <c r="A10" s="187" t="s">
        <v>4</v>
      </c>
      <c r="B10" s="189">
        <f>+B9/B20</f>
        <v>0.81201010390354422</v>
      </c>
      <c r="C10" s="190"/>
      <c r="D10" s="190"/>
      <c r="E10" s="190"/>
      <c r="F10" s="191"/>
      <c r="G10" s="189">
        <f>+G9/G20</f>
        <v>0.81144585906970879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5132</v>
      </c>
      <c r="C13" s="180">
        <f>+VLOOKUP($A$3,data!$A$4:$AH$32,12,0)/10^6</f>
        <v>2.4938600000000002</v>
      </c>
      <c r="D13" s="181">
        <f>+VLOOKUP($A$3,data!$A$4:$AH$32,13,0)</f>
        <v>1.3685514573229707</v>
      </c>
      <c r="E13" s="180">
        <f>+VLOOKUP($A$3,data!$A$4:$AH$32,14,0)/10^6</f>
        <v>53.204532749999998</v>
      </c>
      <c r="F13" s="182">
        <f>+E13/C13</f>
        <v>21.334209919562444</v>
      </c>
      <c r="G13" s="179">
        <f>+VLOOKUP($A$3,data!$A$4:$AH$32,27,0)</f>
        <v>5357</v>
      </c>
      <c r="H13" s="180">
        <f>+VLOOKUP($A$3,data!$A$4:$AH$32,28,0)/10^6</f>
        <v>2.3097829999999999</v>
      </c>
      <c r="I13" s="181">
        <f>+VLOOKUP($A$3,data!$A$4:$AH$32,29,0)</f>
        <v>1.2066302989302558</v>
      </c>
      <c r="J13" s="180">
        <f>+VLOOKUP($A$3,data!$A$4:$AH$32,30,0)/10^6</f>
        <v>49.087861399999994</v>
      </c>
      <c r="K13" s="182">
        <f>+J13/H13</f>
        <v>21.252152864576455</v>
      </c>
    </row>
    <row r="14" spans="1:12" ht="26.25" x14ac:dyDescent="0.4">
      <c r="A14" s="187" t="s">
        <v>29</v>
      </c>
      <c r="B14" s="189">
        <f>+B13/B20</f>
        <v>0.1336423530637223</v>
      </c>
      <c r="C14" s="190"/>
      <c r="D14" s="190"/>
      <c r="E14" s="190"/>
      <c r="F14" s="191"/>
      <c r="G14" s="189">
        <f>+G13/G20</f>
        <v>0.13505609479389891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2087</v>
      </c>
      <c r="C17" s="180">
        <f>+VLOOKUP($A$3,data!$A$4:$AH$32,16,0)/10^6</f>
        <v>1.219706</v>
      </c>
      <c r="D17" s="181">
        <f>+VLOOKUP($A$3,data!$A$4:$AH$32,17,0)</f>
        <v>1.5829750231987696</v>
      </c>
      <c r="E17" s="180">
        <f>+VLOOKUP($A$3,data!$A$4:$AH$32,18,0)/10^6</f>
        <v>33.065551840000005</v>
      </c>
      <c r="F17" s="182">
        <f>+E17/C17</f>
        <v>27.109444275915678</v>
      </c>
      <c r="G17" s="179">
        <f>+VLOOKUP($A$3,data!$A$4:$AH$32,31,0)</f>
        <v>2122</v>
      </c>
      <c r="H17" s="180">
        <f>+VLOOKUP($A$3,data!$A$4:$AH$32,32,0)/10^6</f>
        <v>1.3137700000000001</v>
      </c>
      <c r="I17" s="181">
        <f>+VLOOKUP($A$3,data!$A$4:$AH$32,33,0)</f>
        <v>1.710320676176621</v>
      </c>
      <c r="J17" s="180">
        <f>+VLOOKUP($A$3,data!$A$4:$AH$32,34,0)/10^6</f>
        <v>35.835341499999991</v>
      </c>
      <c r="K17" s="182">
        <f>+J17/H17</f>
        <v>27.276723855773835</v>
      </c>
    </row>
    <row r="18" spans="1:11" ht="26.25" x14ac:dyDescent="0.4">
      <c r="A18" s="187" t="s">
        <v>30</v>
      </c>
      <c r="B18" s="189">
        <f>+B17/B20</f>
        <v>5.4347543032733522E-2</v>
      </c>
      <c r="C18" s="190"/>
      <c r="D18" s="190"/>
      <c r="E18" s="190"/>
      <c r="F18" s="191"/>
      <c r="G18" s="189">
        <f>+G17/G20</f>
        <v>5.3498046136392287E-2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38401</v>
      </c>
      <c r="C20" s="180">
        <f>+VLOOKUP($A$3,data!$A$4:$AH$32,4,0)/10^6</f>
        <v>8.7830670000000008</v>
      </c>
      <c r="D20" s="181">
        <f>+VLOOKUP($A$3,data!$A$4:$AH$32,5,0)</f>
        <v>0.6371909401759317</v>
      </c>
      <c r="E20" s="180">
        <f>+VLOOKUP($A$3,data!$A$4:$AH$32,6,0)/10^6</f>
        <v>155.25926806999999</v>
      </c>
      <c r="F20" s="182">
        <f>+E20/C20</f>
        <v>17.677113025552462</v>
      </c>
      <c r="G20" s="179">
        <f>+VLOOKUP($A$3,data!$A$4:$AH$32,19,0)</f>
        <v>39665</v>
      </c>
      <c r="H20" s="180">
        <f>+VLOOKUP($A$3,data!$A$4:$AH$32,20,0)/10^6</f>
        <v>8.6204859999999996</v>
      </c>
      <c r="I20" s="181">
        <f>+VLOOKUP($A$3,data!$A$4:$AH$32,21,0)</f>
        <v>0.60507185876088687</v>
      </c>
      <c r="J20" s="180">
        <f>+VLOOKUP($A$3,data!$A$4:$AH$32,22,0)/10^6</f>
        <v>152.21945541999997</v>
      </c>
      <c r="K20" s="182">
        <f>+J20/H20</f>
        <v>17.657873978334862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ลำปาง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view="pageLayout" topLeftCell="O1" zoomScaleNormal="100" workbookViewId="0"/>
  </sheetViews>
  <sheetFormatPr defaultRowHeight="21" x14ac:dyDescent="0.35"/>
  <cols>
    <col min="1" max="1" width="9" style="158" bestFit="1" customWidth="1"/>
    <col min="2" max="5" width="6.125" style="158" bestFit="1" customWidth="1"/>
    <col min="6" max="6" width="6" style="158" bestFit="1" customWidth="1"/>
    <col min="7" max="8" width="6.25" style="158" bestFit="1" customWidth="1"/>
    <col min="9" max="11" width="7" style="158" bestFit="1" customWidth="1"/>
    <col min="12" max="13" width="7.125" style="158" bestFit="1" customWidth="1"/>
    <col min="14" max="14" width="7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4.62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5" width="6.75" bestFit="1" customWidth="1"/>
    <col min="46" max="46" width="7" bestFit="1" customWidth="1"/>
    <col min="47" max="47" width="6.875" bestFit="1" customWidth="1"/>
    <col min="48" max="48" width="7" bestFit="1" customWidth="1"/>
    <col min="49" max="49" width="7.375" bestFit="1" customWidth="1"/>
    <col min="50" max="50" width="6.75" bestFit="1" customWidth="1"/>
    <col min="51" max="51" width="7.875" customWidth="1"/>
    <col min="52" max="53" width="7" bestFit="1" customWidth="1"/>
    <col min="54" max="54" width="6.875" bestFit="1" customWidth="1"/>
    <col min="55" max="58" width="6.75" bestFit="1" customWidth="1"/>
    <col min="59" max="59" width="6.875" bestFit="1" customWidth="1"/>
    <col min="60" max="61" width="6.75" bestFit="1" customWidth="1"/>
    <col min="62" max="62" width="6.875" bestFit="1" customWidth="1"/>
    <col min="63" max="67" width="6.75" bestFit="1" customWidth="1"/>
  </cols>
  <sheetData>
    <row r="1" spans="1:66" ht="27" thickBot="1" x14ac:dyDescent="0.25">
      <c r="A1" s="248">
        <v>1014</v>
      </c>
      <c r="B1" s="817" t="str">
        <f>+VLOOKUP($A$1,data!$A$4:$AH$32,2,0)</f>
        <v>ลำปาง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1014</v>
      </c>
      <c r="T1" s="817" t="str">
        <f>+VLOOKUP($A$1,data!$A$4:$AH$32,2,0)</f>
        <v>ลำปาง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1014</v>
      </c>
      <c r="AJ1" s="817" t="str">
        <f>+VLOOKUP($A$1,data!$A$4:$AH$32,2,0)</f>
        <v>ลำปาง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1014</v>
      </c>
      <c r="AZ1" s="817" t="str">
        <f>+VLOOKUP($A$1,data!$A$4:$AH$32,2,0)</f>
        <v>ลำปาง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109</v>
      </c>
      <c r="C18" s="406">
        <f>+VLOOKUP($A$1,data!$A$37:$AU$67,36)</f>
        <v>103</v>
      </c>
      <c r="D18" s="406">
        <f>+VLOOKUP($A$1,data!$A$37:$AU$67,37)</f>
        <v>81</v>
      </c>
      <c r="E18" s="406">
        <f>+VLOOKUP($A$1,data!$A$37:$AU$67,38)</f>
        <v>120</v>
      </c>
      <c r="F18" s="406">
        <f>+VLOOKUP($A$1,data!$A$37:$AU$67,39)</f>
        <v>61</v>
      </c>
      <c r="G18" s="406">
        <f>+VLOOKUP($A$1,data!$A$37:$AU$67,40)</f>
        <v>127</v>
      </c>
      <c r="H18" s="406">
        <f>+VLOOKUP($A$1,data!$A$37:$AU$67,41)</f>
        <v>154</v>
      </c>
      <c r="I18" s="406">
        <f>+VLOOKUP($A$1,data!$A$37:$AU$67,42)</f>
        <v>180</v>
      </c>
      <c r="J18" s="406">
        <f>+VLOOKUP($A$1,data!$A$37:$AU$67,43)</f>
        <v>160</v>
      </c>
      <c r="K18" s="406">
        <f>+VLOOKUP($A$1,data!$A$37:$AU$67,44)</f>
        <v>95</v>
      </c>
      <c r="L18" s="406">
        <f>+VLOOKUP($A$1,data!$A$37:$AU$67,45)</f>
        <v>168</v>
      </c>
      <c r="M18" s="406">
        <f>+VLOOKUP($A$1,data!$A$37:$AU$67,46)</f>
        <v>166</v>
      </c>
      <c r="N18" s="406">
        <f>SUM(B18:M18)</f>
        <v>1524</v>
      </c>
      <c r="O18" s="406">
        <f>SUM(B18:M18)</f>
        <v>1524</v>
      </c>
      <c r="P18" s="407">
        <f>+O20-O18</f>
        <v>60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0.69975399999999999</v>
      </c>
      <c r="AK18" s="418">
        <f>+VLOOKUP($A$1,data!$A$69:$AU$99,36)</f>
        <v>0.71262400000000004</v>
      </c>
      <c r="AL18" s="418">
        <f>+VLOOKUP($A$1,data!$A$69:$AU$99,37)</f>
        <v>0.70006199999999996</v>
      </c>
      <c r="AM18" s="418">
        <f>+VLOOKUP($A$1,data!$A$69:$AU$99,38)</f>
        <v>0.71237600000000001</v>
      </c>
      <c r="AN18" s="418">
        <f>+VLOOKUP($A$1,data!$A$69:$AU$99,39)</f>
        <v>0.68908100000000005</v>
      </c>
      <c r="AO18" s="418">
        <f>+VLOOKUP($A$1,data!$A$69:$AU$99,40)</f>
        <v>0.68293499999999996</v>
      </c>
      <c r="AP18" s="418">
        <f>+VLOOKUP($A$1,data!$A$69:$AU$99,41)</f>
        <v>0.77704300000000004</v>
      </c>
      <c r="AQ18" s="418">
        <f>+VLOOKUP($A$1,data!$A$69:$AU$99,42)</f>
        <v>0.86404899999999996</v>
      </c>
      <c r="AR18" s="418">
        <f>+VLOOKUP($A$1,data!$A$69:$AU$99,43)</f>
        <v>0.79314700000000005</v>
      </c>
      <c r="AS18" s="418">
        <f>+VLOOKUP($A$1,data!$A$69:$AU$99,44)</f>
        <v>0.76474299999999995</v>
      </c>
      <c r="AT18" s="418">
        <f>+VLOOKUP($A$1,data!$A$69:$AU$99,45)</f>
        <v>0.67755600000000005</v>
      </c>
      <c r="AU18" s="418">
        <f>+VLOOKUP($A$1,data!$A$69:$AU$99,46)</f>
        <v>0.72971799999999998</v>
      </c>
      <c r="AV18" s="418">
        <f>SUM(AJ18:AU18)</f>
        <v>8.8030880000000007</v>
      </c>
      <c r="AW18" s="418">
        <f>SUM(AJ18:AU18)</f>
        <v>8.8030880000000007</v>
      </c>
      <c r="AX18" s="419">
        <f>+AW20-AW18</f>
        <v>-0.17006300000000252</v>
      </c>
      <c r="AY18" s="308" t="s">
        <v>92</v>
      </c>
      <c r="AZ18" s="309">
        <f>+VLOOKUP($A$1,data!$A$101:$AU$131,35)</f>
        <v>0.20172307000000006</v>
      </c>
      <c r="BA18" s="309">
        <f>+VLOOKUP($A$1,data!$A$101:$AU$131,36)</f>
        <v>0.18532532000000007</v>
      </c>
      <c r="BB18" s="309">
        <f>+VLOOKUP($A$1,data!$A$101:$AU$131,37)</f>
        <v>0.22627912</v>
      </c>
      <c r="BC18" s="309">
        <f>+VLOOKUP($A$1,data!$A$101:$AU$131,38)</f>
        <v>0.21342296999999996</v>
      </c>
      <c r="BD18" s="309">
        <f>+VLOOKUP($A$1,data!$A$101:$AU$131,39)</f>
        <v>0.17949215000000002</v>
      </c>
      <c r="BE18" s="309">
        <f>+VLOOKUP($A$1,data!$A$101:$AU$131,40)</f>
        <v>0.27941367999999994</v>
      </c>
      <c r="BF18" s="309">
        <f>+VLOOKUP($A$1,data!$A$101:$AU$131,41)</f>
        <v>0.23614883999999997</v>
      </c>
      <c r="BG18" s="309">
        <f>+VLOOKUP($A$1,data!$A$101:$AU$131,42)</f>
        <v>0.11855295999999996</v>
      </c>
      <c r="BH18" s="309">
        <f>+VLOOKUP($A$1,data!$A$101:$AU$131,43)</f>
        <v>0.11698041000000015</v>
      </c>
      <c r="BI18" s="309">
        <f>+VLOOKUP($A$1,data!$A$101:$AU$131,44)</f>
        <v>0.18181983999999984</v>
      </c>
      <c r="BJ18" s="309">
        <f>+VLOOKUP($A$1,data!$A$101:$AU$131,45)</f>
        <v>0.28285726</v>
      </c>
      <c r="BK18" s="309">
        <f>+VLOOKUP($A$1,data!$A$101:$AU$131,46)</f>
        <v>0.18548670000000006</v>
      </c>
      <c r="BL18" s="309">
        <f>SUM(AZ18:BK18)</f>
        <v>2.4075023200000003</v>
      </c>
      <c r="BM18" s="309">
        <f>SUM(AZ18:BK18)</f>
        <v>2.4075023200000003</v>
      </c>
      <c r="BN18" s="310">
        <f>+BM20-BM18</f>
        <v>0.75701343000000021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100.82386363636363</v>
      </c>
      <c r="C19" s="409">
        <f>+VLOOKUP($A$1,data!$A$37:$AU$67,20)</f>
        <v>124.58948863636363</v>
      </c>
      <c r="D19" s="409">
        <f>+VLOOKUP($A$1,data!$A$37:$AU$67,21)</f>
        <v>87.50071022727272</v>
      </c>
      <c r="E19" s="409">
        <f>+VLOOKUP($A$1,data!$A$37:$AU$67,22)</f>
        <v>124.22940340909092</v>
      </c>
      <c r="F19" s="409">
        <f>+VLOOKUP($A$1,data!$A$37:$AU$67,23)</f>
        <v>94.342329545454533</v>
      </c>
      <c r="G19" s="409">
        <f>+VLOOKUP($A$1,data!$A$37:$AU$67,24)</f>
        <v>124.94957386363637</v>
      </c>
      <c r="H19" s="409">
        <f>+VLOOKUP($A$1,data!$A$37:$AU$67,25)</f>
        <v>174.28125</v>
      </c>
      <c r="I19" s="409">
        <f>+VLOOKUP($A$1,data!$A$37:$AU$67,26)</f>
        <v>191.56534090909091</v>
      </c>
      <c r="J19" s="409">
        <f>+VLOOKUP($A$1,data!$A$37:$AU$67,27)</f>
        <v>147.27485795454547</v>
      </c>
      <c r="K19" s="409">
        <f>+VLOOKUP($A$1,data!$A$37:$AU$67,28)</f>
        <v>115.58735795454545</v>
      </c>
      <c r="L19" s="409">
        <f>+VLOOKUP($A$1,data!$A$37:$AU$67,29)</f>
        <v>102.984375</v>
      </c>
      <c r="M19" s="409">
        <f>+VLOOKUP($A$1,data!$A$37:$AU$67,30)</f>
        <v>132.87144886363637</v>
      </c>
      <c r="N19" s="409">
        <f>SUM(B19:M19)</f>
        <v>1521</v>
      </c>
      <c r="O19" s="630">
        <f t="shared" ref="O19:O20" si="0">SUM(B19:M19)</f>
        <v>1521</v>
      </c>
      <c r="P19" s="412">
        <f>+O20-O19</f>
        <v>63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0.71316599999999997</v>
      </c>
      <c r="AK19" s="423">
        <f>+VLOOKUP($A$1,data!$A$69:$AU$99,20)</f>
        <v>0.73428499999999997</v>
      </c>
      <c r="AL19" s="423">
        <f>+VLOOKUP($A$1,data!$A$69:$AU$99,21)</f>
        <v>0.72659300000000004</v>
      </c>
      <c r="AM19" s="423">
        <f>+VLOOKUP($A$1,data!$A$69:$AU$99,22)</f>
        <v>0.74768599999999996</v>
      </c>
      <c r="AN19" s="423">
        <f>+VLOOKUP($A$1,data!$A$69:$AU$99,23)</f>
        <v>0.71573900000000001</v>
      </c>
      <c r="AO19" s="423">
        <f>+VLOOKUP($A$1,data!$A$69:$AU$99,24)</f>
        <v>0.71716999999999997</v>
      </c>
      <c r="AP19" s="423">
        <f>+VLOOKUP($A$1,data!$A$69:$AU$99,25)</f>
        <v>0.81791999999999998</v>
      </c>
      <c r="AQ19" s="423">
        <f>+VLOOKUP($A$1,data!$A$69:$AU$99,26)</f>
        <v>0.868645</v>
      </c>
      <c r="AR19" s="423">
        <f>+VLOOKUP($A$1,data!$A$69:$AU$99,27)</f>
        <v>0.81979500000000005</v>
      </c>
      <c r="AS19" s="423">
        <f>+VLOOKUP($A$1,data!$A$69:$AU$99,28)</f>
        <v>0.78902399999999995</v>
      </c>
      <c r="AT19" s="423">
        <f>+VLOOKUP($A$1,data!$A$69:$AU$99,29)</f>
        <v>0.73627299999999996</v>
      </c>
      <c r="AU19" s="423">
        <f>+VLOOKUP($A$1,data!$A$69:$AU$99,30)</f>
        <v>0.76277499999999998</v>
      </c>
      <c r="AV19" s="423">
        <f>SUM(AJ19:AU19)</f>
        <v>9.1490710000000011</v>
      </c>
      <c r="AW19" s="424">
        <f t="shared" ref="AW19:AW20" si="1">SUM(AJ19:AU19)</f>
        <v>9.1490710000000011</v>
      </c>
      <c r="AX19" s="425">
        <f>+AW20-AW19</f>
        <v>-0.51604600000000289</v>
      </c>
      <c r="AY19" s="311" t="s">
        <v>94</v>
      </c>
      <c r="AZ19" s="312">
        <f>+VLOOKUP($A$1,data!$A$101:$AU$131,19)</f>
        <v>0.21012500000000001</v>
      </c>
      <c r="BA19" s="312">
        <f>+VLOOKUP($A$1,data!$A$101:$AU$131,20)</f>
        <v>0.17430999999999999</v>
      </c>
      <c r="BB19" s="312">
        <f>+VLOOKUP($A$1,data!$A$101:$AU$131,21)</f>
        <v>0.196934</v>
      </c>
      <c r="BC19" s="312">
        <f>+VLOOKUP($A$1,data!$A$101:$AU$131,22)</f>
        <v>0.191327</v>
      </c>
      <c r="BD19" s="312">
        <f>+VLOOKUP($A$1,data!$A$101:$AU$131,23)</f>
        <v>0.16331300000000001</v>
      </c>
      <c r="BE19" s="312">
        <f>+VLOOKUP($A$1,data!$A$101:$AU$131,24)</f>
        <v>0.289327</v>
      </c>
      <c r="BF19" s="312">
        <f>+VLOOKUP($A$1,data!$A$101:$AU$131,25)</f>
        <v>0.199929</v>
      </c>
      <c r="BG19" s="312">
        <f>+VLOOKUP($A$1,data!$A$101:$AU$131,26)</f>
        <v>0.13164600000000001</v>
      </c>
      <c r="BH19" s="312">
        <f>+VLOOKUP($A$1,data!$A$101:$AU$131,27)</f>
        <v>0.13919200000000001</v>
      </c>
      <c r="BI19" s="312">
        <f>+VLOOKUP($A$1,data!$A$101:$AU$131,28)</f>
        <v>0.193161</v>
      </c>
      <c r="BJ19" s="312">
        <f>+VLOOKUP($A$1,data!$A$101:$AU$131,29)</f>
        <v>0.28071699999999999</v>
      </c>
      <c r="BK19" s="312">
        <f>+VLOOKUP($A$1,data!$A$101:$AU$131,30)</f>
        <v>0.18920799999999999</v>
      </c>
      <c r="BL19" s="312">
        <f>SUM(AZ19:BK19)</f>
        <v>2.3591889999999998</v>
      </c>
      <c r="BM19" s="313">
        <f t="shared" ref="BM19:BM20" si="2">SUM(AZ19:BK19)</f>
        <v>2.3591889999999998</v>
      </c>
      <c r="BN19" s="314">
        <f>+BM20-BM19</f>
        <v>0.80532675000000076</v>
      </c>
    </row>
    <row r="20" spans="1:66" s="247" customFormat="1" ht="19.5" thickBot="1" x14ac:dyDescent="0.35">
      <c r="A20" s="413" t="s">
        <v>93</v>
      </c>
      <c r="B20" s="414">
        <f>+VLOOKUP($A$1,data!$A$37:$AU$67,3)</f>
        <v>86</v>
      </c>
      <c r="C20" s="414">
        <f>+VLOOKUP($A$1,data!$A$37:$AU$67,4)</f>
        <v>123</v>
      </c>
      <c r="D20" s="414">
        <f>+VLOOKUP($A$1,data!$A$37:$AU$67,5)</f>
        <v>76</v>
      </c>
      <c r="E20" s="414">
        <f>+VLOOKUP($A$1,data!$A$37:$AU$67,6)</f>
        <v>59</v>
      </c>
      <c r="F20" s="414">
        <f>+VLOOKUP($A$1,data!$A$37:$AU$67,7)</f>
        <v>97</v>
      </c>
      <c r="G20" s="414">
        <f>+VLOOKUP($A$1,data!$A$37:$AU$67,8)</f>
        <v>111</v>
      </c>
      <c r="H20" s="414">
        <f>+VLOOKUP($A$1,data!$A$37:$AU$67,9)</f>
        <v>75</v>
      </c>
      <c r="I20" s="414">
        <f>+VLOOKUP($A$1,data!$A$37:$AU$67,10)</f>
        <v>79</v>
      </c>
      <c r="J20" s="414">
        <f>+VLOOKUP($A$1,data!$A$37:$AU$67,11)</f>
        <v>149</v>
      </c>
      <c r="K20" s="414">
        <f>+VLOOKUP($A$1,data!$A$37:$AU$67,12)</f>
        <v>228</v>
      </c>
      <c r="L20" s="414">
        <f>+VLOOKUP($A$1,data!$A$37:$AU$67,13)</f>
        <v>279</v>
      </c>
      <c r="M20" s="414">
        <f>+VLOOKUP($A$1,data!$A$37:$AU$67,14)</f>
        <v>222</v>
      </c>
      <c r="N20" s="414">
        <f>SUM(B20:M20)</f>
        <v>1584</v>
      </c>
      <c r="O20" s="631">
        <f t="shared" si="0"/>
        <v>1584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0.67767200000000005</v>
      </c>
      <c r="AK20" s="420">
        <f>+VLOOKUP($A$1,data!$A$69:$AU$99,4)</f>
        <v>0.680149</v>
      </c>
      <c r="AL20" s="420">
        <f>+VLOOKUP($A$1,data!$A$69:$AU$99,5)</f>
        <v>0.69690700000000005</v>
      </c>
      <c r="AM20" s="420">
        <f>+VLOOKUP($A$1,data!$A$69:$AU$99,6)</f>
        <v>0.72013099999999997</v>
      </c>
      <c r="AN20" s="420">
        <f>+VLOOKUP($A$1,data!$A$69:$AU$99,7)</f>
        <v>0.69596400000000003</v>
      </c>
      <c r="AO20" s="420">
        <f>+VLOOKUP($A$1,data!$A$69:$AU$99,8)</f>
        <v>0.68816900000000003</v>
      </c>
      <c r="AP20" s="420">
        <f>+VLOOKUP($A$1,data!$A$69:$AU$99,9)</f>
        <v>0.78644199999999997</v>
      </c>
      <c r="AQ20" s="420">
        <f>+VLOOKUP($A$1,data!$A$69:$AU$99,10)</f>
        <v>0.77976699999999999</v>
      </c>
      <c r="AR20" s="420">
        <f>+VLOOKUP($A$1,data!$A$69:$AU$99,11)</f>
        <v>0.74036100000000005</v>
      </c>
      <c r="AS20" s="420">
        <f>+VLOOKUP($A$1,data!$A$69:$AU$99,12)</f>
        <v>0.72070000000000001</v>
      </c>
      <c r="AT20" s="420">
        <f>+VLOOKUP($A$1,data!$A$69:$AU$99,13)</f>
        <v>0.71746399999999999</v>
      </c>
      <c r="AU20" s="420">
        <f>+VLOOKUP($A$1,data!$A$69:$AU$99,14)</f>
        <v>0.72929900000000003</v>
      </c>
      <c r="AV20" s="420">
        <f>SUM(AJ20:AU20)</f>
        <v>8.6330249999999982</v>
      </c>
      <c r="AW20" s="421">
        <f t="shared" si="1"/>
        <v>8.6330249999999982</v>
      </c>
      <c r="AX20" s="422"/>
      <c r="AY20" s="315" t="s">
        <v>93</v>
      </c>
      <c r="AZ20" s="316">
        <f>+VLOOKUP($A$1,data!$A$101:$AU$131,3)</f>
        <v>0.27472565000000004</v>
      </c>
      <c r="BA20" s="316">
        <f>+VLOOKUP($A$1,data!$A$101:$AU$131,4)</f>
        <v>0.27599865000000001</v>
      </c>
      <c r="BB20" s="316">
        <f>+VLOOKUP($A$1,data!$A$101:$AU$131,5)</f>
        <v>0.31884228000000003</v>
      </c>
      <c r="BC20" s="316">
        <f>+VLOOKUP($A$1,data!$A$101:$AU$131,6)</f>
        <v>0.20786344999999995</v>
      </c>
      <c r="BD20" s="316">
        <f>+VLOOKUP($A$1,data!$A$101:$AU$131,7)</f>
        <v>0.21661444000000005</v>
      </c>
      <c r="BE20" s="316">
        <f>+VLOOKUP($A$1,data!$A$101:$AU$131,8)</f>
        <v>0.36974670999999998</v>
      </c>
      <c r="BF20" s="316">
        <f>+VLOOKUP($A$1,data!$A$101:$AU$131,9)</f>
        <v>0.22452054000000005</v>
      </c>
      <c r="BG20" s="316">
        <f>+VLOOKUP($A$1,data!$A$101:$AU$131,10)</f>
        <v>0.24641082999999997</v>
      </c>
      <c r="BH20" s="316">
        <f>+VLOOKUP($A$1,data!$A$101:$AU$131,11)</f>
        <v>0.24623592000000005</v>
      </c>
      <c r="BI20" s="316">
        <f>+VLOOKUP($A$1,data!$A$101:$AU$131,12)</f>
        <v>0.26705472000000008</v>
      </c>
      <c r="BJ20" s="316">
        <f>+VLOOKUP($A$1,data!$A$101:$AU$131,13)</f>
        <v>0.26184677999999989</v>
      </c>
      <c r="BK20" s="316">
        <f>+VLOOKUP($A$1,data!$A$101:$AU$131,14)</f>
        <v>0.25465578000000005</v>
      </c>
      <c r="BL20" s="316">
        <f>SUM(AZ20:BK20)</f>
        <v>3.1645157500000005</v>
      </c>
      <c r="BM20" s="317">
        <f t="shared" si="2"/>
        <v>3.1645157500000005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293.9140625</v>
      </c>
      <c r="W21" s="671">
        <f>+VLOOKUP($A$1,data!$A$261:$AK$291,16)</f>
        <v>261</v>
      </c>
      <c r="X21" s="671">
        <f>+VLOOKUP($A$1,data!$A$261:$AK$291,36)</f>
        <v>618.43536931818187</v>
      </c>
      <c r="Y21" s="671">
        <f>+VLOOKUP($A$1,data!$A$261:$AK$291,17)</f>
        <v>524</v>
      </c>
      <c r="Z21" s="671">
        <f>+VLOOKUP($A$1,data!$A$261:$AK$291,37)</f>
        <v>1099.5568181818182</v>
      </c>
      <c r="AA21" s="671">
        <f>+VLOOKUP($A$1,data!$A$261:$AK$291,18)</f>
        <v>809</v>
      </c>
      <c r="AB21" s="671">
        <f>+VLOOKUP($A$1,data!$A$261:$AK$291,34)</f>
        <v>1394</v>
      </c>
      <c r="AC21" s="671">
        <f>+VLOOKUP($A$1,data!$A$261:$AK$291,15)</f>
        <v>1337</v>
      </c>
      <c r="AD21" s="671">
        <f>+AA21-Z21</f>
        <v>-290.55681818181824</v>
      </c>
      <c r="AE21" s="684">
        <f>+AC21-AB21</f>
        <v>-57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19</v>
      </c>
      <c r="W22" s="672">
        <f>+VLOOKUP($A$1,data!$A$229:$AK$259,16)</f>
        <v>24</v>
      </c>
      <c r="X22" s="672">
        <f>+VLOOKUP($A$1,data!$A$229:$AK$259,36)</f>
        <v>38</v>
      </c>
      <c r="Y22" s="672">
        <f>+VLOOKUP($A$1,data!$A$229:$AK$259,17)</f>
        <v>28</v>
      </c>
      <c r="Z22" s="672">
        <f>+VLOOKUP($A$1,data!$A$229:$AK$259,37)</f>
        <v>70</v>
      </c>
      <c r="AA22" s="672">
        <f>+VLOOKUP($A$1,data!$A$229:$AK$259,18)</f>
        <v>46</v>
      </c>
      <c r="AB22" s="672">
        <f>+VLOOKUP($A$1,data!$A$229:$AK$259,34)</f>
        <v>127</v>
      </c>
      <c r="AC22" s="765">
        <f>+VLOOKUP($A$1,data!$A$229:$AK$259,15)</f>
        <v>247</v>
      </c>
      <c r="AD22" s="671">
        <f>+AA22-Z22</f>
        <v>-24</v>
      </c>
      <c r="AE22" s="685">
        <f>+AC22-AB22</f>
        <v>120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312.9140625</v>
      </c>
      <c r="W23" s="689">
        <f t="shared" ref="W23:AC23" si="3">SUM(W21:W22)</f>
        <v>285</v>
      </c>
      <c r="X23" s="689">
        <f t="shared" si="3"/>
        <v>656.43536931818187</v>
      </c>
      <c r="Y23" s="689">
        <f t="shared" si="3"/>
        <v>552</v>
      </c>
      <c r="Z23" s="689">
        <f t="shared" si="3"/>
        <v>1169.5568181818182</v>
      </c>
      <c r="AA23" s="689">
        <f t="shared" si="3"/>
        <v>855</v>
      </c>
      <c r="AB23" s="689">
        <f t="shared" si="3"/>
        <v>1521</v>
      </c>
      <c r="AC23" s="764">
        <f t="shared" si="3"/>
        <v>1584</v>
      </c>
      <c r="AD23" s="689">
        <f>+AA23-Z23</f>
        <v>-314.55681818181824</v>
      </c>
      <c r="AE23" s="686">
        <f>+AC23-AB23</f>
        <v>63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109</v>
      </c>
      <c r="D39" s="406">
        <f t="shared" ref="D39:N41" si="4">+C39+C18</f>
        <v>212</v>
      </c>
      <c r="E39" s="406">
        <f t="shared" si="4"/>
        <v>293</v>
      </c>
      <c r="F39" s="406">
        <f t="shared" si="4"/>
        <v>413</v>
      </c>
      <c r="G39" s="406">
        <f t="shared" si="4"/>
        <v>474</v>
      </c>
      <c r="H39" s="406">
        <f t="shared" si="4"/>
        <v>601</v>
      </c>
      <c r="I39" s="406">
        <f t="shared" si="4"/>
        <v>755</v>
      </c>
      <c r="J39" s="406">
        <f t="shared" si="4"/>
        <v>935</v>
      </c>
      <c r="K39" s="406">
        <f t="shared" si="4"/>
        <v>1095</v>
      </c>
      <c r="L39" s="406">
        <f t="shared" si="4"/>
        <v>1190</v>
      </c>
      <c r="M39" s="406">
        <f t="shared" si="4"/>
        <v>1358</v>
      </c>
      <c r="N39" s="406">
        <f t="shared" si="4"/>
        <v>1524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0.69975399999999999</v>
      </c>
      <c r="AL39" s="418">
        <f t="shared" ref="AL39:AV41" si="5">+AK39+AK18</f>
        <v>1.4123779999999999</v>
      </c>
      <c r="AM39" s="418">
        <f t="shared" si="5"/>
        <v>2.1124399999999999</v>
      </c>
      <c r="AN39" s="418">
        <f t="shared" si="5"/>
        <v>2.8248159999999998</v>
      </c>
      <c r="AO39" s="418">
        <f t="shared" si="5"/>
        <v>3.513897</v>
      </c>
      <c r="AP39" s="418">
        <f t="shared" si="5"/>
        <v>4.1968319999999997</v>
      </c>
      <c r="AQ39" s="418">
        <f t="shared" si="5"/>
        <v>4.9738749999999996</v>
      </c>
      <c r="AR39" s="418">
        <f t="shared" si="5"/>
        <v>5.8379239999999992</v>
      </c>
      <c r="AS39" s="418">
        <f t="shared" si="5"/>
        <v>6.6310709999999995</v>
      </c>
      <c r="AT39" s="418">
        <f t="shared" si="5"/>
        <v>7.3958139999999997</v>
      </c>
      <c r="AU39" s="418">
        <f t="shared" si="5"/>
        <v>8.0733700000000006</v>
      </c>
      <c r="AV39" s="418">
        <f t="shared" si="5"/>
        <v>8.8030880000000007</v>
      </c>
      <c r="AW39" s="158"/>
      <c r="AX39" s="158"/>
      <c r="AY39" s="308" t="s">
        <v>92</v>
      </c>
      <c r="AZ39" s="464">
        <f>+VLOOKUP($A$1,data!$A$133:$BK$163,26)</f>
        <v>22.373847256140401</v>
      </c>
      <c r="BA39" s="464">
        <f>+VLOOKUP($A$1,data!$A$133:$BK$163,27)</f>
        <v>20.635556907762606</v>
      </c>
      <c r="BB39" s="464">
        <f>+VLOOKUP($A$1,data!$A$133:$BK$163,28)</f>
        <v>24.422129669795289</v>
      </c>
      <c r="BC39" s="464">
        <f>+VLOOKUP($A$1,data!$A$133:$BK$163,29)</f>
        <v>22.497338634328866</v>
      </c>
      <c r="BD39" s="464">
        <f>+VLOOKUP($A$1,data!$A$133:$BK$163,30)</f>
        <v>23.045075257018063</v>
      </c>
      <c r="BE39" s="464">
        <f>+VLOOKUP($A$1,data!$A$133:$BK$163,31)</f>
        <v>20.658656703886297</v>
      </c>
      <c r="BF39" s="464">
        <f>+VLOOKUP($A$1,data!$A$133:$BK$163,32)</f>
        <v>29.020595180149865</v>
      </c>
      <c r="BG39" s="464">
        <f>+VLOOKUP($A$1,data!$A$133:$BK$163,33)</f>
        <v>23.443802203289383</v>
      </c>
      <c r="BH39" s="464">
        <f>+VLOOKUP($A$1,data!$A$133:$BK$163,34)</f>
        <v>23.297781621988175</v>
      </c>
      <c r="BI39" s="464">
        <f>+VLOOKUP($A$1,data!$A$133:$BK$163,35)</f>
        <v>12.062088935188424</v>
      </c>
      <c r="BJ39" s="464">
        <f>+VLOOKUP($A$1,data!$A$133:$BK$163,36)</f>
        <v>12.849463287444696</v>
      </c>
      <c r="BK39" s="464">
        <f>+VLOOKUP($A$1,data!$A$133:$BK$163,37)</f>
        <v>20.943508835144875</v>
      </c>
      <c r="BL39" s="464">
        <f>+VLOOKUP($A$1,data!$A$133:$BK$163,38)</f>
        <v>19.206398763893581</v>
      </c>
      <c r="BM39" s="464">
        <f>+VLOOKUP($A$1,data!$A$133:$BK$163,39)</f>
        <v>29.448890625202694</v>
      </c>
      <c r="BN39" s="464">
        <f>+VLOOKUP($A$1,data!$A$133:$BK$163,40)</f>
        <v>20.265066409178083</v>
      </c>
      <c r="BO39" s="464">
        <f>+VLOOKUP($A$1,data!$A$133:$BK$163,41)</f>
        <v>21.470025654279283</v>
      </c>
    </row>
    <row r="40" spans="1:67" ht="21.75" thickBot="1" x14ac:dyDescent="0.4">
      <c r="A40"/>
      <c r="B40" s="408" t="s">
        <v>94</v>
      </c>
      <c r="C40" s="409">
        <f>+B19</f>
        <v>100.82386363636363</v>
      </c>
      <c r="D40" s="409">
        <f t="shared" si="4"/>
        <v>225.41335227272725</v>
      </c>
      <c r="E40" s="409">
        <f t="shared" si="4"/>
        <v>312.9140625</v>
      </c>
      <c r="F40" s="409">
        <f t="shared" si="4"/>
        <v>437.14346590909093</v>
      </c>
      <c r="G40" s="409">
        <f t="shared" si="4"/>
        <v>531.4857954545455</v>
      </c>
      <c r="H40" s="409">
        <f t="shared" si="4"/>
        <v>656.43536931818187</v>
      </c>
      <c r="I40" s="409">
        <f t="shared" si="4"/>
        <v>830.71661931818187</v>
      </c>
      <c r="J40" s="409">
        <f t="shared" si="4"/>
        <v>1022.2819602272727</v>
      </c>
      <c r="K40" s="409">
        <f t="shared" si="4"/>
        <v>1169.5568181818182</v>
      </c>
      <c r="L40" s="409">
        <f t="shared" si="4"/>
        <v>1285.1441761363637</v>
      </c>
      <c r="M40" s="409">
        <f t="shared" si="4"/>
        <v>1388.1285511363637</v>
      </c>
      <c r="N40" s="409">
        <f t="shared" si="4"/>
        <v>1521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0.71316599999999997</v>
      </c>
      <c r="AL40" s="423">
        <f t="shared" si="5"/>
        <v>1.447451</v>
      </c>
      <c r="AM40" s="423">
        <f t="shared" si="5"/>
        <v>2.1740440000000003</v>
      </c>
      <c r="AN40" s="423">
        <f t="shared" si="5"/>
        <v>2.9217300000000002</v>
      </c>
      <c r="AO40" s="423">
        <f t="shared" si="5"/>
        <v>3.6374690000000003</v>
      </c>
      <c r="AP40" s="423">
        <f t="shared" si="5"/>
        <v>4.3546390000000006</v>
      </c>
      <c r="AQ40" s="423">
        <f t="shared" si="5"/>
        <v>5.1725590000000006</v>
      </c>
      <c r="AR40" s="423">
        <f t="shared" si="5"/>
        <v>6.0412040000000005</v>
      </c>
      <c r="AS40" s="423">
        <f t="shared" si="5"/>
        <v>6.8609990000000005</v>
      </c>
      <c r="AT40" s="423">
        <f t="shared" si="5"/>
        <v>7.6500230000000009</v>
      </c>
      <c r="AU40" s="423">
        <f t="shared" si="5"/>
        <v>8.3862960000000015</v>
      </c>
      <c r="AV40" s="423">
        <f t="shared" si="5"/>
        <v>9.1490710000000011</v>
      </c>
      <c r="AW40" s="158"/>
      <c r="AX40" s="158"/>
      <c r="AY40" s="311" t="s">
        <v>94</v>
      </c>
      <c r="AZ40" s="458">
        <f>+VLOOKUP($A$1,data!$A$133:$BK$163,22)</f>
        <v>20.499962635533088</v>
      </c>
      <c r="BA40" s="458">
        <f>+$AZ$40</f>
        <v>20.499962635533088</v>
      </c>
      <c r="BB40" s="458">
        <f t="shared" ref="BB40:BO40" si="6">+$AZ$40</f>
        <v>20.499962635533088</v>
      </c>
      <c r="BC40" s="458">
        <f t="shared" si="6"/>
        <v>20.499962635533088</v>
      </c>
      <c r="BD40" s="458">
        <f t="shared" si="6"/>
        <v>20.499962635533088</v>
      </c>
      <c r="BE40" s="458">
        <f t="shared" si="6"/>
        <v>20.499962635533088</v>
      </c>
      <c r="BF40" s="458">
        <f t="shared" si="6"/>
        <v>20.499962635533088</v>
      </c>
      <c r="BG40" s="458">
        <f t="shared" si="6"/>
        <v>20.499962635533088</v>
      </c>
      <c r="BH40" s="458">
        <f t="shared" si="6"/>
        <v>20.499962635533088</v>
      </c>
      <c r="BI40" s="458">
        <f t="shared" si="6"/>
        <v>20.499962635533088</v>
      </c>
      <c r="BJ40" s="458">
        <f t="shared" si="6"/>
        <v>20.499962635533088</v>
      </c>
      <c r="BK40" s="458">
        <f t="shared" si="6"/>
        <v>20.499962635533088</v>
      </c>
      <c r="BL40" s="458">
        <f t="shared" si="6"/>
        <v>20.499962635533088</v>
      </c>
      <c r="BM40" s="458">
        <f t="shared" si="6"/>
        <v>20.499962635533088</v>
      </c>
      <c r="BN40" s="458">
        <f t="shared" si="6"/>
        <v>20.499962635533088</v>
      </c>
      <c r="BO40" s="458">
        <f t="shared" si="6"/>
        <v>20.499962635533088</v>
      </c>
    </row>
    <row r="41" spans="1:67" ht="21.75" thickBot="1" x14ac:dyDescent="0.4">
      <c r="A41"/>
      <c r="B41" s="413" t="s">
        <v>93</v>
      </c>
      <c r="C41" s="414">
        <f>+B20</f>
        <v>86</v>
      </c>
      <c r="D41" s="414">
        <f t="shared" si="4"/>
        <v>209</v>
      </c>
      <c r="E41" s="414">
        <f t="shared" si="4"/>
        <v>285</v>
      </c>
      <c r="F41" s="414">
        <f t="shared" si="4"/>
        <v>344</v>
      </c>
      <c r="G41" s="414">
        <f t="shared" si="4"/>
        <v>441</v>
      </c>
      <c r="H41" s="414">
        <f t="shared" si="4"/>
        <v>552</v>
      </c>
      <c r="I41" s="414">
        <f t="shared" si="4"/>
        <v>627</v>
      </c>
      <c r="J41" s="414">
        <f t="shared" si="4"/>
        <v>706</v>
      </c>
      <c r="K41" s="414">
        <f t="shared" si="4"/>
        <v>855</v>
      </c>
      <c r="L41" s="414">
        <f t="shared" si="4"/>
        <v>1083</v>
      </c>
      <c r="M41" s="414">
        <f t="shared" si="4"/>
        <v>1362</v>
      </c>
      <c r="N41" s="414">
        <f t="shared" si="4"/>
        <v>1584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0.67767200000000005</v>
      </c>
      <c r="AL41" s="420">
        <f t="shared" si="5"/>
        <v>1.3578209999999999</v>
      </c>
      <c r="AM41" s="420">
        <f t="shared" si="5"/>
        <v>2.0547279999999999</v>
      </c>
      <c r="AN41" s="420">
        <f t="shared" si="5"/>
        <v>2.7748589999999997</v>
      </c>
      <c r="AO41" s="420">
        <f t="shared" si="5"/>
        <v>3.4708229999999998</v>
      </c>
      <c r="AP41" s="420">
        <f t="shared" si="5"/>
        <v>4.1589919999999996</v>
      </c>
      <c r="AQ41" s="420">
        <f t="shared" si="5"/>
        <v>4.9454339999999997</v>
      </c>
      <c r="AR41" s="420">
        <f t="shared" si="5"/>
        <v>5.7252009999999993</v>
      </c>
      <c r="AS41" s="420">
        <f t="shared" si="5"/>
        <v>6.4655619999999994</v>
      </c>
      <c r="AT41" s="420">
        <f t="shared" si="5"/>
        <v>7.1862619999999993</v>
      </c>
      <c r="AU41" s="420">
        <f t="shared" si="5"/>
        <v>7.9037259999999989</v>
      </c>
      <c r="AV41" s="420">
        <f t="shared" si="5"/>
        <v>8.6330249999999982</v>
      </c>
      <c r="AW41" s="158"/>
      <c r="AX41" s="158"/>
      <c r="AY41" s="315" t="s">
        <v>93</v>
      </c>
      <c r="AZ41" s="442">
        <f>+VLOOKUP($A$1,data!$A$133:$BK$163,3)</f>
        <v>28.842507682262092</v>
      </c>
      <c r="BA41" s="442">
        <f>+VLOOKUP($A$1,data!$A$133:$BK$163,4)</f>
        <v>28.856398098542265</v>
      </c>
      <c r="BB41" s="442">
        <f>+VLOOKUP($A$1,data!$A$133:$BK$163,5)</f>
        <v>31.381981973540508</v>
      </c>
      <c r="BC41" s="442">
        <f>+VLOOKUP($A$1,data!$A$133:$BK$163,6)</f>
        <v>29.729152295685097</v>
      </c>
      <c r="BD41" s="442">
        <f>+VLOOKUP($A$1,data!$A$133:$BK$163,7)</f>
        <v>22.393565937350871</v>
      </c>
      <c r="BE41" s="442">
        <f>+VLOOKUP($A$1,data!$A$133:$BK$163,8)</f>
        <v>23.731223400835805</v>
      </c>
      <c r="BF41" s="442">
        <f>+VLOOKUP($A$1,data!$A$133:$BK$163,9)</f>
        <v>34.942396415380038</v>
      </c>
      <c r="BG41" s="442">
        <f>+VLOOKUP($A$1,data!$A$133:$BK$163,10)</f>
        <v>28.567184899575931</v>
      </c>
      <c r="BH41" s="442">
        <f>+VLOOKUP($A$1,data!$A$133:$BK$163,11)</f>
        <v>22.20448421506477</v>
      </c>
      <c r="BI41" s="442">
        <f>+VLOOKUP($A$1,data!$A$133:$BK$163,12)</f>
        <v>24.009095656578154</v>
      </c>
      <c r="BJ41" s="442">
        <f>+VLOOKUP($A$1,data!$A$133:$BK$163,13)</f>
        <v>24.955249259073025</v>
      </c>
      <c r="BK41" s="442">
        <f>+VLOOKUP($A$1,data!$A$133:$BK$163,14)</f>
        <v>26.908604343804633</v>
      </c>
      <c r="BL41" s="442">
        <f>+VLOOKUP($A$1,data!$A$133:$BK$163,15)</f>
        <v>27.033613570935827</v>
      </c>
      <c r="BM41" s="442">
        <f>+VLOOKUP($A$1,data!$A$133:$BK$163,16)</f>
        <v>26.733796052350399</v>
      </c>
      <c r="BN41" s="442">
        <f>+VLOOKUP($A$1,data!$A$133:$BK$163,17)</f>
        <v>25.87810659034006</v>
      </c>
      <c r="BO41" s="442">
        <f>+VLOOKUP($A$1,data!$A$133:$BK$163,18)</f>
        <v>26.818619300534142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21.470025654279283</v>
      </c>
      <c r="BA43" s="826">
        <f>+VLOOKUP($A$1,data!$A$133:$BK$163,26)</f>
        <v>22.373847256140401</v>
      </c>
      <c r="BB43" s="473">
        <f>+AZ45-AZ43</f>
        <v>5.3485936462548587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20.499962635533088</v>
      </c>
      <c r="BA44" s="830"/>
      <c r="BB44" s="472">
        <f>+AZ45-AZ44</f>
        <v>6.3186566650010541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26.818619300534142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1014</v>
      </c>
      <c r="B47" s="817" t="str">
        <f>+VLOOKUP($A$1,data!$A$4:$AH$32,2,0)</f>
        <v>ลำปาง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1014</v>
      </c>
      <c r="T47" s="817" t="str">
        <f>+VLOOKUP($A$1,data!$A$4:$AH$32,2,0)</f>
        <v>ลำปาง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1014</v>
      </c>
      <c r="AJ47" s="817" t="str">
        <f>+VLOOKUP($A$1,data!$A$4:$AH$32,2,0)</f>
        <v>ลำปาง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13.500048219999998</v>
      </c>
      <c r="C64" s="632">
        <f>+VLOOKUP($A$1,data!$A$165:$AU$195,36)</f>
        <v>13.802768709999999</v>
      </c>
      <c r="D64" s="632">
        <f>+VLOOKUP($A$1,data!$A$165:$AU$195,37)</f>
        <v>13.548706130000001</v>
      </c>
      <c r="E64" s="632">
        <f>+VLOOKUP($A$1,data!$A$165:$AU$195,38)</f>
        <v>14.051047810000002</v>
      </c>
      <c r="F64" s="632">
        <f>+VLOOKUP($A$1,data!$A$165:$AU$195,39)</f>
        <v>13.353594949999998</v>
      </c>
      <c r="G64" s="632">
        <f>+VLOOKUP($A$1,data!$A$165:$AU$195,40)</f>
        <v>13.23386285</v>
      </c>
      <c r="H64" s="632">
        <f>+VLOOKUP($A$1,data!$A$165:$AU$195,41)</f>
        <v>15.001764480000002</v>
      </c>
      <c r="I64" s="632">
        <f>+VLOOKUP($A$1,data!$A$165:$AU$195,42)</f>
        <v>16.619130039999998</v>
      </c>
      <c r="J64" s="632">
        <f>+VLOOKUP($A$1,data!$A$165:$AU$195,43)</f>
        <v>15.913152440000001</v>
      </c>
      <c r="K64" s="632">
        <f>+VLOOKUP($A$1,data!$A$165:$AU$195,44)</f>
        <v>14.894495350000001</v>
      </c>
      <c r="L64" s="632">
        <f>+VLOOKUP($A$1,data!$A$165:$AU$195,45)</f>
        <v>12.969354439999998</v>
      </c>
      <c r="M64" s="632">
        <f>+VLOOKUP($A$1,data!$A$165:$AU$195,46)</f>
        <v>14.854114859999999</v>
      </c>
      <c r="N64" s="632">
        <f>SUM(B64:M64)</f>
        <v>171.74204028</v>
      </c>
      <c r="O64" s="632">
        <f>SUM(B64:M64)</f>
        <v>171.74204028</v>
      </c>
      <c r="P64" s="635">
        <f>+O66-O64</f>
        <v>-2.3988907899999958</v>
      </c>
      <c r="S64" s="605" t="s">
        <v>92</v>
      </c>
      <c r="T64" s="640">
        <f>+VLOOKUP($A$1,data!$A$197:$AU$227,35)</f>
        <v>6.140070989999999</v>
      </c>
      <c r="U64" s="640">
        <f>+VLOOKUP($A$1,data!$A$197:$AU$227,36)</f>
        <v>6.1355746999999985</v>
      </c>
      <c r="V64" s="640">
        <f>+VLOOKUP($A$1,data!$A$197:$AU$227,37)</f>
        <v>6.4203002500000004</v>
      </c>
      <c r="W64" s="640">
        <f>+VLOOKUP($A$1,data!$A$197:$AU$227,38)</f>
        <v>5.6562766799999995</v>
      </c>
      <c r="X64" s="640">
        <f>+VLOOKUP($A$1,data!$A$197:$AU$227,39)</f>
        <v>3.9589558699999996</v>
      </c>
      <c r="Y64" s="640">
        <f>+VLOOKUP($A$1,data!$A$197:$AU$227,40)</f>
        <v>5.9020148299999997</v>
      </c>
      <c r="Z64" s="640">
        <f>+VLOOKUP($A$1,data!$A$197:$AU$227,41)</f>
        <v>5.8113700100000001</v>
      </c>
      <c r="AA64" s="640">
        <f>+VLOOKUP($A$1,data!$A$197:$AU$227,42)</f>
        <v>5.9296159199999998</v>
      </c>
      <c r="AB64" s="640">
        <f>+VLOOKUP($A$1,data!$A$197:$AU$227,43)</f>
        <v>6.1826538600000003</v>
      </c>
      <c r="AC64" s="640">
        <f>+VLOOKUP($A$1,data!$A$197:$AU$227,44)</f>
        <v>5.7854341499999995</v>
      </c>
      <c r="AD64" s="640">
        <f>+VLOOKUP($A$1,data!$A$197:$AU$227,45)</f>
        <v>6.2040427199999995</v>
      </c>
      <c r="AE64" s="640">
        <f>+VLOOKUP($A$1,data!$A$197:$AU$227,46)</f>
        <v>6.1413020399999994</v>
      </c>
      <c r="AF64" s="640">
        <f>SUM(T64:AE64)</f>
        <v>70.267612020000001</v>
      </c>
      <c r="AG64" s="640">
        <f>SUM(T64:AE64)</f>
        <v>70.267612020000001</v>
      </c>
      <c r="AH64" s="641">
        <f>+AG66-AG64</f>
        <v>-4.758422429999996</v>
      </c>
      <c r="AI64" s="621" t="s">
        <v>92</v>
      </c>
      <c r="AJ64" s="648">
        <f>+B64-T64</f>
        <v>7.3599772299999993</v>
      </c>
      <c r="AK64" s="648">
        <f t="shared" ref="AK64:AU66" si="7">+C64-U64</f>
        <v>7.6671940100000002</v>
      </c>
      <c r="AL64" s="648">
        <f t="shared" si="7"/>
        <v>7.1284058800000007</v>
      </c>
      <c r="AM64" s="648">
        <f t="shared" si="7"/>
        <v>8.3947711300000023</v>
      </c>
      <c r="AN64" s="648">
        <f t="shared" si="7"/>
        <v>9.3946390799999975</v>
      </c>
      <c r="AO64" s="648">
        <f t="shared" si="7"/>
        <v>7.3318480199999998</v>
      </c>
      <c r="AP64" s="648">
        <f t="shared" si="7"/>
        <v>9.1903944700000011</v>
      </c>
      <c r="AQ64" s="648">
        <f t="shared" si="7"/>
        <v>10.689514119999998</v>
      </c>
      <c r="AR64" s="648">
        <f t="shared" si="7"/>
        <v>9.7304985800000008</v>
      </c>
      <c r="AS64" s="648">
        <f t="shared" si="7"/>
        <v>9.1090612000000029</v>
      </c>
      <c r="AT64" s="648">
        <f t="shared" si="7"/>
        <v>6.7653117199999988</v>
      </c>
      <c r="AU64" s="648">
        <f t="shared" si="7"/>
        <v>8.7128128199999999</v>
      </c>
      <c r="AV64" s="648">
        <f>SUM(AJ64:AU64)</f>
        <v>101.47442826000001</v>
      </c>
      <c r="AW64" s="648">
        <f>SUM(AJ64:AU64)</f>
        <v>101.47442826000001</v>
      </c>
      <c r="AX64" s="651">
        <f>+AW66-AW64</f>
        <v>2.3595316399999717</v>
      </c>
    </row>
    <row r="65" spans="1:50" ht="21.75" thickBot="1" x14ac:dyDescent="0.4">
      <c r="A65" s="538" t="s">
        <v>94</v>
      </c>
      <c r="B65" s="633">
        <f>+VLOOKUP($A$1,data!$A$165:$AU$195,19)</f>
        <v>14.048339</v>
      </c>
      <c r="C65" s="633">
        <f>+VLOOKUP($A$1,data!$A$165:$AU$195,20)</f>
        <v>14.269311999999999</v>
      </c>
      <c r="D65" s="633">
        <f>+VLOOKUP($A$1,data!$A$165:$AU$195,21)</f>
        <v>14.129918999999999</v>
      </c>
      <c r="E65" s="633">
        <f>+VLOOKUP($A$1,data!$A$165:$AU$195,22)</f>
        <v>14.563200999999999</v>
      </c>
      <c r="F65" s="633">
        <f>+VLOOKUP($A$1,data!$A$165:$AU$195,23)</f>
        <v>13.909411</v>
      </c>
      <c r="G65" s="633">
        <f>+VLOOKUP($A$1,data!$A$165:$AU$195,24)</f>
        <v>13.874438</v>
      </c>
      <c r="H65" s="633">
        <f>+VLOOKUP($A$1,data!$A$165:$AU$195,25)</f>
        <v>15.825581</v>
      </c>
      <c r="I65" s="633">
        <f>+VLOOKUP($A$1,data!$A$165:$AU$195,26)</f>
        <v>16.649749</v>
      </c>
      <c r="J65" s="633">
        <f>+VLOOKUP($A$1,data!$A$165:$AU$195,27)</f>
        <v>16.238548000000002</v>
      </c>
      <c r="K65" s="633">
        <f>+VLOOKUP($A$1,data!$A$165:$AU$195,28)</f>
        <v>15.147479000000001</v>
      </c>
      <c r="L65" s="633">
        <f>+VLOOKUP($A$1,data!$A$165:$AU$195,29)</f>
        <v>14.178691000000001</v>
      </c>
      <c r="M65" s="633">
        <f>+VLOOKUP($A$1,data!$A$165:$AU$195,30)</f>
        <v>15.093411</v>
      </c>
      <c r="N65" s="633">
        <f>SUM(B65:M65)</f>
        <v>177.92807900000003</v>
      </c>
      <c r="O65" s="636">
        <f t="shared" ref="O65:O66" si="8">SUM(B65:M65)</f>
        <v>177.92807900000003</v>
      </c>
      <c r="P65" s="637">
        <f>+O66-O65</f>
        <v>-8.5849295100000234</v>
      </c>
      <c r="S65" s="601" t="s">
        <v>94</v>
      </c>
      <c r="T65" s="642">
        <f>+VLOOKUP($A$1,data!$A$197:$AU$227,19)</f>
        <v>5.2409520000000001</v>
      </c>
      <c r="U65" s="642">
        <f>+VLOOKUP($A$1,data!$A$197:$AU$227,20)</f>
        <v>4.538316</v>
      </c>
      <c r="V65" s="642">
        <f>+VLOOKUP($A$1,data!$A$197:$AU$227,21)</f>
        <v>3.8826939999999999</v>
      </c>
      <c r="W65" s="642">
        <f>+VLOOKUP($A$1,data!$A$197:$AU$227,22)</f>
        <v>4.5912420000000003</v>
      </c>
      <c r="X65" s="642">
        <f>+VLOOKUP($A$1,data!$A$197:$AU$227,23)</f>
        <v>4.4059109999999997</v>
      </c>
      <c r="Y65" s="642">
        <f>+VLOOKUP($A$1,data!$A$197:$AU$227,24)</f>
        <v>4.9345939999999997</v>
      </c>
      <c r="Z65" s="642">
        <f>+VLOOKUP($A$1,data!$A$197:$AU$227,25)</f>
        <v>4.7919029999999996</v>
      </c>
      <c r="AA65" s="642">
        <f>+VLOOKUP($A$1,data!$A$197:$AU$227,26)</f>
        <v>4.7606060000000001</v>
      </c>
      <c r="AB65" s="642">
        <f>+VLOOKUP($A$1,data!$A$197:$AU$227,27)</f>
        <v>4.9907820000000003</v>
      </c>
      <c r="AC65" s="642">
        <f>+VLOOKUP($A$1,data!$A$197:$AU$227,28)</f>
        <v>4.6644350000000001</v>
      </c>
      <c r="AD65" s="642">
        <f>+VLOOKUP($A$1,data!$A$197:$AU$227,29)</f>
        <v>4.7415349999999998</v>
      </c>
      <c r="AE65" s="642">
        <f>+VLOOKUP($A$1,data!$A$197:$AU$227,30)</f>
        <v>4.996156</v>
      </c>
      <c r="AF65" s="642">
        <f>SUM(T65:AE65)</f>
        <v>56.539126000000003</v>
      </c>
      <c r="AG65" s="643">
        <f t="shared" ref="AG65:AG66" si="9">SUM(T65:AE65)</f>
        <v>56.539126000000003</v>
      </c>
      <c r="AH65" s="644">
        <f>+AG66-AG65</f>
        <v>8.9700635900000023</v>
      </c>
      <c r="AI65" s="617" t="s">
        <v>94</v>
      </c>
      <c r="AJ65" s="649">
        <f>+B65-T65</f>
        <v>8.8073870000000003</v>
      </c>
      <c r="AK65" s="649">
        <f t="shared" si="7"/>
        <v>9.7309959999999993</v>
      </c>
      <c r="AL65" s="649">
        <f t="shared" si="7"/>
        <v>10.247225</v>
      </c>
      <c r="AM65" s="649">
        <f t="shared" si="7"/>
        <v>9.9719589999999982</v>
      </c>
      <c r="AN65" s="649">
        <f t="shared" si="7"/>
        <v>9.5035000000000007</v>
      </c>
      <c r="AO65" s="649">
        <f t="shared" si="7"/>
        <v>8.9398440000000008</v>
      </c>
      <c r="AP65" s="649">
        <f t="shared" si="7"/>
        <v>11.033678</v>
      </c>
      <c r="AQ65" s="649">
        <f t="shared" si="7"/>
        <v>11.889143000000001</v>
      </c>
      <c r="AR65" s="649">
        <f t="shared" si="7"/>
        <v>11.247766000000002</v>
      </c>
      <c r="AS65" s="649">
        <f t="shared" si="7"/>
        <v>10.483044</v>
      </c>
      <c r="AT65" s="649">
        <f t="shared" si="7"/>
        <v>9.4371560000000017</v>
      </c>
      <c r="AU65" s="649">
        <f t="shared" si="7"/>
        <v>10.097255000000001</v>
      </c>
      <c r="AV65" s="649">
        <f>SUM(AJ65:AU65)</f>
        <v>121.38895300000001</v>
      </c>
      <c r="AW65" s="652">
        <f t="shared" ref="AW65:AW66" si="10">SUM(AJ65:AU65)</f>
        <v>121.38895300000001</v>
      </c>
      <c r="AX65" s="653">
        <f>+AW66-AW65</f>
        <v>-17.554993100000033</v>
      </c>
    </row>
    <row r="66" spans="1:50" ht="21.75" thickBot="1" x14ac:dyDescent="0.4">
      <c r="A66" s="546" t="s">
        <v>93</v>
      </c>
      <c r="B66" s="634">
        <f>+VLOOKUP($A$1,data!$A$165:$AU$195,3)</f>
        <v>13.42803046</v>
      </c>
      <c r="C66" s="634">
        <f>+VLOOKUP($A$1,data!$A$165:$AU$195,4)</f>
        <v>13.238157280000001</v>
      </c>
      <c r="D66" s="634">
        <f>+VLOOKUP($A$1,data!$A$165:$AU$195,5)</f>
        <v>13.643102019999999</v>
      </c>
      <c r="E66" s="634">
        <f>+VLOOKUP($A$1,data!$A$165:$AU$195,6)</f>
        <v>14.161293969999999</v>
      </c>
      <c r="F66" s="634">
        <f>+VLOOKUP($A$1,data!$A$165:$AU$195,7)</f>
        <v>13.726882790000001</v>
      </c>
      <c r="G66" s="634">
        <f>+VLOOKUP($A$1,data!$A$165:$AU$195,8)</f>
        <v>13.413396649999997</v>
      </c>
      <c r="H66" s="634">
        <f>+VLOOKUP($A$1,data!$A$165:$AU$195,9)</f>
        <v>15.38676141</v>
      </c>
      <c r="I66" s="634">
        <f>+VLOOKUP($A$1,data!$A$165:$AU$195,10)</f>
        <v>15.11636566</v>
      </c>
      <c r="J66" s="634">
        <f>+VLOOKUP($A$1,data!$A$165:$AU$195,11)</f>
        <v>14.53106187</v>
      </c>
      <c r="K66" s="634">
        <f>+VLOOKUP($A$1,data!$A$165:$AU$195,12)</f>
        <v>14.15525884</v>
      </c>
      <c r="L66" s="634">
        <f>+VLOOKUP($A$1,data!$A$165:$AU$195,13)</f>
        <v>14.229535709999999</v>
      </c>
      <c r="M66" s="634">
        <f>+VLOOKUP($A$1,data!$A$165:$AU$195,14)</f>
        <v>14.313302830000001</v>
      </c>
      <c r="N66" s="634">
        <f>SUM(B66:M66)</f>
        <v>169.34314949</v>
      </c>
      <c r="O66" s="638">
        <f t="shared" si="8"/>
        <v>169.34314949</v>
      </c>
      <c r="P66" s="639"/>
      <c r="S66" s="608" t="s">
        <v>93</v>
      </c>
      <c r="T66" s="645">
        <f>+VLOOKUP($A$1,data!$A$197:$AU$227,3)</f>
        <v>4.1425205400000005</v>
      </c>
      <c r="U66" s="645">
        <f>+VLOOKUP($A$1,data!$A$197:$AU$227,4)</f>
        <v>5.7702394299999993</v>
      </c>
      <c r="V66" s="645">
        <f>+VLOOKUP($A$1,data!$A$197:$AU$227,5)</f>
        <v>5.0256641399999999</v>
      </c>
      <c r="W66" s="645">
        <f>+VLOOKUP($A$1,data!$A$197:$AU$227,6)</f>
        <v>4.2615151000000004</v>
      </c>
      <c r="X66" s="645">
        <f>+VLOOKUP($A$1,data!$A$197:$AU$227,7)</f>
        <v>5.4937372</v>
      </c>
      <c r="Y66" s="645">
        <f>+VLOOKUP($A$1,data!$A$197:$AU$227,8)</f>
        <v>6.2387600299999999</v>
      </c>
      <c r="Z66" s="645">
        <f>+VLOOKUP($A$1,data!$A$197:$AU$227,9)</f>
        <v>5.6426715200000004</v>
      </c>
      <c r="AA66" s="645">
        <f>+VLOOKUP($A$1,data!$A$197:$AU$227,10)</f>
        <v>5.4913377199999998</v>
      </c>
      <c r="AB66" s="645">
        <f>+VLOOKUP($A$1,data!$A$197:$AU$227,11)</f>
        <v>6.0767034400000011</v>
      </c>
      <c r="AC66" s="645">
        <f>+VLOOKUP($A$1,data!$A$197:$AU$227,12)</f>
        <v>5.4306933900000001</v>
      </c>
      <c r="AD66" s="645">
        <f>+VLOOKUP($A$1,data!$A$197:$AU$227,13)</f>
        <v>5.5529720899999999</v>
      </c>
      <c r="AE66" s="645">
        <f>+VLOOKUP($A$1,data!$A$197:$AU$227,14)</f>
        <v>6.3823749900000006</v>
      </c>
      <c r="AF66" s="645">
        <f>SUM(T66:AE66)</f>
        <v>65.509189590000005</v>
      </c>
      <c r="AG66" s="646">
        <f t="shared" si="9"/>
        <v>65.509189590000005</v>
      </c>
      <c r="AH66" s="647"/>
      <c r="AI66" s="624" t="s">
        <v>93</v>
      </c>
      <c r="AJ66" s="650">
        <f>+B66-T66</f>
        <v>9.2855099199999991</v>
      </c>
      <c r="AK66" s="650">
        <f t="shared" si="7"/>
        <v>7.4679178500000019</v>
      </c>
      <c r="AL66" s="650">
        <f t="shared" si="7"/>
        <v>8.6174378799999989</v>
      </c>
      <c r="AM66" s="650">
        <f t="shared" si="7"/>
        <v>9.8997788699999987</v>
      </c>
      <c r="AN66" s="650">
        <f t="shared" si="7"/>
        <v>8.2331455900000012</v>
      </c>
      <c r="AO66" s="650">
        <f t="shared" si="7"/>
        <v>7.1746366199999976</v>
      </c>
      <c r="AP66" s="650">
        <f t="shared" si="7"/>
        <v>9.7440898899999997</v>
      </c>
      <c r="AQ66" s="650">
        <f t="shared" si="7"/>
        <v>9.6250279399999989</v>
      </c>
      <c r="AR66" s="650">
        <f t="shared" si="7"/>
        <v>8.4543584299999992</v>
      </c>
      <c r="AS66" s="650">
        <f>+K66-AC66</f>
        <v>8.7245654500000001</v>
      </c>
      <c r="AT66" s="650">
        <f>+L66-AD66</f>
        <v>8.6765636199999996</v>
      </c>
      <c r="AU66" s="650">
        <f>+M66-AE66</f>
        <v>7.9309278400000007</v>
      </c>
      <c r="AV66" s="650">
        <f>SUM(AJ66:AU66)</f>
        <v>103.83395989999998</v>
      </c>
      <c r="AW66" s="654">
        <f t="shared" si="10"/>
        <v>103.83395989999998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13.500048219999998</v>
      </c>
      <c r="D85" s="628">
        <f t="shared" ref="D85:N87" si="11">+C85+C64</f>
        <v>27.302816929999999</v>
      </c>
      <c r="E85" s="628">
        <f t="shared" si="11"/>
        <v>40.851523059999998</v>
      </c>
      <c r="F85" s="628">
        <f t="shared" si="11"/>
        <v>54.902570869999998</v>
      </c>
      <c r="G85" s="628">
        <f t="shared" si="11"/>
        <v>68.256165819999993</v>
      </c>
      <c r="H85" s="628">
        <f t="shared" si="11"/>
        <v>81.490028669999987</v>
      </c>
      <c r="I85" s="628">
        <f t="shared" si="11"/>
        <v>96.491793149999992</v>
      </c>
      <c r="J85" s="628">
        <f t="shared" si="11"/>
        <v>113.11092318999999</v>
      </c>
      <c r="K85" s="628">
        <f t="shared" si="11"/>
        <v>129.02407563</v>
      </c>
      <c r="L85" s="628">
        <f t="shared" si="11"/>
        <v>143.91857098</v>
      </c>
      <c r="M85" s="628">
        <f t="shared" si="11"/>
        <v>156.88792541999999</v>
      </c>
      <c r="N85" s="628">
        <f t="shared" si="11"/>
        <v>171.74204028</v>
      </c>
      <c r="S85"/>
      <c r="T85" s="605" t="s">
        <v>92</v>
      </c>
      <c r="U85" s="640">
        <f>+T64</f>
        <v>6.140070989999999</v>
      </c>
      <c r="V85" s="640">
        <f t="shared" ref="V85:AF87" si="12">+U85+U64</f>
        <v>12.275645689999998</v>
      </c>
      <c r="W85" s="640">
        <f t="shared" si="12"/>
        <v>18.695945939999998</v>
      </c>
      <c r="X85" s="640">
        <f t="shared" si="12"/>
        <v>24.352222619999999</v>
      </c>
      <c r="Y85" s="640">
        <f t="shared" si="12"/>
        <v>28.31117849</v>
      </c>
      <c r="Z85" s="640">
        <f t="shared" si="12"/>
        <v>34.213193320000002</v>
      </c>
      <c r="AA85" s="640">
        <f t="shared" si="12"/>
        <v>40.024563329999999</v>
      </c>
      <c r="AB85" s="640">
        <f t="shared" si="12"/>
        <v>45.954179249999996</v>
      </c>
      <c r="AC85" s="640">
        <f t="shared" si="12"/>
        <v>52.136833109999998</v>
      </c>
      <c r="AD85" s="640">
        <f t="shared" si="12"/>
        <v>57.922267259999998</v>
      </c>
      <c r="AE85" s="640">
        <f t="shared" si="12"/>
        <v>64.126309980000002</v>
      </c>
      <c r="AF85" s="640">
        <f t="shared" si="12"/>
        <v>70.267612020000001</v>
      </c>
      <c r="AG85" s="158"/>
      <c r="AH85" s="158"/>
      <c r="AI85"/>
      <c r="AJ85" s="621" t="s">
        <v>92</v>
      </c>
      <c r="AK85" s="648">
        <f>+AJ64</f>
        <v>7.3599772299999993</v>
      </c>
      <c r="AL85" s="648">
        <f t="shared" ref="AL85:AV87" si="13">+AK85+AK64</f>
        <v>15.027171239999999</v>
      </c>
      <c r="AM85" s="648">
        <f t="shared" si="13"/>
        <v>22.15557712</v>
      </c>
      <c r="AN85" s="648">
        <f t="shared" si="13"/>
        <v>30.550348250000003</v>
      </c>
      <c r="AO85" s="648">
        <f t="shared" si="13"/>
        <v>39.944987330000004</v>
      </c>
      <c r="AP85" s="648">
        <f t="shared" si="13"/>
        <v>47.276835350000006</v>
      </c>
      <c r="AQ85" s="648">
        <f t="shared" si="13"/>
        <v>56.467229820000007</v>
      </c>
      <c r="AR85" s="648">
        <f t="shared" si="13"/>
        <v>67.156743940000013</v>
      </c>
      <c r="AS85" s="648">
        <f t="shared" si="13"/>
        <v>76.887242520000015</v>
      </c>
      <c r="AT85" s="648">
        <f t="shared" si="13"/>
        <v>85.996303720000014</v>
      </c>
      <c r="AU85" s="648">
        <f t="shared" si="13"/>
        <v>92.761615440000014</v>
      </c>
      <c r="AV85" s="648">
        <f t="shared" si="13"/>
        <v>101.47442826000001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14.048339</v>
      </c>
      <c r="D86" s="633">
        <f t="shared" si="11"/>
        <v>28.317650999999998</v>
      </c>
      <c r="E86" s="633">
        <f t="shared" si="11"/>
        <v>42.447569999999999</v>
      </c>
      <c r="F86" s="633">
        <f t="shared" si="11"/>
        <v>57.010770999999998</v>
      </c>
      <c r="G86" s="633">
        <f t="shared" si="11"/>
        <v>70.920181999999997</v>
      </c>
      <c r="H86" s="633">
        <f t="shared" si="11"/>
        <v>84.794619999999995</v>
      </c>
      <c r="I86" s="633">
        <f t="shared" si="11"/>
        <v>100.62020099999999</v>
      </c>
      <c r="J86" s="633">
        <f t="shared" si="11"/>
        <v>117.26994999999999</v>
      </c>
      <c r="K86" s="633">
        <f t="shared" si="11"/>
        <v>133.508498</v>
      </c>
      <c r="L86" s="633">
        <f t="shared" si="11"/>
        <v>148.65597700000001</v>
      </c>
      <c r="M86" s="633">
        <f t="shared" si="11"/>
        <v>162.83466800000002</v>
      </c>
      <c r="N86" s="633">
        <f t="shared" si="11"/>
        <v>177.92807900000003</v>
      </c>
      <c r="S86"/>
      <c r="T86" s="601" t="s">
        <v>94</v>
      </c>
      <c r="U86" s="642">
        <f>+T65</f>
        <v>5.2409520000000001</v>
      </c>
      <c r="V86" s="642">
        <f t="shared" si="12"/>
        <v>9.7792680000000001</v>
      </c>
      <c r="W86" s="642">
        <f t="shared" si="12"/>
        <v>13.661961999999999</v>
      </c>
      <c r="X86" s="642">
        <f t="shared" si="12"/>
        <v>18.253204</v>
      </c>
      <c r="Y86" s="642">
        <f t="shared" si="12"/>
        <v>22.659115</v>
      </c>
      <c r="Z86" s="642">
        <f t="shared" si="12"/>
        <v>27.593709</v>
      </c>
      <c r="AA86" s="642">
        <f t="shared" si="12"/>
        <v>32.385612000000002</v>
      </c>
      <c r="AB86" s="642">
        <f t="shared" si="12"/>
        <v>37.146218000000005</v>
      </c>
      <c r="AC86" s="642">
        <f t="shared" si="12"/>
        <v>42.137000000000008</v>
      </c>
      <c r="AD86" s="642">
        <f t="shared" si="12"/>
        <v>46.801435000000005</v>
      </c>
      <c r="AE86" s="642">
        <f t="shared" si="12"/>
        <v>51.542970000000004</v>
      </c>
      <c r="AF86" s="642">
        <f t="shared" si="12"/>
        <v>56.539126000000003</v>
      </c>
      <c r="AG86" s="158"/>
      <c r="AH86" s="158"/>
      <c r="AI86"/>
      <c r="AJ86" s="617" t="s">
        <v>94</v>
      </c>
      <c r="AK86" s="649">
        <f>+AJ65</f>
        <v>8.8073870000000003</v>
      </c>
      <c r="AL86" s="649">
        <f t="shared" si="13"/>
        <v>18.538383</v>
      </c>
      <c r="AM86" s="649">
        <f t="shared" si="13"/>
        <v>28.785608</v>
      </c>
      <c r="AN86" s="649">
        <f t="shared" si="13"/>
        <v>38.757566999999995</v>
      </c>
      <c r="AO86" s="649">
        <f t="shared" si="13"/>
        <v>48.261066999999997</v>
      </c>
      <c r="AP86" s="649">
        <f t="shared" si="13"/>
        <v>57.200910999999998</v>
      </c>
      <c r="AQ86" s="649">
        <f t="shared" si="13"/>
        <v>68.234589</v>
      </c>
      <c r="AR86" s="649">
        <f t="shared" si="13"/>
        <v>80.123732000000004</v>
      </c>
      <c r="AS86" s="649">
        <f t="shared" si="13"/>
        <v>91.371498000000003</v>
      </c>
      <c r="AT86" s="649">
        <f t="shared" si="13"/>
        <v>101.85454200000001</v>
      </c>
      <c r="AU86" s="649">
        <f t="shared" si="13"/>
        <v>111.29169800000001</v>
      </c>
      <c r="AV86" s="649">
        <f t="shared" si="13"/>
        <v>121.38895300000001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13.42803046</v>
      </c>
      <c r="D87" s="629">
        <f t="shared" si="11"/>
        <v>26.666187740000002</v>
      </c>
      <c r="E87" s="629">
        <f t="shared" si="11"/>
        <v>40.309289759999999</v>
      </c>
      <c r="F87" s="629">
        <f t="shared" si="11"/>
        <v>54.470583730000001</v>
      </c>
      <c r="G87" s="629">
        <f t="shared" si="11"/>
        <v>68.197466520000006</v>
      </c>
      <c r="H87" s="629">
        <f t="shared" si="11"/>
        <v>81.610863170000002</v>
      </c>
      <c r="I87" s="629">
        <f t="shared" si="11"/>
        <v>96.997624580000007</v>
      </c>
      <c r="J87" s="629">
        <f t="shared" si="11"/>
        <v>112.11399024000001</v>
      </c>
      <c r="K87" s="629">
        <f t="shared" si="11"/>
        <v>126.64505211000001</v>
      </c>
      <c r="L87" s="629">
        <f t="shared" si="11"/>
        <v>140.80031095000001</v>
      </c>
      <c r="M87" s="629">
        <f t="shared" si="11"/>
        <v>155.02984666</v>
      </c>
      <c r="N87" s="629">
        <f t="shared" si="11"/>
        <v>169.34314949</v>
      </c>
      <c r="S87"/>
      <c r="T87" s="608" t="s">
        <v>93</v>
      </c>
      <c r="U87" s="645">
        <f>+T66</f>
        <v>4.1425205400000005</v>
      </c>
      <c r="V87" s="645">
        <f t="shared" si="12"/>
        <v>9.9127599699999998</v>
      </c>
      <c r="W87" s="645">
        <f t="shared" si="12"/>
        <v>14.93842411</v>
      </c>
      <c r="X87" s="645">
        <f t="shared" si="12"/>
        <v>19.19993921</v>
      </c>
      <c r="Y87" s="645">
        <f t="shared" si="12"/>
        <v>24.693676410000002</v>
      </c>
      <c r="Z87" s="645">
        <f t="shared" si="12"/>
        <v>30.932436440000004</v>
      </c>
      <c r="AA87" s="645">
        <f t="shared" si="12"/>
        <v>36.575107960000004</v>
      </c>
      <c r="AB87" s="645">
        <f t="shared" si="12"/>
        <v>42.066445680000001</v>
      </c>
      <c r="AC87" s="645">
        <f t="shared" si="12"/>
        <v>48.143149120000004</v>
      </c>
      <c r="AD87" s="645">
        <f t="shared" si="12"/>
        <v>53.573842510000006</v>
      </c>
      <c r="AE87" s="645">
        <f t="shared" si="12"/>
        <v>59.126814600000003</v>
      </c>
      <c r="AF87" s="645">
        <f t="shared" si="12"/>
        <v>65.509189590000005</v>
      </c>
      <c r="AG87" s="158"/>
      <c r="AH87" s="158"/>
      <c r="AI87"/>
      <c r="AJ87" s="624" t="s">
        <v>93</v>
      </c>
      <c r="AK87" s="650">
        <f>+AJ66</f>
        <v>9.2855099199999991</v>
      </c>
      <c r="AL87" s="650">
        <f t="shared" si="13"/>
        <v>16.753427770000002</v>
      </c>
      <c r="AM87" s="650">
        <f t="shared" si="13"/>
        <v>25.370865649999999</v>
      </c>
      <c r="AN87" s="650">
        <f t="shared" si="13"/>
        <v>35.270644519999998</v>
      </c>
      <c r="AO87" s="650">
        <f t="shared" si="13"/>
        <v>43.503790109999997</v>
      </c>
      <c r="AP87" s="650">
        <f t="shared" si="13"/>
        <v>50.678426729999998</v>
      </c>
      <c r="AQ87" s="650">
        <f t="shared" si="13"/>
        <v>60.422516619999996</v>
      </c>
      <c r="AR87" s="650">
        <f t="shared" si="13"/>
        <v>70.047544559999992</v>
      </c>
      <c r="AS87" s="650">
        <f t="shared" si="13"/>
        <v>78.501902989999991</v>
      </c>
      <c r="AT87" s="650">
        <f t="shared" si="13"/>
        <v>87.226468439999991</v>
      </c>
      <c r="AU87" s="650">
        <f t="shared" si="13"/>
        <v>95.903032059999987</v>
      </c>
      <c r="AV87" s="650">
        <f t="shared" si="13"/>
        <v>103.83395989999998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242" priority="15" operator="lessThan">
      <formula>0</formula>
    </cfRule>
  </conditionalFormatting>
  <conditionalFormatting sqref="O41">
    <cfRule type="cellIs" dxfId="241" priority="14" operator="lessThan">
      <formula>0</formula>
    </cfRule>
  </conditionalFormatting>
  <conditionalFormatting sqref="AX18:AX22">
    <cfRule type="cellIs" dxfId="240" priority="13" operator="lessThan">
      <formula>0</formula>
    </cfRule>
  </conditionalFormatting>
  <conditionalFormatting sqref="BN21:BN22">
    <cfRule type="cellIs" dxfId="239" priority="12" operator="lessThan">
      <formula>0</formula>
    </cfRule>
  </conditionalFormatting>
  <conditionalFormatting sqref="BB43:BB46">
    <cfRule type="cellIs" dxfId="238" priority="11" operator="greaterThan">
      <formula>0</formula>
    </cfRule>
  </conditionalFormatting>
  <conditionalFormatting sqref="AX18:AX20">
    <cfRule type="cellIs" dxfId="237" priority="10" operator="lessThan">
      <formula>0</formula>
    </cfRule>
  </conditionalFormatting>
  <conditionalFormatting sqref="BN18:BN20">
    <cfRule type="cellIs" dxfId="236" priority="9" operator="greaterThan">
      <formula>0</formula>
    </cfRule>
  </conditionalFormatting>
  <conditionalFormatting sqref="P18:P20">
    <cfRule type="cellIs" dxfId="235" priority="8" operator="lessThan">
      <formula>0</formula>
    </cfRule>
  </conditionalFormatting>
  <conditionalFormatting sqref="P67:P68">
    <cfRule type="cellIs" dxfId="234" priority="7" operator="lessThan">
      <formula>0</formula>
    </cfRule>
  </conditionalFormatting>
  <conditionalFormatting sqref="P64:P66">
    <cfRule type="cellIs" dxfId="233" priority="6" operator="lessThan">
      <formula>0</formula>
    </cfRule>
  </conditionalFormatting>
  <conditionalFormatting sqref="AH67:AH68">
    <cfRule type="cellIs" dxfId="232" priority="5" operator="lessThan">
      <formula>0</formula>
    </cfRule>
  </conditionalFormatting>
  <conditionalFormatting sqref="AH64:AH66">
    <cfRule type="cellIs" dxfId="231" priority="4" operator="greaterThan">
      <formula>0</formula>
    </cfRule>
  </conditionalFormatting>
  <conditionalFormatting sqref="AX67:AX68">
    <cfRule type="cellIs" dxfId="230" priority="3" operator="lessThan">
      <formula>0</formula>
    </cfRule>
  </conditionalFormatting>
  <conditionalFormatting sqref="AX64:AX66">
    <cfRule type="cellIs" dxfId="229" priority="2" operator="lessThan">
      <formula>0</formula>
    </cfRule>
  </conditionalFormatting>
  <conditionalFormatting sqref="S24:AH24 S21:T23 V21:AH23">
    <cfRule type="cellIs" dxfId="228" priority="1" operator="lessThan">
      <formula>0</formula>
    </cfRule>
  </conditionalFormatting>
  <pageMargins left="0.39370078740157483" right="0.19685039370078741" top="0.74803149606299213" bottom="0.23" header="0.31496062992125984" footer="0.31496062992125984"/>
  <pageSetup paperSize="9" scale="80" pageOrder="overThenDown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4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1015</v>
      </c>
      <c r="B3" s="807" t="str">
        <f>+VLOOKUP($A3,data!$A$4:$AH$32,2,0)</f>
        <v>เกาะคา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4632</v>
      </c>
      <c r="C9" s="180">
        <f>+VLOOKUP($A$3,data!$A$4:$AH$32,8,0)/10^6</f>
        <v>0.72053999999999996</v>
      </c>
      <c r="D9" s="181">
        <f>+VLOOKUP($A$3,data!$A$4:$AH$32,9,0)</f>
        <v>0.43577973328494962</v>
      </c>
      <c r="E9" s="180">
        <f>+VLOOKUP($A$3,data!$A$4:$AH$32,10,0)/10^6</f>
        <v>9.6473124099999978</v>
      </c>
      <c r="F9" s="182">
        <f>+E9/C9</f>
        <v>13.389003261442804</v>
      </c>
      <c r="G9" s="179">
        <f>+VLOOKUP($A$3,data!$A$4:$AH$32,23,0)</f>
        <v>4812</v>
      </c>
      <c r="H9" s="180">
        <f>+VLOOKUP($A$3,data!$A$4:$AH$32,24,0)/10^6</f>
        <v>0.75172600000000001</v>
      </c>
      <c r="I9" s="181">
        <f>+VLOOKUP($A$3,data!$A$4:$AH$32,25,0)</f>
        <v>0.4361548682065296</v>
      </c>
      <c r="J9" s="180">
        <f>+VLOOKUP($A$3,data!$A$4:$AH$32,26,0)/10^6</f>
        <v>10.129176659999999</v>
      </c>
      <c r="K9" s="182">
        <f>+J9/H9</f>
        <v>13.474559427238114</v>
      </c>
    </row>
    <row r="10" spans="1:12" ht="26.25" x14ac:dyDescent="0.4">
      <c r="A10" s="187" t="s">
        <v>4</v>
      </c>
      <c r="B10" s="189">
        <f>+B9/B20</f>
        <v>0.86192780052102713</v>
      </c>
      <c r="C10" s="190"/>
      <c r="D10" s="190"/>
      <c r="E10" s="190"/>
      <c r="F10" s="191"/>
      <c r="G10" s="189">
        <f>+G9/G20</f>
        <v>0.86252016490410466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581</v>
      </c>
      <c r="C13" s="180">
        <f>+VLOOKUP($A$3,data!$A$4:$AH$32,12,0)/10^6</f>
        <v>0.25206299999999998</v>
      </c>
      <c r="D13" s="181">
        <f>+VLOOKUP($A$3,data!$A$4:$AH$32,13,0)</f>
        <v>1.1906613131790269</v>
      </c>
      <c r="E13" s="180">
        <f>+VLOOKUP($A$3,data!$A$4:$AH$32,14,0)/10^6</f>
        <v>5.2870682500000008</v>
      </c>
      <c r="F13" s="182">
        <f>+E13/C13</f>
        <v>20.975185767050306</v>
      </c>
      <c r="G13" s="179">
        <f>+VLOOKUP($A$3,data!$A$4:$AH$32,27,0)</f>
        <v>599</v>
      </c>
      <c r="H13" s="180">
        <f>+VLOOKUP($A$3,data!$A$4:$AH$32,28,0)/10^6</f>
        <v>0.221943</v>
      </c>
      <c r="I13" s="181">
        <f>+VLOOKUP($A$3,data!$A$4:$AH$32,29,0)</f>
        <v>1.0306152774553052</v>
      </c>
      <c r="J13" s="180">
        <f>+VLOOKUP($A$3,data!$A$4:$AH$32,30,0)/10^6</f>
        <v>4.6272516500000016</v>
      </c>
      <c r="K13" s="182">
        <f>+J13/H13</f>
        <v>20.848828978611632</v>
      </c>
    </row>
    <row r="14" spans="1:12" ht="26.25" x14ac:dyDescent="0.4">
      <c r="A14" s="187" t="s">
        <v>29</v>
      </c>
      <c r="B14" s="189">
        <f>+B13/B20</f>
        <v>0.10811313732787495</v>
      </c>
      <c r="C14" s="190"/>
      <c r="D14" s="190"/>
      <c r="E14" s="190"/>
      <c r="F14" s="191"/>
      <c r="G14" s="189">
        <f>+G13/G20</f>
        <v>0.10736691163290912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161</v>
      </c>
      <c r="C17" s="180">
        <f>+VLOOKUP($A$3,data!$A$4:$AH$32,16,0)/10^6</f>
        <v>6.3482999999999998E-2</v>
      </c>
      <c r="D17" s="181">
        <f>+VLOOKUP($A$3,data!$A$4:$AH$32,17,0)</f>
        <v>1.073617453069508</v>
      </c>
      <c r="E17" s="180">
        <f>+VLOOKUP($A$3,data!$A$4:$AH$32,18,0)/10^6</f>
        <v>1.6883968999999999</v>
      </c>
      <c r="F17" s="182">
        <f>+E17/C17</f>
        <v>26.596047760817857</v>
      </c>
      <c r="G17" s="179">
        <f>+VLOOKUP($A$3,data!$A$4:$AH$32,31,0)</f>
        <v>168</v>
      </c>
      <c r="H17" s="180">
        <f>+VLOOKUP($A$3,data!$A$4:$AH$32,32,0)/10^6</f>
        <v>7.6240000000000002E-2</v>
      </c>
      <c r="I17" s="181">
        <f>+VLOOKUP($A$3,data!$A$4:$AH$32,33,0)</f>
        <v>1.2697672481991922</v>
      </c>
      <c r="J17" s="180">
        <f>+VLOOKUP($A$3,data!$A$4:$AH$32,34,0)/10^6</f>
        <v>2.0565173999999997</v>
      </c>
      <c r="K17" s="182">
        <f>+J17/H17</f>
        <v>26.974257607555085</v>
      </c>
    </row>
    <row r="18" spans="1:11" ht="26.25" x14ac:dyDescent="0.4">
      <c r="A18" s="187" t="s">
        <v>30</v>
      </c>
      <c r="B18" s="189">
        <f>+B17/B20</f>
        <v>2.9959062151097879E-2</v>
      </c>
      <c r="C18" s="190"/>
      <c r="D18" s="190"/>
      <c r="E18" s="190"/>
      <c r="F18" s="191"/>
      <c r="G18" s="189">
        <f>+G17/G20</f>
        <v>3.0112923462986198E-2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5374</v>
      </c>
      <c r="C20" s="180">
        <f>+VLOOKUP($A$3,data!$A$4:$AH$32,4,0)/10^6</f>
        <v>1.0360860000000001</v>
      </c>
      <c r="D20" s="181">
        <f>+VLOOKUP($A$3,data!$A$4:$AH$32,5,0)</f>
        <v>0.53842787951857318</v>
      </c>
      <c r="E20" s="180">
        <f>+VLOOKUP($A$3,data!$A$4:$AH$32,6,0)/10^6</f>
        <v>16.622777559999999</v>
      </c>
      <c r="F20" s="182">
        <f>+E20/C20</f>
        <v>16.043820262024578</v>
      </c>
      <c r="G20" s="179">
        <f>+VLOOKUP($A$3,data!$A$4:$AH$32,19,0)</f>
        <v>5579</v>
      </c>
      <c r="H20" s="180">
        <f>+VLOOKUP($A$3,data!$A$4:$AH$32,20,0)/10^6</f>
        <v>1.049909</v>
      </c>
      <c r="I20" s="181">
        <f>+VLOOKUP($A$3,data!$A$4:$AH$32,21,0)</f>
        <v>0.52523747168787183</v>
      </c>
      <c r="J20" s="180">
        <f>+VLOOKUP($A$3,data!$A$4:$AH$32,22,0)/10^6</f>
        <v>16.812945710000001</v>
      </c>
      <c r="K20" s="182">
        <f>+J20/H20</f>
        <v>16.013717103101317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เกาะคา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G50"/>
  <sheetViews>
    <sheetView showGridLines="0" tabSelected="1" showWhiteSpace="0" view="pageBreakPreview" zoomScale="60" zoomScaleNormal="85" workbookViewId="0">
      <selection activeCell="N11" sqref="N11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8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2" width="2.875" customWidth="1"/>
    <col min="13" max="33" width="9" customWidth="1"/>
    <col min="34" max="16384" width="9.125" style="158"/>
  </cols>
  <sheetData>
    <row r="1" spans="1:11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1" x14ac:dyDescent="0.35">
      <c r="J2" s="158" t="s">
        <v>71</v>
      </c>
      <c r="K2" s="174">
        <f ca="1">+TODAY()</f>
        <v>43039</v>
      </c>
    </row>
    <row r="3" spans="1:11" s="176" customFormat="1" ht="26.25" x14ac:dyDescent="0.2">
      <c r="A3" s="175">
        <v>1003</v>
      </c>
      <c r="B3" s="807" t="str">
        <f>+VLOOKUP($A3,data!$A$4:$AH$32,2,0)</f>
        <v>กปภ.ข.9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1" ht="23.25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</row>
    <row r="5" spans="1:11" ht="23.25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1" s="162" customForma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1" s="162" customForma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1" s="162" customFormat="1" ht="23.25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1" ht="26.25" x14ac:dyDescent="0.4">
      <c r="A9" s="187" t="s">
        <v>31</v>
      </c>
      <c r="B9" s="179">
        <f>+VLOOKUP($A$3,data!$A$4:$AH$32,7,0)</f>
        <v>286319</v>
      </c>
      <c r="C9" s="180">
        <f>+VLOOKUP($A$3,data!$A$4:$AH$32,8,0)/10^6</f>
        <v>48.227806000000001</v>
      </c>
      <c r="D9" s="181">
        <f>+VLOOKUP($A$3,data!$A$4:$AH$32,9,0)</f>
        <v>0.47321119160548153</v>
      </c>
      <c r="E9" s="180">
        <f>+VLOOKUP($A$3,data!$A$4:$AH$32,10,0)/10^6</f>
        <v>677.53067328000009</v>
      </c>
      <c r="F9" s="182">
        <f>+E9/C9</f>
        <v>14.048548534013761</v>
      </c>
      <c r="G9" s="179">
        <f>+VLOOKUP($A$3,data!$A$4:$AH$32,23,0)</f>
        <v>300481</v>
      </c>
      <c r="H9" s="180">
        <f>+VLOOKUP($A$3,data!$A$4:$AH$32,24,0)/10^6</f>
        <v>49.104734000000001</v>
      </c>
      <c r="I9" s="181">
        <f>+VLOOKUP($A$3,data!$A$4:$AH$32,25,0)</f>
        <v>0.4585327805324444</v>
      </c>
      <c r="J9" s="180">
        <f>+VLOOKUP($A$3,data!$A$4:$AH$32,26,0)/10^6</f>
        <v>686.29284773999996</v>
      </c>
      <c r="K9" s="182">
        <f>+J9/H9</f>
        <v>13.97610356142037</v>
      </c>
    </row>
    <row r="10" spans="1:11" ht="26.25" x14ac:dyDescent="0.4">
      <c r="A10" s="187" t="s">
        <v>4</v>
      </c>
      <c r="B10" s="189">
        <f>+B9/B20</f>
        <v>0.78232013705404835</v>
      </c>
      <c r="C10" s="190"/>
      <c r="D10" s="190"/>
      <c r="E10" s="190"/>
      <c r="F10" s="191"/>
      <c r="G10" s="189">
        <f>+G9/G20</f>
        <v>0.78710017105121843</v>
      </c>
      <c r="H10" s="190"/>
      <c r="I10" s="190"/>
      <c r="J10" s="190"/>
      <c r="K10" s="191"/>
    </row>
    <row r="11" spans="1:11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1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1" ht="26.25" x14ac:dyDescent="0.4">
      <c r="A13" s="187" t="s">
        <v>28</v>
      </c>
      <c r="B13" s="179">
        <f>+VLOOKUP($A$3,data!$A$4:$AH$32,11,0)</f>
        <v>56720</v>
      </c>
      <c r="C13" s="180">
        <f>+VLOOKUP($A$3,data!$A$4:$AH$32,12,0)/10^6</f>
        <v>24.701858000000001</v>
      </c>
      <c r="D13" s="181">
        <f>+VLOOKUP($A$3,data!$A$4:$AH$32,13,0)</f>
        <v>1.2328658818925962</v>
      </c>
      <c r="E13" s="180">
        <f>+VLOOKUP($A$3,data!$A$4:$AH$32,14,0)/10^6</f>
        <v>534.08511081999995</v>
      </c>
      <c r="F13" s="182">
        <f>+E13/C13</f>
        <v>21.621252572174932</v>
      </c>
      <c r="G13" s="179">
        <f>+VLOOKUP($A$3,data!$A$4:$AH$32,27,0)</f>
        <v>58596</v>
      </c>
      <c r="H13" s="180">
        <f>+VLOOKUP($A$3,data!$A$4:$AH$32,28,0)/10^6</f>
        <v>25.58896</v>
      </c>
      <c r="I13" s="181">
        <f>+VLOOKUP($A$3,data!$A$4:$AH$32,29,0)</f>
        <v>1.2159065476781608</v>
      </c>
      <c r="J13" s="180">
        <f>+VLOOKUP($A$3,data!$A$4:$AH$32,30,0)/10^6</f>
        <v>555.07553865000011</v>
      </c>
      <c r="K13" s="182">
        <f>+J13/H13</f>
        <v>21.69199290045395</v>
      </c>
    </row>
    <row r="14" spans="1:11" ht="26.25" x14ac:dyDescent="0.4">
      <c r="A14" s="187" t="s">
        <v>29</v>
      </c>
      <c r="B14" s="189">
        <f>+B13/B20</f>
        <v>0.15497818228516314</v>
      </c>
      <c r="C14" s="190"/>
      <c r="D14" s="190"/>
      <c r="E14" s="190"/>
      <c r="F14" s="191"/>
      <c r="G14" s="189">
        <f>+G13/G20</f>
        <v>0.15349030928051091</v>
      </c>
      <c r="H14" s="190"/>
      <c r="I14" s="190"/>
      <c r="J14" s="190"/>
      <c r="K14" s="191"/>
    </row>
    <row r="15" spans="1:11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1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33" ht="26.25" x14ac:dyDescent="0.4">
      <c r="A17" s="187" t="s">
        <v>20</v>
      </c>
      <c r="B17" s="179">
        <f>+VLOOKUP($A$3,data!$A$4:$AH$32,15,0)</f>
        <v>22948</v>
      </c>
      <c r="C17" s="180">
        <f>+VLOOKUP($A$3,data!$A$4:$AH$32,16,0)/10^6</f>
        <v>17.571079000000001</v>
      </c>
      <c r="D17" s="181">
        <f>+VLOOKUP($A$3,data!$A$4:$AH$32,17,0)</f>
        <v>2.1041564117295026</v>
      </c>
      <c r="E17" s="180">
        <f>+VLOOKUP($A$3,data!$A$4:$AH$32,18,0)/10^6</f>
        <v>485.61506193000002</v>
      </c>
      <c r="F17" s="182">
        <f>+E17/C17</f>
        <v>27.637179363316278</v>
      </c>
      <c r="G17" s="179">
        <f>+VLOOKUP($A$3,data!$A$4:$AH$32,31,0)</f>
        <v>22680</v>
      </c>
      <c r="H17" s="180">
        <f>+VLOOKUP($A$3,data!$A$4:$AH$32,32,0)/10^6</f>
        <v>17.560126</v>
      </c>
      <c r="I17" s="181">
        <f>+VLOOKUP($A$3,data!$A$4:$AH$32,33,0)</f>
        <v>2.1087899643453731</v>
      </c>
      <c r="J17" s="180">
        <f>+VLOOKUP($A$3,data!$A$4:$AH$32,34,0)/10^6</f>
        <v>486.17767944000002</v>
      </c>
      <c r="K17" s="182">
        <f>+J17/H17</f>
        <v>27.68645734318763</v>
      </c>
    </row>
    <row r="18" spans="1:33" ht="26.25" x14ac:dyDescent="0.4">
      <c r="A18" s="187" t="s">
        <v>30</v>
      </c>
      <c r="B18" s="189">
        <f>+B17/B20</f>
        <v>6.2701680660788503E-2</v>
      </c>
      <c r="C18" s="190"/>
      <c r="D18" s="190"/>
      <c r="E18" s="190"/>
      <c r="F18" s="191"/>
      <c r="G18" s="189">
        <f>+G17/G20</f>
        <v>5.9409519668270655E-2</v>
      </c>
      <c r="H18" s="190"/>
      <c r="I18" s="190"/>
      <c r="J18" s="190"/>
      <c r="K18" s="191"/>
    </row>
    <row r="19" spans="1:33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33" ht="32.25" customHeight="1" x14ac:dyDescent="0.35">
      <c r="A20" s="177" t="s">
        <v>21</v>
      </c>
      <c r="B20" s="179">
        <f>+VLOOKUP($A$3,data!$A$4:$AH$32,3,0)</f>
        <v>365987</v>
      </c>
      <c r="C20" s="180">
        <f>+VLOOKUP($A$3,data!$A$4:$AH$32,4,0)/10^6</f>
        <v>90.500743</v>
      </c>
      <c r="D20" s="181">
        <f>+VLOOKUP($A$3,data!$A$4:$AH$32,5,0)</f>
        <v>0.69454176007409196</v>
      </c>
      <c r="E20" s="180">
        <f>+VLOOKUP($A$3,data!$A$4:$AH$32,6,0)/10^6</f>
        <v>1697.2308550299997</v>
      </c>
      <c r="F20" s="182">
        <f>+E20/C20</f>
        <v>18.753778132296656</v>
      </c>
      <c r="G20" s="179">
        <f>+VLOOKUP($A$3,data!$A$4:$AH$32,19,0)</f>
        <v>381757</v>
      </c>
      <c r="H20" s="180">
        <f>+VLOOKUP($A$3,data!$A$4:$AH$32,20,0)/10^6</f>
        <v>92.253820000000005</v>
      </c>
      <c r="I20" s="181">
        <f>+VLOOKUP($A$3,data!$A$4:$AH$32,21,0)</f>
        <v>0.67603402175295801</v>
      </c>
      <c r="J20" s="180">
        <f>+VLOOKUP($A$3,data!$A$4:$AH$32,22,0)/10^6</f>
        <v>1727.5460658300003</v>
      </c>
      <c r="K20" s="182">
        <f>+J20/H20</f>
        <v>18.726011192056873</v>
      </c>
    </row>
    <row r="21" spans="1:33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33" x14ac:dyDescent="0.35">
      <c r="A22" s="158" t="s">
        <v>72</v>
      </c>
      <c r="B22" s="172"/>
      <c r="C22" s="172"/>
      <c r="D22" s="172"/>
      <c r="E22" s="172"/>
      <c r="F22" s="173"/>
    </row>
    <row r="27" spans="1:33" x14ac:dyDescent="0.35"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</row>
    <row r="28" spans="1:33" x14ac:dyDescent="0.35"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</row>
    <row r="29" spans="1:33" x14ac:dyDescent="0.35">
      <c r="L29" s="158"/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</row>
    <row r="30" spans="1:33" ht="33.75" x14ac:dyDescent="0.35">
      <c r="A30" s="801" t="str">
        <f>+B3</f>
        <v>กปภ.ข.9</v>
      </c>
      <c r="B30" s="801"/>
      <c r="C30" s="801"/>
      <c r="D30" s="801"/>
      <c r="E30" s="801"/>
      <c r="F30" s="801"/>
      <c r="G30" s="801"/>
      <c r="H30" s="801"/>
      <c r="I30" s="801"/>
      <c r="J30" s="801"/>
      <c r="K30" s="801"/>
      <c r="L30" s="158"/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</row>
    <row r="50" spans="12:33" x14ac:dyDescent="0.35"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</row>
  </sheetData>
  <mergeCells count="7">
    <mergeCell ref="A30:K30"/>
    <mergeCell ref="A1:K1"/>
    <mergeCell ref="B5:F5"/>
    <mergeCell ref="G5:K5"/>
    <mergeCell ref="A4:A7"/>
    <mergeCell ref="B4:K4"/>
    <mergeCell ref="B3:K3"/>
  </mergeCells>
  <pageMargins left="0.39370078740157483" right="0.19685039370078741" top="0.35" bottom="0.28000000000000003" header="0.31496062992125984" footer="0.31496062992125984"/>
  <pageSetup paperSize="9" scale="75" fitToHeight="0" pageOrder="overThenDown" orientation="landscape" r:id="rId1"/>
  <rowBreaks count="1" manualBreakCount="1">
    <brk id="28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view="pageLayout" zoomScale="91" zoomScaleNormal="100" zoomScalePageLayoutView="91" workbookViewId="0"/>
  </sheetViews>
  <sheetFormatPr defaultRowHeight="21" x14ac:dyDescent="0.35"/>
  <cols>
    <col min="1" max="1" width="9" style="158" bestFit="1" customWidth="1"/>
    <col min="2" max="2" width="6.25" style="158" bestFit="1" customWidth="1"/>
    <col min="3" max="4" width="5.125" style="158" bestFit="1" customWidth="1"/>
    <col min="5" max="5" width="5" style="158" bestFit="1" customWidth="1"/>
    <col min="6" max="7" width="5.125" style="158" bestFit="1" customWidth="1"/>
    <col min="8" max="8" width="5.625" style="158" bestFit="1" customWidth="1"/>
    <col min="9" max="11" width="6.125" style="158" bestFit="1" customWidth="1"/>
    <col min="12" max="14" width="6.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9.62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8" width="6.125" bestFit="1" customWidth="1"/>
    <col min="49" max="49" width="7.625" bestFit="1" customWidth="1"/>
    <col min="50" max="50" width="6.125" bestFit="1" customWidth="1"/>
    <col min="51" max="51" width="9" customWidth="1"/>
    <col min="52" max="67" width="7" bestFit="1" customWidth="1"/>
  </cols>
  <sheetData>
    <row r="1" spans="1:66" ht="27" thickBot="1" x14ac:dyDescent="0.25">
      <c r="A1" s="248">
        <v>1015</v>
      </c>
      <c r="B1" s="817" t="str">
        <f>+VLOOKUP($A$1,data!$A$4:$AH$32,2,0)</f>
        <v>เกาะคา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1015</v>
      </c>
      <c r="T1" s="817" t="str">
        <f>+VLOOKUP($A$1,data!$A$4:$AH$32,2,0)</f>
        <v>เกาะคา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1015</v>
      </c>
      <c r="AJ1" s="817" t="str">
        <f>+VLOOKUP($A$1,data!$A$4:$AH$32,2,0)</f>
        <v>เกาะคา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1015</v>
      </c>
      <c r="AZ1" s="817" t="str">
        <f>+VLOOKUP($A$1,data!$A$4:$AH$32,2,0)</f>
        <v>เกาะคา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16</v>
      </c>
      <c r="C18" s="406">
        <f>+VLOOKUP($A$1,data!$A$37:$AU$67,36)</f>
        <v>9</v>
      </c>
      <c r="D18" s="406">
        <f>+VLOOKUP($A$1,data!$A$37:$AU$67,37)</f>
        <v>11</v>
      </c>
      <c r="E18" s="406">
        <f>+VLOOKUP($A$1,data!$A$37:$AU$67,38)</f>
        <v>17</v>
      </c>
      <c r="F18" s="406">
        <f>+VLOOKUP($A$1,data!$A$37:$AU$67,39)</f>
        <v>21</v>
      </c>
      <c r="G18" s="406">
        <f>+VLOOKUP($A$1,data!$A$37:$AU$67,40)</f>
        <v>30</v>
      </c>
      <c r="H18" s="406">
        <f>+VLOOKUP($A$1,data!$A$37:$AU$67,41)</f>
        <v>19</v>
      </c>
      <c r="I18" s="406">
        <f>+VLOOKUP($A$1,data!$A$37:$AU$67,42)</f>
        <v>15</v>
      </c>
      <c r="J18" s="406">
        <f>+VLOOKUP($A$1,data!$A$37:$AU$67,43)</f>
        <v>8</v>
      </c>
      <c r="K18" s="406">
        <f>+VLOOKUP($A$1,data!$A$37:$AU$67,44)</f>
        <v>27</v>
      </c>
      <c r="L18" s="406">
        <f>+VLOOKUP($A$1,data!$A$37:$AU$67,45)</f>
        <v>35</v>
      </c>
      <c r="M18" s="406">
        <f>+VLOOKUP($A$1,data!$A$37:$AU$67,46)</f>
        <v>26</v>
      </c>
      <c r="N18" s="406">
        <f>SUM(B18:M18)</f>
        <v>234</v>
      </c>
      <c r="O18" s="406">
        <f>SUM(B18:M18)</f>
        <v>234</v>
      </c>
      <c r="P18" s="407">
        <f>+O20-O18</f>
        <v>-20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7.6564999999999994E-2</v>
      </c>
      <c r="AK18" s="418">
        <f>+VLOOKUP($A$1,data!$A$69:$AU$99,36)</f>
        <v>8.1775E-2</v>
      </c>
      <c r="AL18" s="418">
        <f>+VLOOKUP($A$1,data!$A$69:$AU$99,37)</f>
        <v>8.1583000000000003E-2</v>
      </c>
      <c r="AM18" s="418">
        <f>+VLOOKUP($A$1,data!$A$69:$AU$99,38)</f>
        <v>8.3429000000000003E-2</v>
      </c>
      <c r="AN18" s="418">
        <f>+VLOOKUP($A$1,data!$A$69:$AU$99,39)</f>
        <v>7.7948400000000001E-2</v>
      </c>
      <c r="AO18" s="418">
        <f>+VLOOKUP($A$1,data!$A$69:$AU$99,40)</f>
        <v>7.97239E-2</v>
      </c>
      <c r="AP18" s="418">
        <f>+VLOOKUP($A$1,data!$A$69:$AU$99,41)</f>
        <v>9.5738399999999987E-2</v>
      </c>
      <c r="AQ18" s="418">
        <f>+VLOOKUP($A$1,data!$A$69:$AU$99,42)</f>
        <v>0.114638</v>
      </c>
      <c r="AR18" s="418">
        <f>+VLOOKUP($A$1,data!$A$69:$AU$99,43)</f>
        <v>9.5234800000000008E-2</v>
      </c>
      <c r="AS18" s="418">
        <f>+VLOOKUP($A$1,data!$A$69:$AU$99,44)</f>
        <v>8.8342100000000007E-2</v>
      </c>
      <c r="AT18" s="418">
        <f>+VLOOKUP($A$1,data!$A$69:$AU$99,45)</f>
        <v>8.3597899999999989E-2</v>
      </c>
      <c r="AU18" s="418">
        <f>+VLOOKUP($A$1,data!$A$69:$AU$99,46)</f>
        <v>8.2579E-2</v>
      </c>
      <c r="AV18" s="418">
        <f>SUM(AJ18:AU18)</f>
        <v>1.0411545</v>
      </c>
      <c r="AW18" s="418">
        <f>SUM(AJ18:AU18)</f>
        <v>1.0411545</v>
      </c>
      <c r="AX18" s="419">
        <f>+AW20-AW18</f>
        <v>1.2859100000000012E-2</v>
      </c>
      <c r="AY18" s="308" t="s">
        <v>92</v>
      </c>
      <c r="AZ18" s="309">
        <f>+VLOOKUP($A$1,data!$A$101:$AU$131,35)</f>
        <v>3.2333899999999992E-2</v>
      </c>
      <c r="BA18" s="309">
        <f>+VLOOKUP($A$1,data!$A$101:$AU$131,36)</f>
        <v>2.4905720000000003E-2</v>
      </c>
      <c r="BB18" s="309">
        <f>+VLOOKUP($A$1,data!$A$101:$AU$131,37)</f>
        <v>2.3646E-2</v>
      </c>
      <c r="BC18" s="309">
        <f>+VLOOKUP($A$1,data!$A$101:$AU$131,38)</f>
        <v>1.8621240000000001E-2</v>
      </c>
      <c r="BD18" s="309">
        <f>+VLOOKUP($A$1,data!$A$101:$AU$131,39)</f>
        <v>1.6089420000000014E-2</v>
      </c>
      <c r="BE18" s="309">
        <f>+VLOOKUP($A$1,data!$A$101:$AU$131,40)</f>
        <v>1.2994100000000007E-2</v>
      </c>
      <c r="BF18" s="309">
        <f>+VLOOKUP($A$1,data!$A$101:$AU$131,41)</f>
        <v>1.700666000000001E-2</v>
      </c>
      <c r="BG18" s="309">
        <f>+VLOOKUP($A$1,data!$A$101:$AU$131,42)</f>
        <v>1.3924499999999999E-2</v>
      </c>
      <c r="BH18" s="309">
        <f>+VLOOKUP($A$1,data!$A$101:$AU$131,43)</f>
        <v>6.1474999999999976E-3</v>
      </c>
      <c r="BI18" s="309">
        <f>+VLOOKUP($A$1,data!$A$101:$AU$131,44)</f>
        <v>1.4450199999999996E-2</v>
      </c>
      <c r="BJ18" s="309">
        <f>+VLOOKUP($A$1,data!$A$101:$AU$131,45)</f>
        <v>1.477414E-2</v>
      </c>
      <c r="BK18" s="309">
        <f>+VLOOKUP($A$1,data!$A$101:$AU$131,46)</f>
        <v>1.6833509999999996E-2</v>
      </c>
      <c r="BL18" s="309">
        <f>SUM(AZ18:BK18)</f>
        <v>0.21172689</v>
      </c>
      <c r="BM18" s="309">
        <f>SUM(AZ18:BK18)</f>
        <v>0.21172689</v>
      </c>
      <c r="BN18" s="310">
        <f>+BM20-BM18</f>
        <v>-4.521091999999996E-2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13.283544303797468</v>
      </c>
      <c r="C19" s="409">
        <f>+VLOOKUP($A$1,data!$A$37:$AU$67,20)</f>
        <v>22.306329113924047</v>
      </c>
      <c r="D19" s="409">
        <f>+VLOOKUP($A$1,data!$A$37:$AU$67,21)</f>
        <v>13.534177215189871</v>
      </c>
      <c r="E19" s="409">
        <f>+VLOOKUP($A$1,data!$A$37:$AU$67,22)</f>
        <v>16.291139240506329</v>
      </c>
      <c r="F19" s="409">
        <f>+VLOOKUP($A$1,data!$A$37:$AU$67,23)</f>
        <v>23.559493670886074</v>
      </c>
      <c r="G19" s="409">
        <f>+VLOOKUP($A$1,data!$A$37:$AU$67,24)</f>
        <v>26.316455696202528</v>
      </c>
      <c r="H19" s="409">
        <f>+VLOOKUP($A$1,data!$A$37:$AU$67,25)</f>
        <v>16.792405063291135</v>
      </c>
      <c r="I19" s="409">
        <f>+VLOOKUP($A$1,data!$A$37:$AU$67,26)</f>
        <v>10.777215189873417</v>
      </c>
      <c r="J19" s="409">
        <f>+VLOOKUP($A$1,data!$A$37:$AU$67,27)</f>
        <v>9.7746835443037963</v>
      </c>
      <c r="K19" s="409">
        <f>+VLOOKUP($A$1,data!$A$37:$AU$67,28)</f>
        <v>14.286075949367088</v>
      </c>
      <c r="L19" s="409">
        <f>+VLOOKUP($A$1,data!$A$37:$AU$67,29)</f>
        <v>17.293670886075947</v>
      </c>
      <c r="M19" s="409">
        <f>+VLOOKUP($A$1,data!$A$37:$AU$67,30)</f>
        <v>13.784810126582276</v>
      </c>
      <c r="N19" s="409">
        <f>SUM(B19:M19)</f>
        <v>197.99999999999997</v>
      </c>
      <c r="O19" s="630">
        <f t="shared" ref="O19:O20" si="0">SUM(B19:M19)</f>
        <v>197.99999999999997</v>
      </c>
      <c r="P19" s="412">
        <f>+O20-O19</f>
        <v>16.000000000000028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7.707E-2</v>
      </c>
      <c r="AK19" s="423">
        <f>+VLOOKUP($A$1,data!$A$69:$AU$99,20)</f>
        <v>8.0411999999999997E-2</v>
      </c>
      <c r="AL19" s="423">
        <f>+VLOOKUP($A$1,data!$A$69:$AU$99,21)</f>
        <v>7.8339000000000006E-2</v>
      </c>
      <c r="AM19" s="423">
        <f>+VLOOKUP($A$1,data!$A$69:$AU$99,22)</f>
        <v>8.4489999999999996E-2</v>
      </c>
      <c r="AN19" s="423">
        <f>+VLOOKUP($A$1,data!$A$69:$AU$99,23)</f>
        <v>7.8875000000000001E-2</v>
      </c>
      <c r="AO19" s="423">
        <f>+VLOOKUP($A$1,data!$A$69:$AU$99,24)</f>
        <v>7.8770000000000007E-2</v>
      </c>
      <c r="AP19" s="423">
        <f>+VLOOKUP($A$1,data!$A$69:$AU$99,25)</f>
        <v>9.4892000000000004E-2</v>
      </c>
      <c r="AQ19" s="423">
        <f>+VLOOKUP($A$1,data!$A$69:$AU$99,26)</f>
        <v>0.10477</v>
      </c>
      <c r="AR19" s="423">
        <f>+VLOOKUP($A$1,data!$A$69:$AU$99,27)</f>
        <v>9.1314999999999993E-2</v>
      </c>
      <c r="AS19" s="423">
        <f>+VLOOKUP($A$1,data!$A$69:$AU$99,28)</f>
        <v>8.6608000000000004E-2</v>
      </c>
      <c r="AT19" s="423">
        <f>+VLOOKUP($A$1,data!$A$69:$AU$99,29)</f>
        <v>8.3104999999999998E-2</v>
      </c>
      <c r="AU19" s="423">
        <f>+VLOOKUP($A$1,data!$A$69:$AU$99,30)</f>
        <v>8.4763000000000005E-2</v>
      </c>
      <c r="AV19" s="423">
        <f>SUM(AJ19:AU19)</f>
        <v>1.023409</v>
      </c>
      <c r="AW19" s="424">
        <f t="shared" ref="AW19:AW20" si="1">SUM(AJ19:AU19)</f>
        <v>1.023409</v>
      </c>
      <c r="AX19" s="425">
        <f>+AW20-AW19</f>
        <v>3.0604599999999982E-2</v>
      </c>
      <c r="AY19" s="311" t="s">
        <v>94</v>
      </c>
      <c r="AZ19" s="312">
        <f>+VLOOKUP($A$1,data!$A$101:$AU$131,19)</f>
        <v>2.6918000000000001E-2</v>
      </c>
      <c r="BA19" s="312">
        <f>+VLOOKUP($A$1,data!$A$101:$AU$131,20)</f>
        <v>2.4258999999999999E-2</v>
      </c>
      <c r="BB19" s="312">
        <f>+VLOOKUP($A$1,data!$A$101:$AU$131,21)</f>
        <v>1.8516999999999999E-2</v>
      </c>
      <c r="BC19" s="312">
        <f>+VLOOKUP($A$1,data!$A$101:$AU$131,22)</f>
        <v>2.0152E-2</v>
      </c>
      <c r="BD19" s="312">
        <f>+VLOOKUP($A$1,data!$A$101:$AU$131,23)</f>
        <v>1.7739999999999999E-2</v>
      </c>
      <c r="BE19" s="312">
        <f>+VLOOKUP($A$1,data!$A$101:$AU$131,24)</f>
        <v>1.6778000000000001E-2</v>
      </c>
      <c r="BF19" s="312">
        <f>+VLOOKUP($A$1,data!$A$101:$AU$131,25)</f>
        <v>1.7715000000000002E-2</v>
      </c>
      <c r="BG19" s="312">
        <f>+VLOOKUP($A$1,data!$A$101:$AU$131,26)</f>
        <v>1.7294E-2</v>
      </c>
      <c r="BH19" s="312">
        <f>+VLOOKUP($A$1,data!$A$101:$AU$131,27)</f>
        <v>1.4307E-2</v>
      </c>
      <c r="BI19" s="312">
        <f>+VLOOKUP($A$1,data!$A$101:$AU$131,28)</f>
        <v>1.6930000000000001E-2</v>
      </c>
      <c r="BJ19" s="312">
        <f>+VLOOKUP($A$1,data!$A$101:$AU$131,29)</f>
        <v>1.6983999999999999E-2</v>
      </c>
      <c r="BK19" s="312">
        <f>+VLOOKUP($A$1,data!$A$101:$AU$131,30)</f>
        <v>2.4716999999999999E-2</v>
      </c>
      <c r="BL19" s="312">
        <f>SUM(AZ19:BK19)</f>
        <v>0.23231099999999999</v>
      </c>
      <c r="BM19" s="313">
        <f t="shared" ref="BM19:BM20" si="2">SUM(AZ19:BK19)</f>
        <v>0.23231099999999999</v>
      </c>
      <c r="BN19" s="314">
        <f>+BM20-BM19</f>
        <v>-6.5795029999999949E-2</v>
      </c>
    </row>
    <row r="20" spans="1:66" s="247" customFormat="1" ht="19.5" thickBot="1" x14ac:dyDescent="0.35">
      <c r="A20" s="413" t="s">
        <v>93</v>
      </c>
      <c r="B20" s="414">
        <f>+VLOOKUP($A$1,data!$A$37:$AU$67,3)</f>
        <v>14</v>
      </c>
      <c r="C20" s="414">
        <f>+VLOOKUP($A$1,data!$A$37:$AU$67,4)</f>
        <v>11</v>
      </c>
      <c r="D20" s="414">
        <f>+VLOOKUP($A$1,data!$A$37:$AU$67,5)</f>
        <v>30</v>
      </c>
      <c r="E20" s="414">
        <f>+VLOOKUP($A$1,data!$A$37:$AU$67,6)</f>
        <v>22</v>
      </c>
      <c r="F20" s="414">
        <f>+VLOOKUP($A$1,data!$A$37:$AU$67,7)</f>
        <v>13</v>
      </c>
      <c r="G20" s="414">
        <f>+VLOOKUP($A$1,data!$A$37:$AU$67,8)</f>
        <v>19</v>
      </c>
      <c r="H20" s="414">
        <f>+VLOOKUP($A$1,data!$A$37:$AU$67,9)</f>
        <v>8</v>
      </c>
      <c r="I20" s="414">
        <f>+VLOOKUP($A$1,data!$A$37:$AU$67,10)</f>
        <v>17</v>
      </c>
      <c r="J20" s="414">
        <f>+VLOOKUP($A$1,data!$A$37:$AU$67,11)</f>
        <v>8</v>
      </c>
      <c r="K20" s="414">
        <f>+VLOOKUP($A$1,data!$A$37:$AU$67,12)</f>
        <v>15</v>
      </c>
      <c r="L20" s="414">
        <f>+VLOOKUP($A$1,data!$A$37:$AU$67,13)</f>
        <v>34</v>
      </c>
      <c r="M20" s="414">
        <f>+VLOOKUP($A$1,data!$A$37:$AU$67,14)</f>
        <v>23</v>
      </c>
      <c r="N20" s="414">
        <f>SUM(B20:M20)</f>
        <v>214</v>
      </c>
      <c r="O20" s="631">
        <f t="shared" si="0"/>
        <v>214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8.2737600000000008E-2</v>
      </c>
      <c r="AK20" s="420">
        <f>+VLOOKUP($A$1,data!$A$69:$AU$99,4)</f>
        <v>8.6150199999999996E-2</v>
      </c>
      <c r="AL20" s="420">
        <f>+VLOOKUP($A$1,data!$A$69:$AU$99,5)</f>
        <v>8.3412699999999992E-2</v>
      </c>
      <c r="AM20" s="420">
        <f>+VLOOKUP($A$1,data!$A$69:$AU$99,6)</f>
        <v>9.0232000000000007E-2</v>
      </c>
      <c r="AN20" s="420">
        <f>+VLOOKUP($A$1,data!$A$69:$AU$99,7)</f>
        <v>8.2901500000000003E-2</v>
      </c>
      <c r="AO20" s="420">
        <f>+VLOOKUP($A$1,data!$A$69:$AU$99,8)</f>
        <v>8.51412E-2</v>
      </c>
      <c r="AP20" s="420">
        <f>+VLOOKUP($A$1,data!$A$69:$AU$99,9)</f>
        <v>9.6033499999999994E-2</v>
      </c>
      <c r="AQ20" s="420">
        <f>+VLOOKUP($A$1,data!$A$69:$AU$99,10)</f>
        <v>0.10157389999999999</v>
      </c>
      <c r="AR20" s="420">
        <f>+VLOOKUP($A$1,data!$A$69:$AU$99,11)</f>
        <v>8.5647399999999999E-2</v>
      </c>
      <c r="AS20" s="420">
        <f>+VLOOKUP($A$1,data!$A$69:$AU$99,12)</f>
        <v>8.8641300000000006E-2</v>
      </c>
      <c r="AT20" s="420">
        <f>+VLOOKUP($A$1,data!$A$69:$AU$99,13)</f>
        <v>8.3092600000000003E-2</v>
      </c>
      <c r="AU20" s="420">
        <f>+VLOOKUP($A$1,data!$A$69:$AU$99,14)</f>
        <v>8.8449699999999992E-2</v>
      </c>
      <c r="AV20" s="420">
        <f>SUM(AJ20:AU20)</f>
        <v>1.0540136</v>
      </c>
      <c r="AW20" s="421">
        <f t="shared" si="1"/>
        <v>1.0540136</v>
      </c>
      <c r="AX20" s="422"/>
      <c r="AY20" s="315" t="s">
        <v>93</v>
      </c>
      <c r="AZ20" s="316">
        <f>+VLOOKUP($A$1,data!$A$101:$AU$131,3)</f>
        <v>1.9752169999999999E-2</v>
      </c>
      <c r="BA20" s="316">
        <f>+VLOOKUP($A$1,data!$A$101:$AU$131,4)</f>
        <v>2.0257370000000011E-2</v>
      </c>
      <c r="BB20" s="316">
        <f>+VLOOKUP($A$1,data!$A$101:$AU$131,5)</f>
        <v>1.1898939999999997E-2</v>
      </c>
      <c r="BC20" s="316">
        <f>+VLOOKUP($A$1,data!$A$101:$AU$131,6)</f>
        <v>1.5832550000000004E-2</v>
      </c>
      <c r="BD20" s="316">
        <f>+VLOOKUP($A$1,data!$A$101:$AU$131,7)</f>
        <v>1.6210499999999999E-2</v>
      </c>
      <c r="BE20" s="316">
        <f>+VLOOKUP($A$1,data!$A$101:$AU$131,8)</f>
        <v>1.8735210000000009E-2</v>
      </c>
      <c r="BF20" s="316">
        <f>+VLOOKUP($A$1,data!$A$101:$AU$131,9)</f>
        <v>1.0106099999999996E-2</v>
      </c>
      <c r="BG20" s="316">
        <f>+VLOOKUP($A$1,data!$A$101:$AU$131,10)</f>
        <v>3.7158399999999993E-3</v>
      </c>
      <c r="BH20" s="316">
        <f>+VLOOKUP($A$1,data!$A$101:$AU$131,11)</f>
        <v>1.2945910000000012E-2</v>
      </c>
      <c r="BI20" s="316">
        <f>+VLOOKUP($A$1,data!$A$101:$AU$131,12)</f>
        <v>1.0119210000000002E-2</v>
      </c>
      <c r="BJ20" s="316">
        <f>+VLOOKUP($A$1,data!$A$101:$AU$131,13)</f>
        <v>1.4834970000000001E-2</v>
      </c>
      <c r="BK20" s="316">
        <f>+VLOOKUP($A$1,data!$A$101:$AU$131,14)</f>
        <v>1.2107200000000002E-2</v>
      </c>
      <c r="BL20" s="316">
        <f>SUM(AZ20:BK20)</f>
        <v>0.16651597000000004</v>
      </c>
      <c r="BM20" s="317">
        <f t="shared" si="2"/>
        <v>0.16651597000000004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49.124050632911384</v>
      </c>
      <c r="W21" s="671">
        <f>+VLOOKUP($A$1,data!$A$261:$AK$291,16)</f>
        <v>55</v>
      </c>
      <c r="X21" s="671">
        <f>+VLOOKUP($A$1,data!$A$261:$AK$291,36)</f>
        <v>115.29113924050631</v>
      </c>
      <c r="Y21" s="671">
        <f>+VLOOKUP($A$1,data!$A$261:$AK$291,17)</f>
        <v>109</v>
      </c>
      <c r="Z21" s="671">
        <f>+VLOOKUP($A$1,data!$A$261:$AK$291,37)</f>
        <v>152.63544303797465</v>
      </c>
      <c r="AA21" s="671">
        <f>+VLOOKUP($A$1,data!$A$261:$AK$291,18)</f>
        <v>142</v>
      </c>
      <c r="AB21" s="671">
        <f>+VLOOKUP($A$1,data!$A$261:$AK$291,34)</f>
        <v>197.99999999999997</v>
      </c>
      <c r="AC21" s="671">
        <f>+VLOOKUP($A$1,data!$A$261:$AK$291,15)</f>
        <v>214</v>
      </c>
      <c r="AD21" s="671">
        <f>+AA21-Z21</f>
        <v>-10.635443037974653</v>
      </c>
      <c r="AE21" s="684">
        <f>+AC21-AB21</f>
        <v>16.000000000000028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0</v>
      </c>
      <c r="W22" s="672">
        <f>+VLOOKUP($A$1,data!$A$229:$AK$259,16)</f>
        <v>0</v>
      </c>
      <c r="X22" s="672">
        <f>+VLOOKUP($A$1,data!$A$229:$AK$259,36)</f>
        <v>0</v>
      </c>
      <c r="Y22" s="672">
        <f>+VLOOKUP($A$1,data!$A$229:$AK$259,17)</f>
        <v>0</v>
      </c>
      <c r="Z22" s="672">
        <f>+VLOOKUP($A$1,data!$A$229:$AK$259,37)</f>
        <v>0</v>
      </c>
      <c r="AA22" s="672">
        <f>+VLOOKUP($A$1,data!$A$229:$AK$259,18)</f>
        <v>0</v>
      </c>
      <c r="AB22" s="672">
        <f>+VLOOKUP($A$1,data!$A$229:$AK$259,34)</f>
        <v>0</v>
      </c>
      <c r="AC22" s="765">
        <f>+VLOOKUP($A$1,data!$A$229:$AK$259,15)</f>
        <v>0</v>
      </c>
      <c r="AD22" s="671">
        <f>+AA22-Z22</f>
        <v>0</v>
      </c>
      <c r="AE22" s="685">
        <f>+AC22-AB22</f>
        <v>0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49.124050632911384</v>
      </c>
      <c r="W23" s="689">
        <f t="shared" ref="W23:AC23" si="3">SUM(W21:W22)</f>
        <v>55</v>
      </c>
      <c r="X23" s="689">
        <f t="shared" si="3"/>
        <v>115.29113924050631</v>
      </c>
      <c r="Y23" s="689">
        <f t="shared" si="3"/>
        <v>109</v>
      </c>
      <c r="Z23" s="689">
        <f t="shared" si="3"/>
        <v>152.63544303797465</v>
      </c>
      <c r="AA23" s="689">
        <f t="shared" si="3"/>
        <v>142</v>
      </c>
      <c r="AB23" s="689">
        <f t="shared" si="3"/>
        <v>197.99999999999997</v>
      </c>
      <c r="AC23" s="764">
        <f t="shared" si="3"/>
        <v>214</v>
      </c>
      <c r="AD23" s="689">
        <f>+AA23-Z23</f>
        <v>-10.635443037974653</v>
      </c>
      <c r="AE23" s="686">
        <f>+AC23-AB23</f>
        <v>16.000000000000028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16</v>
      </c>
      <c r="D39" s="406">
        <f t="shared" ref="D39:N41" si="4">+C39+C18</f>
        <v>25</v>
      </c>
      <c r="E39" s="406">
        <f t="shared" si="4"/>
        <v>36</v>
      </c>
      <c r="F39" s="406">
        <f t="shared" si="4"/>
        <v>53</v>
      </c>
      <c r="G39" s="406">
        <f t="shared" si="4"/>
        <v>74</v>
      </c>
      <c r="H39" s="406">
        <f t="shared" si="4"/>
        <v>104</v>
      </c>
      <c r="I39" s="406">
        <f t="shared" si="4"/>
        <v>123</v>
      </c>
      <c r="J39" s="406">
        <f t="shared" si="4"/>
        <v>138</v>
      </c>
      <c r="K39" s="406">
        <f t="shared" si="4"/>
        <v>146</v>
      </c>
      <c r="L39" s="406">
        <f t="shared" si="4"/>
        <v>173</v>
      </c>
      <c r="M39" s="406">
        <f t="shared" si="4"/>
        <v>208</v>
      </c>
      <c r="N39" s="406">
        <f t="shared" si="4"/>
        <v>234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7.6564999999999994E-2</v>
      </c>
      <c r="AL39" s="418">
        <f t="shared" ref="AL39:AV41" si="5">+AK39+AK18</f>
        <v>0.15833999999999998</v>
      </c>
      <c r="AM39" s="418">
        <f t="shared" si="5"/>
        <v>0.239923</v>
      </c>
      <c r="AN39" s="418">
        <f t="shared" si="5"/>
        <v>0.32335199999999997</v>
      </c>
      <c r="AO39" s="418">
        <f t="shared" si="5"/>
        <v>0.4013004</v>
      </c>
      <c r="AP39" s="418">
        <f t="shared" si="5"/>
        <v>0.48102430000000002</v>
      </c>
      <c r="AQ39" s="418">
        <f t="shared" si="5"/>
        <v>0.57676269999999996</v>
      </c>
      <c r="AR39" s="418">
        <f t="shared" si="5"/>
        <v>0.69140069999999998</v>
      </c>
      <c r="AS39" s="418">
        <f t="shared" si="5"/>
        <v>0.78663550000000004</v>
      </c>
      <c r="AT39" s="418">
        <f t="shared" si="5"/>
        <v>0.87497760000000002</v>
      </c>
      <c r="AU39" s="418">
        <f t="shared" si="5"/>
        <v>0.95857550000000002</v>
      </c>
      <c r="AV39" s="418">
        <f t="shared" si="5"/>
        <v>1.0411545</v>
      </c>
      <c r="AW39" s="158"/>
      <c r="AX39" s="158"/>
      <c r="AY39" s="308" t="s">
        <v>92</v>
      </c>
      <c r="AZ39" s="464">
        <f>+VLOOKUP($A$1,data!$A$133:$BK$163,26)</f>
        <v>29.691668143571693</v>
      </c>
      <c r="BA39" s="464">
        <f>+VLOOKUP($A$1,data!$A$133:$BK$163,27)</f>
        <v>23.346036659670087</v>
      </c>
      <c r="BB39" s="464">
        <f>+VLOOKUP($A$1,data!$A$133:$BK$163,28)</f>
        <v>22.467148707326576</v>
      </c>
      <c r="BC39" s="464">
        <f>+VLOOKUP($A$1,data!$A$133:$BK$163,29)</f>
        <v>25.211629882832042</v>
      </c>
      <c r="BD39" s="464">
        <f>+VLOOKUP($A$1,data!$A$133:$BK$163,30)</f>
        <v>18.213629891212598</v>
      </c>
      <c r="BE39" s="464">
        <f>+VLOOKUP($A$1,data!$A$133:$BK$163,31)</f>
        <v>17.10952040359933</v>
      </c>
      <c r="BF39" s="464">
        <f>+VLOOKUP($A$1,data!$A$133:$BK$163,32)</f>
        <v>14.013588568347272</v>
      </c>
      <c r="BG39" s="464">
        <f>+VLOOKUP($A$1,data!$A$133:$BK$163,33)</f>
        <v>21.086357257360262</v>
      </c>
      <c r="BH39" s="464">
        <f>+VLOOKUP($A$1,data!$A$133:$BK$163,34)</f>
        <v>15.067147468922013</v>
      </c>
      <c r="BI39" s="464">
        <f>+VLOOKUP($A$1,data!$A$133:$BK$163,35)</f>
        <v>10.808094136640948</v>
      </c>
      <c r="BJ39" s="464">
        <f>+VLOOKUP($A$1,data!$A$133:$BK$163,36)</f>
        <v>6.0615472598552493</v>
      </c>
      <c r="BK39" s="464">
        <f>+VLOOKUP($A$1,data!$A$133:$BK$163,37)</f>
        <v>17.384828177675786</v>
      </c>
      <c r="BL39" s="464">
        <f>+VLOOKUP($A$1,data!$A$133:$BK$163,38)</f>
        <v>14.057667743595578</v>
      </c>
      <c r="BM39" s="464">
        <f>+VLOOKUP($A$1,data!$A$133:$BK$163,39)</f>
        <v>15.018637409572882</v>
      </c>
      <c r="BN39" s="464">
        <f>+VLOOKUP($A$1,data!$A$133:$BK$163,40)</f>
        <v>16.932989620722779</v>
      </c>
      <c r="BO39" s="464">
        <f>+VLOOKUP($A$1,data!$A$133:$BK$163,41)</f>
        <v>16.890470213330328</v>
      </c>
    </row>
    <row r="40" spans="1:67" ht="21.75" thickBot="1" x14ac:dyDescent="0.4">
      <c r="A40"/>
      <c r="B40" s="408" t="s">
        <v>94</v>
      </c>
      <c r="C40" s="409">
        <f>+B19</f>
        <v>13.283544303797468</v>
      </c>
      <c r="D40" s="409">
        <f t="shared" si="4"/>
        <v>35.589873417721513</v>
      </c>
      <c r="E40" s="409">
        <f t="shared" si="4"/>
        <v>49.124050632911384</v>
      </c>
      <c r="F40" s="409">
        <f t="shared" si="4"/>
        <v>65.415189873417717</v>
      </c>
      <c r="G40" s="409">
        <f t="shared" si="4"/>
        <v>88.974683544303787</v>
      </c>
      <c r="H40" s="409">
        <f t="shared" si="4"/>
        <v>115.29113924050631</v>
      </c>
      <c r="I40" s="409">
        <f t="shared" si="4"/>
        <v>132.08354430379745</v>
      </c>
      <c r="J40" s="409">
        <f t="shared" si="4"/>
        <v>142.86075949367086</v>
      </c>
      <c r="K40" s="409">
        <f t="shared" si="4"/>
        <v>152.63544303797465</v>
      </c>
      <c r="L40" s="409">
        <f t="shared" si="4"/>
        <v>166.92151898734176</v>
      </c>
      <c r="M40" s="409">
        <f t="shared" si="4"/>
        <v>184.2151898734177</v>
      </c>
      <c r="N40" s="409">
        <f t="shared" si="4"/>
        <v>197.99999999999997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7.707E-2</v>
      </c>
      <c r="AL40" s="423">
        <f t="shared" si="5"/>
        <v>0.15748200000000001</v>
      </c>
      <c r="AM40" s="423">
        <f t="shared" si="5"/>
        <v>0.235821</v>
      </c>
      <c r="AN40" s="423">
        <f t="shared" si="5"/>
        <v>0.32031100000000001</v>
      </c>
      <c r="AO40" s="423">
        <f t="shared" si="5"/>
        <v>0.39918600000000004</v>
      </c>
      <c r="AP40" s="423">
        <f t="shared" si="5"/>
        <v>0.47795600000000005</v>
      </c>
      <c r="AQ40" s="423">
        <f t="shared" si="5"/>
        <v>0.57284800000000002</v>
      </c>
      <c r="AR40" s="423">
        <f t="shared" si="5"/>
        <v>0.67761800000000005</v>
      </c>
      <c r="AS40" s="423">
        <f t="shared" si="5"/>
        <v>0.76893300000000009</v>
      </c>
      <c r="AT40" s="423">
        <f t="shared" si="5"/>
        <v>0.85554100000000011</v>
      </c>
      <c r="AU40" s="423">
        <f t="shared" si="5"/>
        <v>0.93864600000000009</v>
      </c>
      <c r="AV40" s="423">
        <f t="shared" si="5"/>
        <v>1.023409</v>
      </c>
      <c r="AW40" s="158"/>
      <c r="AX40" s="158"/>
      <c r="AY40" s="311" t="s">
        <v>94</v>
      </c>
      <c r="AZ40" s="458">
        <f>+VLOOKUP($A$1,data!$A$133:$BK$163,22)</f>
        <v>18.500222979645145</v>
      </c>
      <c r="BA40" s="458">
        <f>+$AZ$40</f>
        <v>18.500222979645145</v>
      </c>
      <c r="BB40" s="458">
        <f t="shared" ref="BB40:BO40" si="6">+$AZ$40</f>
        <v>18.500222979645145</v>
      </c>
      <c r="BC40" s="458">
        <f t="shared" si="6"/>
        <v>18.500222979645145</v>
      </c>
      <c r="BD40" s="458">
        <f t="shared" si="6"/>
        <v>18.500222979645145</v>
      </c>
      <c r="BE40" s="458">
        <f t="shared" si="6"/>
        <v>18.500222979645145</v>
      </c>
      <c r="BF40" s="458">
        <f t="shared" si="6"/>
        <v>18.500222979645145</v>
      </c>
      <c r="BG40" s="458">
        <f t="shared" si="6"/>
        <v>18.500222979645145</v>
      </c>
      <c r="BH40" s="458">
        <f t="shared" si="6"/>
        <v>18.500222979645145</v>
      </c>
      <c r="BI40" s="458">
        <f t="shared" si="6"/>
        <v>18.500222979645145</v>
      </c>
      <c r="BJ40" s="458">
        <f t="shared" si="6"/>
        <v>18.500222979645145</v>
      </c>
      <c r="BK40" s="458">
        <f t="shared" si="6"/>
        <v>18.500222979645145</v>
      </c>
      <c r="BL40" s="458">
        <f t="shared" si="6"/>
        <v>18.500222979645145</v>
      </c>
      <c r="BM40" s="458">
        <f t="shared" si="6"/>
        <v>18.500222979645145</v>
      </c>
      <c r="BN40" s="458">
        <f t="shared" si="6"/>
        <v>18.500222979645145</v>
      </c>
      <c r="BO40" s="458">
        <f t="shared" si="6"/>
        <v>18.500222979645145</v>
      </c>
    </row>
    <row r="41" spans="1:67" ht="21.75" thickBot="1" x14ac:dyDescent="0.4">
      <c r="A41"/>
      <c r="B41" s="413" t="s">
        <v>93</v>
      </c>
      <c r="C41" s="414">
        <f>+B20</f>
        <v>14</v>
      </c>
      <c r="D41" s="414">
        <f t="shared" si="4"/>
        <v>25</v>
      </c>
      <c r="E41" s="414">
        <f t="shared" si="4"/>
        <v>55</v>
      </c>
      <c r="F41" s="414">
        <f t="shared" si="4"/>
        <v>77</v>
      </c>
      <c r="G41" s="414">
        <f t="shared" si="4"/>
        <v>90</v>
      </c>
      <c r="H41" s="414">
        <f t="shared" si="4"/>
        <v>109</v>
      </c>
      <c r="I41" s="414">
        <f t="shared" si="4"/>
        <v>117</v>
      </c>
      <c r="J41" s="414">
        <f t="shared" si="4"/>
        <v>134</v>
      </c>
      <c r="K41" s="414">
        <f t="shared" si="4"/>
        <v>142</v>
      </c>
      <c r="L41" s="414">
        <f t="shared" si="4"/>
        <v>157</v>
      </c>
      <c r="M41" s="414">
        <f t="shared" si="4"/>
        <v>191</v>
      </c>
      <c r="N41" s="414">
        <f t="shared" si="4"/>
        <v>214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8.2737600000000008E-2</v>
      </c>
      <c r="AL41" s="420">
        <f t="shared" si="5"/>
        <v>0.1688878</v>
      </c>
      <c r="AM41" s="420">
        <f t="shared" si="5"/>
        <v>0.25230049999999998</v>
      </c>
      <c r="AN41" s="420">
        <f t="shared" si="5"/>
        <v>0.34253250000000002</v>
      </c>
      <c r="AO41" s="420">
        <f t="shared" si="5"/>
        <v>0.42543400000000003</v>
      </c>
      <c r="AP41" s="420">
        <f t="shared" si="5"/>
        <v>0.51057520000000001</v>
      </c>
      <c r="AQ41" s="420">
        <f t="shared" si="5"/>
        <v>0.6066087</v>
      </c>
      <c r="AR41" s="420">
        <f t="shared" si="5"/>
        <v>0.7081826</v>
      </c>
      <c r="AS41" s="420">
        <f t="shared" si="5"/>
        <v>0.79383000000000004</v>
      </c>
      <c r="AT41" s="420">
        <f t="shared" si="5"/>
        <v>0.88247130000000007</v>
      </c>
      <c r="AU41" s="420">
        <f t="shared" si="5"/>
        <v>0.96556390000000003</v>
      </c>
      <c r="AV41" s="420">
        <f t="shared" si="5"/>
        <v>1.0540136</v>
      </c>
      <c r="AW41" s="158"/>
      <c r="AX41" s="158"/>
      <c r="AY41" s="315" t="s">
        <v>93</v>
      </c>
      <c r="AZ41" s="442">
        <f>+VLOOKUP($A$1,data!$A$133:$BK$163,3)</f>
        <v>19.272333228965191</v>
      </c>
      <c r="BA41" s="442">
        <f>+VLOOKUP($A$1,data!$A$133:$BK$163,4)</f>
        <v>19.037527123305239</v>
      </c>
      <c r="BB41" s="442">
        <f>+VLOOKUP($A$1,data!$A$133:$BK$163,5)</f>
        <v>12.479742210583677</v>
      </c>
      <c r="BC41" s="442">
        <f>+VLOOKUP($A$1,data!$A$133:$BK$163,6)</f>
        <v>17.061498593658801</v>
      </c>
      <c r="BD41" s="442">
        <f>+VLOOKUP($A$1,data!$A$133:$BK$163,7)</f>
        <v>14.92727777565643</v>
      </c>
      <c r="BE41" s="442">
        <f>+VLOOKUP($A$1,data!$A$133:$BK$163,8)</f>
        <v>16.355738961982404</v>
      </c>
      <c r="BF41" s="442">
        <f>+VLOOKUP($A$1,data!$A$133:$BK$163,9)</f>
        <v>18.032013756342543</v>
      </c>
      <c r="BG41" s="442">
        <f>+VLOOKUP($A$1,data!$A$133:$BK$163,10)</f>
        <v>16.742777061566137</v>
      </c>
      <c r="BH41" s="442">
        <f>+VLOOKUP($A$1,data!$A$133:$BK$163,11)</f>
        <v>9.5200280341609798</v>
      </c>
      <c r="BI41" s="442">
        <f>+VLOOKUP($A$1,data!$A$133:$BK$163,12)</f>
        <v>3.5290294162395903</v>
      </c>
      <c r="BJ41" s="442">
        <f>+VLOOKUP($A$1,data!$A$133:$BK$163,13)</f>
        <v>13.130297454118454</v>
      </c>
      <c r="BK41" s="442">
        <f>+VLOOKUP($A$1,data!$A$133:$BK$163,14)</f>
        <v>14.019870515139354</v>
      </c>
      <c r="BL41" s="442">
        <f>+VLOOKUP($A$1,data!$A$133:$BK$163,15)</f>
        <v>10.245909897197759</v>
      </c>
      <c r="BM41" s="442">
        <f>+VLOOKUP($A$1,data!$A$133:$BK$163,16)</f>
        <v>15.14868873971743</v>
      </c>
      <c r="BN41" s="442">
        <f>+VLOOKUP($A$1,data!$A$133:$BK$163,17)</f>
        <v>12.039777247414483</v>
      </c>
      <c r="BO41" s="442">
        <f>+VLOOKUP($A$1,data!$A$133:$BK$163,18)</f>
        <v>13.641944380662977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16.890470213330328</v>
      </c>
      <c r="BA43" s="826">
        <f>+VLOOKUP($A$1,data!$A$133:$BK$163,26)</f>
        <v>29.691668143571693</v>
      </c>
      <c r="BB43" s="473">
        <f>+AZ45-AZ43</f>
        <v>-3.248525832667351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18.500222979645145</v>
      </c>
      <c r="BA44" s="830"/>
      <c r="BB44" s="472">
        <f>+AZ45-AZ44</f>
        <v>-4.8582785989821673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13.641944380662977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1015</v>
      </c>
      <c r="B47" s="817" t="str">
        <f>+VLOOKUP($A$1,data!$A$4:$AH$32,2,0)</f>
        <v>เกาะคา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1015</v>
      </c>
      <c r="T47" s="817" t="str">
        <f>+VLOOKUP($A$1,data!$A$4:$AH$32,2,0)</f>
        <v>เกาะคา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1015</v>
      </c>
      <c r="AJ47" s="817" t="str">
        <f>+VLOOKUP($A$1,data!$A$4:$AH$32,2,0)</f>
        <v>เกาะคา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1.3769927</v>
      </c>
      <c r="C64" s="632">
        <f>+VLOOKUP($A$1,data!$A$165:$AU$195,36)</f>
        <v>1.4672634099999999</v>
      </c>
      <c r="D64" s="632">
        <f>+VLOOKUP($A$1,data!$A$165:$AU$195,37)</f>
        <v>1.46277737</v>
      </c>
      <c r="E64" s="632">
        <f>+VLOOKUP($A$1,data!$A$165:$AU$195,38)</f>
        <v>1.5011476400000001</v>
      </c>
      <c r="F64" s="632">
        <f>+VLOOKUP($A$1,data!$A$165:$AU$195,39)</f>
        <v>1.4425546800000002</v>
      </c>
      <c r="G64" s="632">
        <f>+VLOOKUP($A$1,data!$A$165:$AU$195,40)</f>
        <v>1.4455054199999999</v>
      </c>
      <c r="H64" s="632">
        <f>+VLOOKUP($A$1,data!$A$165:$AU$195,41)</f>
        <v>1.7142277599999998</v>
      </c>
      <c r="I64" s="632">
        <f>+VLOOKUP($A$1,data!$A$165:$AU$195,42)</f>
        <v>2.02175197</v>
      </c>
      <c r="J64" s="632">
        <f>+VLOOKUP($A$1,data!$A$165:$AU$195,43)</f>
        <v>1.7688954699999997</v>
      </c>
      <c r="K64" s="632">
        <f>+VLOOKUP($A$1,data!$A$165:$AU$195,44)</f>
        <v>1.7674973499999995</v>
      </c>
      <c r="L64" s="632">
        <f>+VLOOKUP($A$1,data!$A$165:$AU$195,45)</f>
        <v>1.5659018599999999</v>
      </c>
      <c r="M64" s="632">
        <f>+VLOOKUP($A$1,data!$A$165:$AU$195,46)</f>
        <v>1.4921622400000003</v>
      </c>
      <c r="N64" s="632">
        <f>SUM(B64:M64)</f>
        <v>19.026677869999997</v>
      </c>
      <c r="O64" s="632">
        <f>SUM(B64:M64)</f>
        <v>19.026677869999997</v>
      </c>
      <c r="P64" s="635">
        <f>+O66-O64</f>
        <v>0.33524740000000008</v>
      </c>
      <c r="S64" s="605" t="s">
        <v>92</v>
      </c>
      <c r="T64" s="640">
        <f>+VLOOKUP($A$1,data!$A$197:$AU$227,35)</f>
        <v>1.2870941999999996</v>
      </c>
      <c r="U64" s="640">
        <f>+VLOOKUP($A$1,data!$A$197:$AU$227,36)</f>
        <v>1.3413265599999999</v>
      </c>
      <c r="V64" s="640">
        <f>+VLOOKUP($A$1,data!$A$197:$AU$227,37)</f>
        <v>1.21232926</v>
      </c>
      <c r="W64" s="640">
        <f>+VLOOKUP($A$1,data!$A$197:$AU$227,38)</f>
        <v>0.90372307000000007</v>
      </c>
      <c r="X64" s="640">
        <f>+VLOOKUP($A$1,data!$A$197:$AU$227,39)</f>
        <v>0.92689043999999998</v>
      </c>
      <c r="Y64" s="640">
        <f>+VLOOKUP($A$1,data!$A$197:$AU$227,40)</f>
        <v>1.49648151</v>
      </c>
      <c r="Z64" s="640">
        <f>+VLOOKUP($A$1,data!$A$197:$AU$227,41)</f>
        <v>0.64855181000000006</v>
      </c>
      <c r="AA64" s="640">
        <f>+VLOOKUP($A$1,data!$A$197:$AU$227,42)</f>
        <v>1.1374969799999999</v>
      </c>
      <c r="AB64" s="640">
        <f>+VLOOKUP($A$1,data!$A$197:$AU$227,43)</f>
        <v>1.0095146500000001</v>
      </c>
      <c r="AC64" s="640">
        <f>+VLOOKUP($A$1,data!$A$197:$AU$227,44)</f>
        <v>1.0095811300000002</v>
      </c>
      <c r="AD64" s="640">
        <f>+VLOOKUP($A$1,data!$A$197:$AU$227,45)</f>
        <v>1.0366998200000002</v>
      </c>
      <c r="AE64" s="640">
        <f>+VLOOKUP($A$1,data!$A$197:$AU$227,46)</f>
        <v>1.15293793</v>
      </c>
      <c r="AF64" s="640">
        <f>SUM(T64:AE64)</f>
        <v>13.16262736</v>
      </c>
      <c r="AG64" s="640">
        <f>SUM(T64:AE64)</f>
        <v>13.16262736</v>
      </c>
      <c r="AH64" s="641">
        <f>+AG66-AG64</f>
        <v>-3.4766600000001091E-2</v>
      </c>
      <c r="AI64" s="621" t="s">
        <v>92</v>
      </c>
      <c r="AJ64" s="648">
        <f>+B64-T64</f>
        <v>8.9898500000000325E-2</v>
      </c>
      <c r="AK64" s="648">
        <f t="shared" ref="AK64:AU66" si="7">+C64-U64</f>
        <v>0.12593684999999999</v>
      </c>
      <c r="AL64" s="648">
        <f t="shared" si="7"/>
        <v>0.25044811</v>
      </c>
      <c r="AM64" s="648">
        <f t="shared" si="7"/>
        <v>0.59742457000000004</v>
      </c>
      <c r="AN64" s="648">
        <f t="shared" si="7"/>
        <v>0.51566424000000022</v>
      </c>
      <c r="AO64" s="648">
        <f t="shared" si="7"/>
        <v>-5.0976090000000029E-2</v>
      </c>
      <c r="AP64" s="648">
        <f t="shared" si="7"/>
        <v>1.0656759499999997</v>
      </c>
      <c r="AQ64" s="648">
        <f t="shared" si="7"/>
        <v>0.88425499000000007</v>
      </c>
      <c r="AR64" s="648">
        <f t="shared" si="7"/>
        <v>0.75938081999999962</v>
      </c>
      <c r="AS64" s="648">
        <f t="shared" si="7"/>
        <v>0.75791621999999936</v>
      </c>
      <c r="AT64" s="648">
        <f t="shared" si="7"/>
        <v>0.52920203999999971</v>
      </c>
      <c r="AU64" s="648">
        <f t="shared" si="7"/>
        <v>0.33922431000000031</v>
      </c>
      <c r="AV64" s="648">
        <f>SUM(AJ64:AU64)</f>
        <v>5.8640505099999993</v>
      </c>
      <c r="AW64" s="648">
        <f>SUM(AJ64:AU64)</f>
        <v>5.8640505099999993</v>
      </c>
      <c r="AX64" s="651">
        <f>+AW66-AW64</f>
        <v>0.37001400000000029</v>
      </c>
    </row>
    <row r="65" spans="1:50" ht="21.75" thickBot="1" x14ac:dyDescent="0.4">
      <c r="A65" s="538" t="s">
        <v>94</v>
      </c>
      <c r="B65" s="633">
        <f>+VLOOKUP($A$1,data!$A$165:$AU$195,19)</f>
        <v>1.4076900000000001</v>
      </c>
      <c r="C65" s="633">
        <f>+VLOOKUP($A$1,data!$A$165:$AU$195,20)</f>
        <v>1.459759</v>
      </c>
      <c r="D65" s="633">
        <f>+VLOOKUP($A$1,data!$A$165:$AU$195,21)</f>
        <v>1.465028</v>
      </c>
      <c r="E65" s="633">
        <f>+VLOOKUP($A$1,data!$A$165:$AU$195,22)</f>
        <v>1.535005</v>
      </c>
      <c r="F65" s="633">
        <f>+VLOOKUP($A$1,data!$A$165:$AU$195,23)</f>
        <v>1.472451</v>
      </c>
      <c r="G65" s="633">
        <f>+VLOOKUP($A$1,data!$A$165:$AU$195,24)</f>
        <v>1.4382999999999999</v>
      </c>
      <c r="H65" s="633">
        <f>+VLOOKUP($A$1,data!$A$165:$AU$195,25)</f>
        <v>1.734029</v>
      </c>
      <c r="I65" s="633">
        <f>+VLOOKUP($A$1,data!$A$165:$AU$195,26)</f>
        <v>1.955554</v>
      </c>
      <c r="J65" s="633">
        <f>+VLOOKUP($A$1,data!$A$165:$AU$195,27)</f>
        <v>1.5739920000000001</v>
      </c>
      <c r="K65" s="633">
        <f>+VLOOKUP($A$1,data!$A$165:$AU$195,28)</f>
        <v>1.770019</v>
      </c>
      <c r="L65" s="633">
        <f>+VLOOKUP($A$1,data!$A$165:$AU$195,29)</f>
        <v>1.5657369999999999</v>
      </c>
      <c r="M65" s="633">
        <f>+VLOOKUP($A$1,data!$A$165:$AU$195,30)</f>
        <v>1.5313559999999999</v>
      </c>
      <c r="N65" s="633">
        <f>SUM(B65:M65)</f>
        <v>18.908919999999998</v>
      </c>
      <c r="O65" s="636">
        <f t="shared" ref="O65:O66" si="8">SUM(B65:M65)</f>
        <v>18.908919999999998</v>
      </c>
      <c r="P65" s="637">
        <f>+O66-O65</f>
        <v>0.45300526999999846</v>
      </c>
      <c r="S65" s="601" t="s">
        <v>94</v>
      </c>
      <c r="T65" s="642">
        <f>+VLOOKUP($A$1,data!$A$197:$AU$227,19)</f>
        <v>0.98304899999999995</v>
      </c>
      <c r="U65" s="642">
        <f>+VLOOKUP($A$1,data!$A$197:$AU$227,20)</f>
        <v>1.0411159999999999</v>
      </c>
      <c r="V65" s="642">
        <f>+VLOOKUP($A$1,data!$A$197:$AU$227,21)</f>
        <v>1.0877810000000001</v>
      </c>
      <c r="W65" s="642">
        <f>+VLOOKUP($A$1,data!$A$197:$AU$227,22)</f>
        <v>0.99338400000000004</v>
      </c>
      <c r="X65" s="642">
        <f>+VLOOKUP($A$1,data!$A$197:$AU$227,23)</f>
        <v>1.0112969999999999</v>
      </c>
      <c r="Y65" s="642">
        <f>+VLOOKUP($A$1,data!$A$197:$AU$227,24)</f>
        <v>1.0276670000000001</v>
      </c>
      <c r="Z65" s="642">
        <f>+VLOOKUP($A$1,data!$A$197:$AU$227,25)</f>
        <v>0.92871599999999999</v>
      </c>
      <c r="AA65" s="642">
        <f>+VLOOKUP($A$1,data!$A$197:$AU$227,26)</f>
        <v>0.99738400000000005</v>
      </c>
      <c r="AB65" s="642">
        <f>+VLOOKUP($A$1,data!$A$197:$AU$227,27)</f>
        <v>1.086374</v>
      </c>
      <c r="AC65" s="642">
        <f>+VLOOKUP($A$1,data!$A$197:$AU$227,28)</f>
        <v>1.000786</v>
      </c>
      <c r="AD65" s="642">
        <f>+VLOOKUP($A$1,data!$A$197:$AU$227,29)</f>
        <v>1.045752</v>
      </c>
      <c r="AE65" s="642">
        <f>+VLOOKUP($A$1,data!$A$197:$AU$227,30)</f>
        <v>1.1700079999999999</v>
      </c>
      <c r="AF65" s="642">
        <f>SUM(T65:AE65)</f>
        <v>12.373313999999999</v>
      </c>
      <c r="AG65" s="643">
        <f t="shared" ref="AG65:AG66" si="9">SUM(T65:AE65)</f>
        <v>12.373313999999999</v>
      </c>
      <c r="AH65" s="644">
        <f>+AG66-AG65</f>
        <v>0.75454676000000021</v>
      </c>
      <c r="AI65" s="617" t="s">
        <v>94</v>
      </c>
      <c r="AJ65" s="649">
        <f>+B65-T65</f>
        <v>0.42464100000000016</v>
      </c>
      <c r="AK65" s="649">
        <f t="shared" si="7"/>
        <v>0.4186430000000001</v>
      </c>
      <c r="AL65" s="649">
        <f t="shared" si="7"/>
        <v>0.37724699999999989</v>
      </c>
      <c r="AM65" s="649">
        <f t="shared" si="7"/>
        <v>0.54162099999999991</v>
      </c>
      <c r="AN65" s="649">
        <f t="shared" si="7"/>
        <v>0.46115400000000006</v>
      </c>
      <c r="AO65" s="649">
        <f t="shared" si="7"/>
        <v>0.4106329999999998</v>
      </c>
      <c r="AP65" s="649">
        <f t="shared" si="7"/>
        <v>0.80531300000000006</v>
      </c>
      <c r="AQ65" s="649">
        <f t="shared" si="7"/>
        <v>0.95816999999999997</v>
      </c>
      <c r="AR65" s="649">
        <f t="shared" si="7"/>
        <v>0.48761800000000011</v>
      </c>
      <c r="AS65" s="649">
        <f t="shared" si="7"/>
        <v>0.76923300000000006</v>
      </c>
      <c r="AT65" s="649">
        <f t="shared" si="7"/>
        <v>0.51998499999999992</v>
      </c>
      <c r="AU65" s="649">
        <f t="shared" si="7"/>
        <v>0.361348</v>
      </c>
      <c r="AV65" s="649">
        <f>SUM(AJ65:AU65)</f>
        <v>6.5356059999999996</v>
      </c>
      <c r="AW65" s="652">
        <f t="shared" ref="AW65:AW66" si="10">SUM(AJ65:AU65)</f>
        <v>6.5356059999999996</v>
      </c>
      <c r="AX65" s="653">
        <f>+AW66-AW65</f>
        <v>-0.30154148999999997</v>
      </c>
    </row>
    <row r="66" spans="1:50" ht="21.75" thickBot="1" x14ac:dyDescent="0.4">
      <c r="A66" s="546" t="s">
        <v>93</v>
      </c>
      <c r="B66" s="634">
        <f>+VLOOKUP($A$1,data!$A$165:$AU$195,3)</f>
        <v>1.50610596</v>
      </c>
      <c r="C66" s="634">
        <f>+VLOOKUP($A$1,data!$A$165:$AU$195,4)</f>
        <v>1.5462564999999997</v>
      </c>
      <c r="D66" s="634">
        <f>+VLOOKUP($A$1,data!$A$165:$AU$195,5)</f>
        <v>1.5058909899999999</v>
      </c>
      <c r="E66" s="634">
        <f>+VLOOKUP($A$1,data!$A$165:$AU$195,6)</f>
        <v>1.6323316400000001</v>
      </c>
      <c r="F66" s="634">
        <f>+VLOOKUP($A$1,data!$A$165:$AU$195,7)</f>
        <v>1.4961712999999999</v>
      </c>
      <c r="G66" s="634">
        <f>+VLOOKUP($A$1,data!$A$165:$AU$195,8)</f>
        <v>1.5415125400000003</v>
      </c>
      <c r="H66" s="634">
        <f>+VLOOKUP($A$1,data!$A$165:$AU$195,9)</f>
        <v>1.7174972199999998</v>
      </c>
      <c r="I66" s="634">
        <f>+VLOOKUP($A$1,data!$A$165:$AU$195,10)</f>
        <v>1.8140144200000001</v>
      </c>
      <c r="J66" s="634">
        <f>+VLOOKUP($A$1,data!$A$165:$AU$195,11)</f>
        <v>1.5608875999999998</v>
      </c>
      <c r="K66" s="634">
        <f>+VLOOKUP($A$1,data!$A$165:$AU$195,12)</f>
        <v>1.6012599699999999</v>
      </c>
      <c r="L66" s="634">
        <f>+VLOOKUP($A$1,data!$A$165:$AU$195,13)</f>
        <v>1.5531453100000001</v>
      </c>
      <c r="M66" s="634">
        <f>+VLOOKUP($A$1,data!$A$165:$AU$195,14)</f>
        <v>1.8868518200000004</v>
      </c>
      <c r="N66" s="634">
        <f>SUM(B66:M66)</f>
        <v>19.361925269999997</v>
      </c>
      <c r="O66" s="638">
        <f t="shared" si="8"/>
        <v>19.361925269999997</v>
      </c>
      <c r="P66" s="639"/>
      <c r="S66" s="608" t="s">
        <v>93</v>
      </c>
      <c r="T66" s="645">
        <f>+VLOOKUP($A$1,data!$A$197:$AU$227,3)</f>
        <v>1.01826638</v>
      </c>
      <c r="U66" s="645">
        <f>+VLOOKUP($A$1,data!$A$197:$AU$227,4)</f>
        <v>1.1101121099999998</v>
      </c>
      <c r="V66" s="645">
        <f>+VLOOKUP($A$1,data!$A$197:$AU$227,5)</f>
        <v>1.1882812200000001</v>
      </c>
      <c r="W66" s="645">
        <f>+VLOOKUP($A$1,data!$A$197:$AU$227,6)</f>
        <v>1.0906524500000001</v>
      </c>
      <c r="X66" s="645">
        <f>+VLOOKUP($A$1,data!$A$197:$AU$227,7)</f>
        <v>0.95101996000000022</v>
      </c>
      <c r="Y66" s="645">
        <f>+VLOOKUP($A$1,data!$A$197:$AU$227,8)</f>
        <v>1.2251061500000004</v>
      </c>
      <c r="Z66" s="645">
        <f>+VLOOKUP($A$1,data!$A$197:$AU$227,9)</f>
        <v>1.0143528900000001</v>
      </c>
      <c r="AA66" s="645">
        <f>+VLOOKUP($A$1,data!$A$197:$AU$227,10)</f>
        <v>1.1503413699999998</v>
      </c>
      <c r="AB66" s="645">
        <f>+VLOOKUP($A$1,data!$A$197:$AU$227,11)</f>
        <v>1.0870856700000002</v>
      </c>
      <c r="AC66" s="645">
        <f>+VLOOKUP($A$1,data!$A$197:$AU$227,12)</f>
        <v>1.02546932</v>
      </c>
      <c r="AD66" s="645">
        <f>+VLOOKUP($A$1,data!$A$197:$AU$227,13)</f>
        <v>1.0855143299999999</v>
      </c>
      <c r="AE66" s="645">
        <f>+VLOOKUP($A$1,data!$A$197:$AU$227,14)</f>
        <v>1.1816589099999999</v>
      </c>
      <c r="AF66" s="645">
        <f>SUM(T66:AE66)</f>
        <v>13.127860759999999</v>
      </c>
      <c r="AG66" s="646">
        <f t="shared" si="9"/>
        <v>13.127860759999999</v>
      </c>
      <c r="AH66" s="647"/>
      <c r="AI66" s="624" t="s">
        <v>93</v>
      </c>
      <c r="AJ66" s="650">
        <f>+B66-T66</f>
        <v>0.48783957999999994</v>
      </c>
      <c r="AK66" s="650">
        <f t="shared" si="7"/>
        <v>0.43614438999999994</v>
      </c>
      <c r="AL66" s="650">
        <f t="shared" si="7"/>
        <v>0.31760976999999979</v>
      </c>
      <c r="AM66" s="650">
        <f t="shared" si="7"/>
        <v>0.54167918999999998</v>
      </c>
      <c r="AN66" s="650">
        <f t="shared" si="7"/>
        <v>0.54515133999999965</v>
      </c>
      <c r="AO66" s="650">
        <f t="shared" si="7"/>
        <v>0.31640638999999982</v>
      </c>
      <c r="AP66" s="650">
        <f t="shared" si="7"/>
        <v>0.70314432999999976</v>
      </c>
      <c r="AQ66" s="650">
        <f t="shared" si="7"/>
        <v>0.66367305000000032</v>
      </c>
      <c r="AR66" s="650">
        <f t="shared" si="7"/>
        <v>0.47380192999999959</v>
      </c>
      <c r="AS66" s="650">
        <f>+K66-AC66</f>
        <v>0.57579064999999985</v>
      </c>
      <c r="AT66" s="650">
        <f>+L66-AD66</f>
        <v>0.46763098000000025</v>
      </c>
      <c r="AU66" s="650">
        <f>+M66-AE66</f>
        <v>0.70519291000000051</v>
      </c>
      <c r="AV66" s="650">
        <f>SUM(AJ66:AU66)</f>
        <v>6.2340645099999996</v>
      </c>
      <c r="AW66" s="654">
        <f t="shared" si="10"/>
        <v>6.2340645099999996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1.3769927</v>
      </c>
      <c r="D85" s="628">
        <f t="shared" ref="D85:N87" si="11">+C85+C64</f>
        <v>2.8442561099999999</v>
      </c>
      <c r="E85" s="628">
        <f t="shared" si="11"/>
        <v>4.3070334799999994</v>
      </c>
      <c r="F85" s="628">
        <f t="shared" si="11"/>
        <v>5.8081811199999995</v>
      </c>
      <c r="G85" s="628">
        <f t="shared" si="11"/>
        <v>7.2507357999999993</v>
      </c>
      <c r="H85" s="628">
        <f t="shared" si="11"/>
        <v>8.6962412199999992</v>
      </c>
      <c r="I85" s="628">
        <f t="shared" si="11"/>
        <v>10.410468979999999</v>
      </c>
      <c r="J85" s="628">
        <f t="shared" si="11"/>
        <v>12.43222095</v>
      </c>
      <c r="K85" s="628">
        <f t="shared" si="11"/>
        <v>14.20111642</v>
      </c>
      <c r="L85" s="628">
        <f t="shared" si="11"/>
        <v>15.968613769999999</v>
      </c>
      <c r="M85" s="628">
        <f t="shared" si="11"/>
        <v>17.534515629999998</v>
      </c>
      <c r="N85" s="628">
        <f t="shared" si="11"/>
        <v>19.026677869999997</v>
      </c>
      <c r="S85"/>
      <c r="T85" s="605" t="s">
        <v>92</v>
      </c>
      <c r="U85" s="640">
        <f>+T64</f>
        <v>1.2870941999999996</v>
      </c>
      <c r="V85" s="640">
        <f t="shared" ref="V85:AF87" si="12">+U85+U64</f>
        <v>2.6284207599999996</v>
      </c>
      <c r="W85" s="640">
        <f t="shared" si="12"/>
        <v>3.8407500199999998</v>
      </c>
      <c r="X85" s="640">
        <f t="shared" si="12"/>
        <v>4.7444730899999996</v>
      </c>
      <c r="Y85" s="640">
        <f t="shared" si="12"/>
        <v>5.6713635299999998</v>
      </c>
      <c r="Z85" s="640">
        <f t="shared" si="12"/>
        <v>7.1678450399999996</v>
      </c>
      <c r="AA85" s="640">
        <f t="shared" si="12"/>
        <v>7.8163968499999994</v>
      </c>
      <c r="AB85" s="640">
        <f t="shared" si="12"/>
        <v>8.9538938299999984</v>
      </c>
      <c r="AC85" s="640">
        <f t="shared" si="12"/>
        <v>9.9634084799999982</v>
      </c>
      <c r="AD85" s="640">
        <f t="shared" si="12"/>
        <v>10.972989609999999</v>
      </c>
      <c r="AE85" s="640">
        <f t="shared" si="12"/>
        <v>12.00968943</v>
      </c>
      <c r="AF85" s="640">
        <f t="shared" si="12"/>
        <v>13.16262736</v>
      </c>
      <c r="AG85" s="158"/>
      <c r="AH85" s="158"/>
      <c r="AI85"/>
      <c r="AJ85" s="621" t="s">
        <v>92</v>
      </c>
      <c r="AK85" s="648">
        <f>+AJ64</f>
        <v>8.9898500000000325E-2</v>
      </c>
      <c r="AL85" s="648">
        <f t="shared" ref="AL85:AV87" si="13">+AK85+AK64</f>
        <v>0.21583535000000031</v>
      </c>
      <c r="AM85" s="648">
        <f t="shared" si="13"/>
        <v>0.46628346000000032</v>
      </c>
      <c r="AN85" s="648">
        <f t="shared" si="13"/>
        <v>1.0637080300000004</v>
      </c>
      <c r="AO85" s="648">
        <f t="shared" si="13"/>
        <v>1.5793722700000006</v>
      </c>
      <c r="AP85" s="648">
        <f t="shared" si="13"/>
        <v>1.5283961800000005</v>
      </c>
      <c r="AQ85" s="648">
        <f t="shared" si="13"/>
        <v>2.5940721300000003</v>
      </c>
      <c r="AR85" s="648">
        <f t="shared" si="13"/>
        <v>3.4783271200000003</v>
      </c>
      <c r="AS85" s="648">
        <f t="shared" si="13"/>
        <v>4.23770794</v>
      </c>
      <c r="AT85" s="648">
        <f t="shared" si="13"/>
        <v>4.9956241599999993</v>
      </c>
      <c r="AU85" s="648">
        <f t="shared" si="13"/>
        <v>5.5248261999999988</v>
      </c>
      <c r="AV85" s="648">
        <f t="shared" si="13"/>
        <v>5.8640505099999993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1.4076900000000001</v>
      </c>
      <c r="D86" s="633">
        <f t="shared" si="11"/>
        <v>2.8674490000000001</v>
      </c>
      <c r="E86" s="633">
        <f t="shared" si="11"/>
        <v>4.3324769999999999</v>
      </c>
      <c r="F86" s="633">
        <f t="shared" si="11"/>
        <v>5.8674819999999999</v>
      </c>
      <c r="G86" s="633">
        <f t="shared" si="11"/>
        <v>7.3399330000000003</v>
      </c>
      <c r="H86" s="633">
        <f t="shared" si="11"/>
        <v>8.7782330000000002</v>
      </c>
      <c r="I86" s="633">
        <f t="shared" si="11"/>
        <v>10.512262</v>
      </c>
      <c r="J86" s="633">
        <f t="shared" si="11"/>
        <v>12.467815999999999</v>
      </c>
      <c r="K86" s="633">
        <f t="shared" si="11"/>
        <v>14.041808</v>
      </c>
      <c r="L86" s="633">
        <f t="shared" si="11"/>
        <v>15.811826999999999</v>
      </c>
      <c r="M86" s="633">
        <f t="shared" si="11"/>
        <v>17.377564</v>
      </c>
      <c r="N86" s="633">
        <f t="shared" si="11"/>
        <v>18.908919999999998</v>
      </c>
      <c r="S86"/>
      <c r="T86" s="601" t="s">
        <v>94</v>
      </c>
      <c r="U86" s="642">
        <f>+T65</f>
        <v>0.98304899999999995</v>
      </c>
      <c r="V86" s="642">
        <f t="shared" si="12"/>
        <v>2.024165</v>
      </c>
      <c r="W86" s="642">
        <f t="shared" si="12"/>
        <v>3.1119460000000001</v>
      </c>
      <c r="X86" s="642">
        <f t="shared" si="12"/>
        <v>4.1053300000000004</v>
      </c>
      <c r="Y86" s="642">
        <f t="shared" si="12"/>
        <v>5.1166270000000003</v>
      </c>
      <c r="Z86" s="642">
        <f t="shared" si="12"/>
        <v>6.1442940000000004</v>
      </c>
      <c r="AA86" s="642">
        <f t="shared" si="12"/>
        <v>7.07301</v>
      </c>
      <c r="AB86" s="642">
        <f t="shared" si="12"/>
        <v>8.0703940000000003</v>
      </c>
      <c r="AC86" s="642">
        <f t="shared" si="12"/>
        <v>9.1567679999999996</v>
      </c>
      <c r="AD86" s="642">
        <f t="shared" si="12"/>
        <v>10.157553999999999</v>
      </c>
      <c r="AE86" s="642">
        <f t="shared" si="12"/>
        <v>11.203306</v>
      </c>
      <c r="AF86" s="642">
        <f t="shared" si="12"/>
        <v>12.373313999999999</v>
      </c>
      <c r="AG86" s="158"/>
      <c r="AH86" s="158"/>
      <c r="AI86"/>
      <c r="AJ86" s="617" t="s">
        <v>94</v>
      </c>
      <c r="AK86" s="649">
        <f>+AJ65</f>
        <v>0.42464100000000016</v>
      </c>
      <c r="AL86" s="649">
        <f t="shared" si="13"/>
        <v>0.84328400000000026</v>
      </c>
      <c r="AM86" s="649">
        <f t="shared" si="13"/>
        <v>1.2205310000000003</v>
      </c>
      <c r="AN86" s="649">
        <f t="shared" si="13"/>
        <v>1.7621520000000002</v>
      </c>
      <c r="AO86" s="649">
        <f t="shared" si="13"/>
        <v>2.223306</v>
      </c>
      <c r="AP86" s="649">
        <f t="shared" si="13"/>
        <v>2.6339389999999998</v>
      </c>
      <c r="AQ86" s="649">
        <f t="shared" si="13"/>
        <v>3.4392519999999998</v>
      </c>
      <c r="AR86" s="649">
        <f t="shared" si="13"/>
        <v>4.3974219999999997</v>
      </c>
      <c r="AS86" s="649">
        <f t="shared" si="13"/>
        <v>4.88504</v>
      </c>
      <c r="AT86" s="649">
        <f t="shared" si="13"/>
        <v>5.6542729999999999</v>
      </c>
      <c r="AU86" s="649">
        <f t="shared" si="13"/>
        <v>6.174258</v>
      </c>
      <c r="AV86" s="649">
        <f t="shared" si="13"/>
        <v>6.5356059999999996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1.50610596</v>
      </c>
      <c r="D87" s="629">
        <f t="shared" si="11"/>
        <v>3.0523624599999994</v>
      </c>
      <c r="E87" s="629">
        <f t="shared" si="11"/>
        <v>4.5582534499999996</v>
      </c>
      <c r="F87" s="629">
        <f t="shared" si="11"/>
        <v>6.1905850899999999</v>
      </c>
      <c r="G87" s="629">
        <f t="shared" si="11"/>
        <v>7.6867563899999993</v>
      </c>
      <c r="H87" s="629">
        <f t="shared" si="11"/>
        <v>9.2282689299999987</v>
      </c>
      <c r="I87" s="629">
        <f t="shared" si="11"/>
        <v>10.945766149999999</v>
      </c>
      <c r="J87" s="629">
        <f t="shared" si="11"/>
        <v>12.759780569999998</v>
      </c>
      <c r="K87" s="629">
        <f t="shared" si="11"/>
        <v>14.320668169999998</v>
      </c>
      <c r="L87" s="629">
        <f t="shared" si="11"/>
        <v>15.921928139999997</v>
      </c>
      <c r="M87" s="629">
        <f t="shared" si="11"/>
        <v>17.475073449999996</v>
      </c>
      <c r="N87" s="629">
        <f t="shared" si="11"/>
        <v>19.361925269999997</v>
      </c>
      <c r="S87"/>
      <c r="T87" s="608" t="s">
        <v>93</v>
      </c>
      <c r="U87" s="645">
        <f>+T66</f>
        <v>1.01826638</v>
      </c>
      <c r="V87" s="645">
        <f t="shared" si="12"/>
        <v>2.1283784899999998</v>
      </c>
      <c r="W87" s="645">
        <f t="shared" si="12"/>
        <v>3.3166597099999997</v>
      </c>
      <c r="X87" s="645">
        <f t="shared" si="12"/>
        <v>4.40731216</v>
      </c>
      <c r="Y87" s="645">
        <f t="shared" si="12"/>
        <v>5.35833212</v>
      </c>
      <c r="Z87" s="645">
        <f t="shared" si="12"/>
        <v>6.5834382700000003</v>
      </c>
      <c r="AA87" s="645">
        <f t="shared" si="12"/>
        <v>7.5977911599999999</v>
      </c>
      <c r="AB87" s="645">
        <f t="shared" si="12"/>
        <v>8.7481325299999995</v>
      </c>
      <c r="AC87" s="645">
        <f t="shared" si="12"/>
        <v>9.8352181999999999</v>
      </c>
      <c r="AD87" s="645">
        <f t="shared" si="12"/>
        <v>10.860687519999999</v>
      </c>
      <c r="AE87" s="645">
        <f t="shared" si="12"/>
        <v>11.94620185</v>
      </c>
      <c r="AF87" s="645">
        <f t="shared" si="12"/>
        <v>13.127860759999999</v>
      </c>
      <c r="AG87" s="158"/>
      <c r="AH87" s="158"/>
      <c r="AI87"/>
      <c r="AJ87" s="624" t="s">
        <v>93</v>
      </c>
      <c r="AK87" s="650">
        <f>+AJ66</f>
        <v>0.48783957999999994</v>
      </c>
      <c r="AL87" s="650">
        <f t="shared" si="13"/>
        <v>0.92398396999999988</v>
      </c>
      <c r="AM87" s="650">
        <f t="shared" si="13"/>
        <v>1.2415937399999997</v>
      </c>
      <c r="AN87" s="650">
        <f t="shared" si="13"/>
        <v>1.7832729299999996</v>
      </c>
      <c r="AO87" s="650">
        <f t="shared" si="13"/>
        <v>2.3284242699999993</v>
      </c>
      <c r="AP87" s="650">
        <f t="shared" si="13"/>
        <v>2.6448306599999993</v>
      </c>
      <c r="AQ87" s="650">
        <f t="shared" si="13"/>
        <v>3.3479749899999991</v>
      </c>
      <c r="AR87" s="650">
        <f t="shared" si="13"/>
        <v>4.011648039999999</v>
      </c>
      <c r="AS87" s="650">
        <f t="shared" si="13"/>
        <v>4.4854499699999986</v>
      </c>
      <c r="AT87" s="650">
        <f t="shared" si="13"/>
        <v>5.0612406199999986</v>
      </c>
      <c r="AU87" s="650">
        <f t="shared" si="13"/>
        <v>5.5288715999999987</v>
      </c>
      <c r="AV87" s="650">
        <f t="shared" si="13"/>
        <v>6.2340645099999996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227" priority="15" operator="lessThan">
      <formula>0</formula>
    </cfRule>
  </conditionalFormatting>
  <conditionalFormatting sqref="O41">
    <cfRule type="cellIs" dxfId="226" priority="14" operator="lessThan">
      <formula>0</formula>
    </cfRule>
  </conditionalFormatting>
  <conditionalFormatting sqref="AX18:AX22">
    <cfRule type="cellIs" dxfId="225" priority="13" operator="lessThan">
      <formula>0</formula>
    </cfRule>
  </conditionalFormatting>
  <conditionalFormatting sqref="BN21:BN22">
    <cfRule type="cellIs" dxfId="224" priority="12" operator="lessThan">
      <formula>0</formula>
    </cfRule>
  </conditionalFormatting>
  <conditionalFormatting sqref="BB43:BB46">
    <cfRule type="cellIs" dxfId="223" priority="11" operator="greaterThan">
      <formula>0</formula>
    </cfRule>
  </conditionalFormatting>
  <conditionalFormatting sqref="AX18:AX20">
    <cfRule type="cellIs" dxfId="222" priority="10" operator="lessThan">
      <formula>0</formula>
    </cfRule>
  </conditionalFormatting>
  <conditionalFormatting sqref="BN18:BN20">
    <cfRule type="cellIs" dxfId="221" priority="9" operator="greaterThan">
      <formula>0</formula>
    </cfRule>
  </conditionalFormatting>
  <conditionalFormatting sqref="P18:P20">
    <cfRule type="cellIs" dxfId="220" priority="8" operator="lessThan">
      <formula>0</formula>
    </cfRule>
  </conditionalFormatting>
  <conditionalFormatting sqref="P67:P68">
    <cfRule type="cellIs" dxfId="219" priority="7" operator="lessThan">
      <formula>0</formula>
    </cfRule>
  </conditionalFormatting>
  <conditionalFormatting sqref="P64:P66">
    <cfRule type="cellIs" dxfId="218" priority="6" operator="lessThan">
      <formula>0</formula>
    </cfRule>
  </conditionalFormatting>
  <conditionalFormatting sqref="AH67:AH68">
    <cfRule type="cellIs" dxfId="217" priority="5" operator="lessThan">
      <formula>0</formula>
    </cfRule>
  </conditionalFormatting>
  <conditionalFormatting sqref="AH64:AH66">
    <cfRule type="cellIs" dxfId="216" priority="4" operator="greaterThan">
      <formula>0</formula>
    </cfRule>
  </conditionalFormatting>
  <conditionalFormatting sqref="AX67:AX68">
    <cfRule type="cellIs" dxfId="215" priority="3" operator="lessThan">
      <formula>0</formula>
    </cfRule>
  </conditionalFormatting>
  <conditionalFormatting sqref="AX64:AX66">
    <cfRule type="cellIs" dxfId="214" priority="2" operator="lessThan">
      <formula>0</formula>
    </cfRule>
  </conditionalFormatting>
  <conditionalFormatting sqref="S24:AH24 S21:T23 V21:AH23">
    <cfRule type="cellIs" dxfId="213" priority="1" operator="lessThan">
      <formula>0</formula>
    </cfRule>
  </conditionalFormatting>
  <pageMargins left="0.39370078740157483" right="0.19685039370078741" top="0.74803149606299213" bottom="0.3" header="0.31496062992125984" footer="0.31496062992125984"/>
  <pageSetup paperSize="9" scale="80" pageOrder="overThenDown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25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1016</v>
      </c>
      <c r="B3" s="807" t="str">
        <f>+VLOOKUP($A3,data!$A$4:$AH$32,2,0)</f>
        <v>เถิน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6780</v>
      </c>
      <c r="C9" s="180">
        <f>+VLOOKUP($A$3,data!$A$4:$AH$32,8,0)/10^6</f>
        <v>0.89444599999999996</v>
      </c>
      <c r="D9" s="181">
        <f>+VLOOKUP($A$3,data!$A$4:$AH$32,9,0)</f>
        <v>0.37168769699702259</v>
      </c>
      <c r="E9" s="180">
        <f>+VLOOKUP($A$3,data!$A$4:$AH$32,10,0)/10^6</f>
        <v>11.589084529999999</v>
      </c>
      <c r="F9" s="182">
        <f>+E9/C9</f>
        <v>12.956717934900485</v>
      </c>
      <c r="G9" s="179">
        <f>+VLOOKUP($A$3,data!$A$4:$AH$32,23,0)</f>
        <v>6921</v>
      </c>
      <c r="H9" s="180">
        <f>+VLOOKUP($A$3,data!$A$4:$AH$32,24,0)/10^6</f>
        <v>0.89732199999999995</v>
      </c>
      <c r="I9" s="181">
        <f>+VLOOKUP($A$3,data!$A$4:$AH$32,25,0)</f>
        <v>0.35886671605812193</v>
      </c>
      <c r="J9" s="180">
        <f>+VLOOKUP($A$3,data!$A$4:$AH$32,26,0)/10^6</f>
        <v>11.546880499999999</v>
      </c>
      <c r="K9" s="182">
        <f>+J9/H9</f>
        <v>12.868157138686</v>
      </c>
    </row>
    <row r="10" spans="1:12" ht="26.25" x14ac:dyDescent="0.4">
      <c r="A10" s="187" t="s">
        <v>4</v>
      </c>
      <c r="B10" s="189">
        <f>+B9/B20</f>
        <v>0.8446493085835306</v>
      </c>
      <c r="C10" s="190"/>
      <c r="D10" s="190"/>
      <c r="E10" s="190"/>
      <c r="F10" s="191"/>
      <c r="G10" s="189">
        <f>+G9/G20</f>
        <v>0.84567448680351909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1008</v>
      </c>
      <c r="C13" s="180">
        <f>+VLOOKUP($A$3,data!$A$4:$AH$32,12,0)/10^6</f>
        <v>0.33683999999999997</v>
      </c>
      <c r="D13" s="181">
        <f>+VLOOKUP($A$3,data!$A$4:$AH$32,13,0)</f>
        <v>0.92609063228147837</v>
      </c>
      <c r="E13" s="180">
        <f>+VLOOKUP($A$3,data!$A$4:$AH$32,14,0)/10^6</f>
        <v>6.9172713500000009</v>
      </c>
      <c r="F13" s="182">
        <f>+E13/C13</f>
        <v>20.535777668922936</v>
      </c>
      <c r="G13" s="179">
        <f>+VLOOKUP($A$3,data!$A$4:$AH$32,27,0)</f>
        <v>1019</v>
      </c>
      <c r="H13" s="180">
        <f>+VLOOKUP($A$3,data!$A$4:$AH$32,28,0)/10^6</f>
        <v>0.32769999999999999</v>
      </c>
      <c r="I13" s="181">
        <f>+VLOOKUP($A$3,data!$A$4:$AH$32,29,0)</f>
        <v>0.88584925424576444</v>
      </c>
      <c r="J13" s="180">
        <f>+VLOOKUP($A$3,data!$A$4:$AH$32,30,0)/10^6</f>
        <v>6.7487791500000007</v>
      </c>
      <c r="K13" s="182">
        <f>+J13/H13</f>
        <v>20.594382514494967</v>
      </c>
    </row>
    <row r="14" spans="1:12" ht="26.25" x14ac:dyDescent="0.4">
      <c r="A14" s="187" t="s">
        <v>29</v>
      </c>
      <c r="B14" s="189">
        <f>+B13/B20</f>
        <v>0.12557618039117976</v>
      </c>
      <c r="C14" s="190"/>
      <c r="D14" s="190"/>
      <c r="E14" s="190"/>
      <c r="F14" s="191"/>
      <c r="G14" s="189">
        <f>+G13/G20</f>
        <v>0.12451124144672532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239</v>
      </c>
      <c r="C17" s="180">
        <f>+VLOOKUP($A$3,data!$A$4:$AH$32,16,0)/10^6</f>
        <v>0.14940000000000001</v>
      </c>
      <c r="D17" s="181">
        <f>+VLOOKUP($A$3,data!$A$4:$AH$32,17,0)</f>
        <v>1.7343858834455537</v>
      </c>
      <c r="E17" s="180">
        <f>+VLOOKUP($A$3,data!$A$4:$AH$32,18,0)/10^6</f>
        <v>4.0647053</v>
      </c>
      <c r="F17" s="182">
        <f>+E17/C17</f>
        <v>27.206862784471216</v>
      </c>
      <c r="G17" s="179">
        <f>+VLOOKUP($A$3,data!$A$4:$AH$32,31,0)</f>
        <v>244</v>
      </c>
      <c r="H17" s="180">
        <f>+VLOOKUP($A$3,data!$A$4:$AH$32,32,0)/10^6</f>
        <v>0.15126400000000001</v>
      </c>
      <c r="I17" s="181">
        <f>+VLOOKUP($A$3,data!$A$4:$AH$32,33,0)</f>
        <v>1.716032785955359</v>
      </c>
      <c r="J17" s="180">
        <f>+VLOOKUP($A$3,data!$A$4:$AH$32,34,0)/10^6</f>
        <v>4.1505222500000007</v>
      </c>
      <c r="K17" s="182">
        <f>+J17/H17</f>
        <v>27.438929619737682</v>
      </c>
    </row>
    <row r="18" spans="1:11" ht="26.25" x14ac:dyDescent="0.4">
      <c r="A18" s="187" t="s">
        <v>30</v>
      </c>
      <c r="B18" s="189">
        <f>+B17/B20</f>
        <v>2.9774511025289649E-2</v>
      </c>
      <c r="C18" s="190"/>
      <c r="D18" s="190"/>
      <c r="E18" s="190"/>
      <c r="F18" s="191"/>
      <c r="G18" s="189">
        <f>+G17/G20</f>
        <v>2.9814271749755622E-2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8027</v>
      </c>
      <c r="C20" s="180">
        <f>+VLOOKUP($A$3,data!$A$4:$AH$32,4,0)/10^6</f>
        <v>1.3806860000000001</v>
      </c>
      <c r="D20" s="181">
        <f>+VLOOKUP($A$3,data!$A$4:$AH$32,5,0)</f>
        <v>0.48338142864520017</v>
      </c>
      <c r="E20" s="180">
        <f>+VLOOKUP($A$3,data!$A$4:$AH$32,6,0)/10^6</f>
        <v>22.571061180000001</v>
      </c>
      <c r="F20" s="182">
        <f>+E20/C20</f>
        <v>16.347714961982668</v>
      </c>
      <c r="G20" s="179">
        <f>+VLOOKUP($A$3,data!$A$4:$AH$32,19,0)</f>
        <v>8184</v>
      </c>
      <c r="H20" s="180">
        <f>+VLOOKUP($A$3,data!$A$4:$AH$32,20,0)/10^6</f>
        <v>1.3762859999999999</v>
      </c>
      <c r="I20" s="181">
        <f>+VLOOKUP($A$3,data!$A$4:$AH$32,21,0)</f>
        <v>0.46519604902133932</v>
      </c>
      <c r="J20" s="180">
        <f>+VLOOKUP($A$3,data!$A$4:$AH$32,22,0)/10^6</f>
        <v>22.446181899999996</v>
      </c>
      <c r="K20" s="182">
        <f>+J20/H20</f>
        <v>16.309242337711783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เถิน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Normal="100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6.125" style="158" bestFit="1" customWidth="1"/>
    <col min="3" max="3" width="5" style="158" bestFit="1" customWidth="1"/>
    <col min="4" max="4" width="5.125" style="158" bestFit="1" customWidth="1"/>
    <col min="5" max="5" width="5" style="158" bestFit="1" customWidth="1"/>
    <col min="6" max="6" width="5.25" style="158" bestFit="1" customWidth="1"/>
    <col min="7" max="8" width="6.125" style="158" bestFit="1" customWidth="1"/>
    <col min="9" max="9" width="6.25" style="158" bestFit="1" customWidth="1"/>
    <col min="10" max="14" width="6.1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9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6.125" bestFit="1" customWidth="1"/>
    <col min="48" max="48" width="6.25" bestFit="1" customWidth="1"/>
    <col min="49" max="49" width="7.375" bestFit="1" customWidth="1"/>
    <col min="50" max="50" width="6.75" bestFit="1" customWidth="1"/>
    <col min="51" max="51" width="11.875" bestFit="1" customWidth="1"/>
    <col min="52" max="52" width="6.875" bestFit="1" customWidth="1"/>
    <col min="53" max="55" width="6.75" bestFit="1" customWidth="1"/>
    <col min="56" max="56" width="6.875" bestFit="1" customWidth="1"/>
    <col min="57" max="57" width="6.75" bestFit="1" customWidth="1"/>
    <col min="58" max="58" width="6.875" bestFit="1" customWidth="1"/>
    <col min="59" max="59" width="6.75" bestFit="1" customWidth="1"/>
    <col min="60" max="61" width="6.875" bestFit="1" customWidth="1"/>
    <col min="62" max="63" width="6.75" bestFit="1" customWidth="1"/>
    <col min="64" max="64" width="6.875" bestFit="1" customWidth="1"/>
    <col min="65" max="65" width="6.75" bestFit="1" customWidth="1"/>
    <col min="66" max="66" width="6.875" bestFit="1" customWidth="1"/>
    <col min="67" max="67" width="6.75" bestFit="1" customWidth="1"/>
  </cols>
  <sheetData>
    <row r="1" spans="1:66" ht="27" thickBot="1" x14ac:dyDescent="0.25">
      <c r="A1" s="248">
        <v>1016</v>
      </c>
      <c r="B1" s="817" t="str">
        <f>+VLOOKUP($A$1,data!$A$4:$AH$32,2,0)</f>
        <v>เถิน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1016</v>
      </c>
      <c r="T1" s="817" t="str">
        <f>+VLOOKUP($A$1,data!$A$4:$AH$32,2,0)</f>
        <v>เถิน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1016</v>
      </c>
      <c r="AJ1" s="817" t="str">
        <f>+VLOOKUP($A$1,data!$A$4:$AH$32,2,0)</f>
        <v>เถิน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1016</v>
      </c>
      <c r="AZ1" s="817" t="str">
        <f>+VLOOKUP($A$1,data!$A$4:$AH$32,2,0)</f>
        <v>เถิน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22</v>
      </c>
      <c r="C18" s="406">
        <f>+VLOOKUP($A$1,data!$A$37:$AU$67,36)</f>
        <v>19</v>
      </c>
      <c r="D18" s="406">
        <f>+VLOOKUP($A$1,data!$A$37:$AU$67,37)</f>
        <v>20</v>
      </c>
      <c r="E18" s="406">
        <f>+VLOOKUP($A$1,data!$A$37:$AU$67,38)</f>
        <v>23</v>
      </c>
      <c r="F18" s="406">
        <f>+VLOOKUP($A$1,data!$A$37:$AU$67,39)</f>
        <v>38</v>
      </c>
      <c r="G18" s="406">
        <f>+VLOOKUP($A$1,data!$A$37:$AU$67,40)</f>
        <v>47</v>
      </c>
      <c r="H18" s="406">
        <f>+VLOOKUP($A$1,data!$A$37:$AU$67,41)</f>
        <v>13</v>
      </c>
      <c r="I18" s="406">
        <f>+VLOOKUP($A$1,data!$A$37:$AU$67,42)</f>
        <v>50</v>
      </c>
      <c r="J18" s="406">
        <f>+VLOOKUP($A$1,data!$A$37:$AU$67,43)</f>
        <v>96</v>
      </c>
      <c r="K18" s="406">
        <f>+VLOOKUP($A$1,data!$A$37:$AU$67,44)</f>
        <v>26</v>
      </c>
      <c r="L18" s="406">
        <f>+VLOOKUP($A$1,data!$A$37:$AU$67,45)</f>
        <v>53</v>
      </c>
      <c r="M18" s="406">
        <f>+VLOOKUP($A$1,data!$A$37:$AU$67,46)</f>
        <v>12</v>
      </c>
      <c r="N18" s="406">
        <f>SUM(B18:M18)</f>
        <v>419</v>
      </c>
      <c r="O18" s="406">
        <f>SUM(B18:M18)</f>
        <v>419</v>
      </c>
      <c r="P18" s="407">
        <f>+O20-O18</f>
        <v>-214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0.101004</v>
      </c>
      <c r="AK18" s="418">
        <f>+VLOOKUP($A$1,data!$A$69:$AU$99,36)</f>
        <v>0.107686</v>
      </c>
      <c r="AL18" s="418">
        <f>+VLOOKUP($A$1,data!$A$69:$AU$99,37)</f>
        <v>0.110127</v>
      </c>
      <c r="AM18" s="418">
        <f>+VLOOKUP($A$1,data!$A$69:$AU$99,38)</f>
        <v>0.11328344</v>
      </c>
      <c r="AN18" s="418">
        <f>+VLOOKUP($A$1,data!$A$69:$AU$99,39)</f>
        <v>0.10890464</v>
      </c>
      <c r="AO18" s="418">
        <f>+VLOOKUP($A$1,data!$A$69:$AU$99,40)</f>
        <v>0.1115727</v>
      </c>
      <c r="AP18" s="418">
        <f>+VLOOKUP($A$1,data!$A$69:$AU$99,41)</f>
        <v>0.13408010000000001</v>
      </c>
      <c r="AQ18" s="418">
        <f>+VLOOKUP($A$1,data!$A$69:$AU$99,42)</f>
        <v>0.15307489999999999</v>
      </c>
      <c r="AR18" s="418">
        <f>+VLOOKUP($A$1,data!$A$69:$AU$99,43)</f>
        <v>0.12476619999999999</v>
      </c>
      <c r="AS18" s="418">
        <f>+VLOOKUP($A$1,data!$A$69:$AU$99,44)</f>
        <v>0.1071791</v>
      </c>
      <c r="AT18" s="418">
        <f>+VLOOKUP($A$1,data!$A$69:$AU$99,45)</f>
        <v>0.1086806</v>
      </c>
      <c r="AU18" s="418">
        <f>+VLOOKUP($A$1,data!$A$69:$AU$99,46)</f>
        <v>0.1081503</v>
      </c>
      <c r="AV18" s="418">
        <f>SUM(AJ18:AU18)</f>
        <v>1.3885089799999999</v>
      </c>
      <c r="AW18" s="418">
        <f>SUM(AJ18:AU18)</f>
        <v>1.3885089799999999</v>
      </c>
      <c r="AX18" s="419">
        <f>+AW20-AW18</f>
        <v>-7.2541799999998879E-3</v>
      </c>
      <c r="AY18" s="308" t="s">
        <v>92</v>
      </c>
      <c r="AZ18" s="309">
        <f>+VLOOKUP($A$1,data!$A$101:$AU$131,35)</f>
        <v>3.5547000000000002E-2</v>
      </c>
      <c r="BA18" s="309">
        <f>+VLOOKUP($A$1,data!$A$101:$AU$131,36)</f>
        <v>3.1210000000000002E-2</v>
      </c>
      <c r="BB18" s="309">
        <f>+VLOOKUP($A$1,data!$A$101:$AU$131,37)</f>
        <v>3.6562999999999998E-2</v>
      </c>
      <c r="BC18" s="309">
        <f>+VLOOKUP($A$1,data!$A$101:$AU$131,38)</f>
        <v>4.0742559999999997E-2</v>
      </c>
      <c r="BD18" s="309">
        <f>+VLOOKUP($A$1,data!$A$101:$AU$131,39)</f>
        <v>2.8812360000000002E-2</v>
      </c>
      <c r="BE18" s="309">
        <f>+VLOOKUP($A$1,data!$A$101:$AU$131,40)</f>
        <v>5.2065300000000002E-2</v>
      </c>
      <c r="BF18" s="309">
        <f>+VLOOKUP($A$1,data!$A$101:$AU$131,41)</f>
        <v>2.9624899999999996E-2</v>
      </c>
      <c r="BG18" s="309">
        <f>+VLOOKUP($A$1,data!$A$101:$AU$131,42)</f>
        <v>1.9969100000000007E-2</v>
      </c>
      <c r="BH18" s="309">
        <f>+VLOOKUP($A$1,data!$A$101:$AU$131,43)</f>
        <v>6.770800000000003E-3</v>
      </c>
      <c r="BI18" s="309">
        <f>+VLOOKUP($A$1,data!$A$101:$AU$131,44)</f>
        <v>2.3885899999999995E-2</v>
      </c>
      <c r="BJ18" s="309">
        <f>+VLOOKUP($A$1,data!$A$101:$AU$131,45)</f>
        <v>4.9914399999999991E-2</v>
      </c>
      <c r="BK18" s="309">
        <f>+VLOOKUP($A$1,data!$A$101:$AU$131,46)</f>
        <v>4.4002699999999999E-2</v>
      </c>
      <c r="BL18" s="309">
        <f>SUM(AZ18:BK18)</f>
        <v>0.39910802000000006</v>
      </c>
      <c r="BM18" s="309">
        <f>SUM(AZ18:BK18)</f>
        <v>0.39910802000000006</v>
      </c>
      <c r="BN18" s="310">
        <f>+BM20-BM18</f>
        <v>9.9322420000000022E-2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19.067653276955603</v>
      </c>
      <c r="C19" s="409">
        <f>+VLOOKUP($A$1,data!$A$37:$AU$67,20)</f>
        <v>16.766384778012686</v>
      </c>
      <c r="D19" s="409">
        <f>+VLOOKUP($A$1,data!$A$37:$AU$67,21)</f>
        <v>13.150105708245245</v>
      </c>
      <c r="E19" s="409">
        <f>+VLOOKUP($A$1,data!$A$37:$AU$67,22)</f>
        <v>15.780126849894293</v>
      </c>
      <c r="F19" s="409">
        <f>+VLOOKUP($A$1,data!$A$37:$AU$67,23)</f>
        <v>35.505285412262154</v>
      </c>
      <c r="G19" s="409">
        <f>+VLOOKUP($A$1,data!$A$37:$AU$67,24)</f>
        <v>36.491543340380552</v>
      </c>
      <c r="H19" s="409">
        <f>+VLOOKUP($A$1,data!$A$37:$AU$67,25)</f>
        <v>17.095137420718814</v>
      </c>
      <c r="I19" s="409">
        <f>+VLOOKUP($A$1,data!$A$37:$AU$67,26)</f>
        <v>36.491543340380552</v>
      </c>
      <c r="J19" s="409">
        <f>+VLOOKUP($A$1,data!$A$37:$AU$67,27)</f>
        <v>44.710359408033831</v>
      </c>
      <c r="K19" s="409">
        <f>+VLOOKUP($A$1,data!$A$37:$AU$67,28)</f>
        <v>20.38266384778013</v>
      </c>
      <c r="L19" s="409">
        <f>+VLOOKUP($A$1,data!$A$37:$AU$67,29)</f>
        <v>24.985200845665965</v>
      </c>
      <c r="M19" s="409">
        <f>+VLOOKUP($A$1,data!$A$37:$AU$67,30)</f>
        <v>30.573995771670191</v>
      </c>
      <c r="N19" s="409">
        <f>SUM(B19:M19)</f>
        <v>311.00000000000006</v>
      </c>
      <c r="O19" s="630">
        <f t="shared" ref="O19:O20" si="0">SUM(B19:M19)</f>
        <v>311.00000000000006</v>
      </c>
      <c r="P19" s="412">
        <f>+O20-O19</f>
        <v>-106.00000000000006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0.105</v>
      </c>
      <c r="AK19" s="423">
        <f>+VLOOKUP($A$1,data!$A$69:$AU$99,20)</f>
        <v>0.111432</v>
      </c>
      <c r="AL19" s="423">
        <f>+VLOOKUP($A$1,data!$A$69:$AU$99,21)</f>
        <v>0.110162</v>
      </c>
      <c r="AM19" s="423">
        <f>+VLOOKUP($A$1,data!$A$69:$AU$99,22)</f>
        <v>0.115842</v>
      </c>
      <c r="AN19" s="423">
        <f>+VLOOKUP($A$1,data!$A$69:$AU$99,23)</f>
        <v>0.112168</v>
      </c>
      <c r="AO19" s="423">
        <f>+VLOOKUP($A$1,data!$A$69:$AU$99,24)</f>
        <v>0.115052</v>
      </c>
      <c r="AP19" s="423">
        <f>+VLOOKUP($A$1,data!$A$69:$AU$99,25)</f>
        <v>0.136071</v>
      </c>
      <c r="AQ19" s="423">
        <f>+VLOOKUP($A$1,data!$A$69:$AU$99,26)</f>
        <v>0.147258</v>
      </c>
      <c r="AR19" s="423">
        <f>+VLOOKUP($A$1,data!$A$69:$AU$99,27)</f>
        <v>0.12889700000000001</v>
      </c>
      <c r="AS19" s="423">
        <f>+VLOOKUP($A$1,data!$A$69:$AU$99,28)</f>
        <v>0.117244</v>
      </c>
      <c r="AT19" s="423">
        <f>+VLOOKUP($A$1,data!$A$69:$AU$99,29)</f>
        <v>0.11779000000000001</v>
      </c>
      <c r="AU19" s="423">
        <f>+VLOOKUP($A$1,data!$A$69:$AU$99,30)</f>
        <v>0.115413</v>
      </c>
      <c r="AV19" s="423">
        <f>SUM(AJ19:AU19)</f>
        <v>1.432329</v>
      </c>
      <c r="AW19" s="424">
        <f t="shared" ref="AW19:AW20" si="1">SUM(AJ19:AU19)</f>
        <v>1.432329</v>
      </c>
      <c r="AX19" s="425">
        <f>+AW20-AW19</f>
        <v>-5.1074199999999959E-2</v>
      </c>
      <c r="AY19" s="311" t="s">
        <v>94</v>
      </c>
      <c r="AZ19" s="312">
        <f>+VLOOKUP($A$1,data!$A$101:$AU$131,19)</f>
        <v>4.2154999999999998E-2</v>
      </c>
      <c r="BA19" s="312">
        <f>+VLOOKUP($A$1,data!$A$101:$AU$131,20)</f>
        <v>3.8556E-2</v>
      </c>
      <c r="BB19" s="312">
        <f>+VLOOKUP($A$1,data!$A$101:$AU$131,21)</f>
        <v>5.1396999999999998E-2</v>
      </c>
      <c r="BC19" s="312">
        <f>+VLOOKUP($A$1,data!$A$101:$AU$131,22)</f>
        <v>5.4039999999999998E-2</v>
      </c>
      <c r="BD19" s="312">
        <f>+VLOOKUP($A$1,data!$A$101:$AU$131,23)</f>
        <v>4.5746000000000002E-2</v>
      </c>
      <c r="BE19" s="312">
        <f>+VLOOKUP($A$1,data!$A$101:$AU$131,24)</f>
        <v>5.6403000000000002E-2</v>
      </c>
      <c r="BF19" s="312">
        <f>+VLOOKUP($A$1,data!$A$101:$AU$131,25)</f>
        <v>4.3596000000000003E-2</v>
      </c>
      <c r="BG19" s="312">
        <f>+VLOOKUP($A$1,data!$A$101:$AU$131,26)</f>
        <v>2.8569000000000001E-2</v>
      </c>
      <c r="BH19" s="312">
        <f>+VLOOKUP($A$1,data!$A$101:$AU$131,27)</f>
        <v>2.2675000000000001E-2</v>
      </c>
      <c r="BI19" s="312">
        <f>+VLOOKUP($A$1,data!$A$101:$AU$131,28)</f>
        <v>3.3989999999999999E-2</v>
      </c>
      <c r="BJ19" s="312">
        <f>+VLOOKUP($A$1,data!$A$101:$AU$131,29)</f>
        <v>4.2428E-2</v>
      </c>
      <c r="BK19" s="312">
        <f>+VLOOKUP($A$1,data!$A$101:$AU$131,30)</f>
        <v>4.3694999999999998E-2</v>
      </c>
      <c r="BL19" s="312">
        <f>SUM(AZ19:BK19)</f>
        <v>0.50325000000000009</v>
      </c>
      <c r="BM19" s="313">
        <f t="shared" ref="BM19:BM20" si="2">SUM(AZ19:BK19)</f>
        <v>0.50325000000000009</v>
      </c>
      <c r="BN19" s="314">
        <f>+BM20-BM19</f>
        <v>-4.8195600000000005E-3</v>
      </c>
    </row>
    <row r="20" spans="1:66" s="247" customFormat="1" ht="19.5" thickBot="1" x14ac:dyDescent="0.35">
      <c r="A20" s="413" t="s">
        <v>93</v>
      </c>
      <c r="B20" s="414">
        <f>+VLOOKUP($A$1,data!$A$37:$AU$67,3)</f>
        <v>22</v>
      </c>
      <c r="C20" s="414">
        <f>+VLOOKUP($A$1,data!$A$37:$AU$67,4)</f>
        <v>15</v>
      </c>
      <c r="D20" s="414">
        <f>+VLOOKUP($A$1,data!$A$37:$AU$67,5)</f>
        <v>13</v>
      </c>
      <c r="E20" s="414">
        <f>+VLOOKUP($A$1,data!$A$37:$AU$67,6)</f>
        <v>14</v>
      </c>
      <c r="F20" s="414">
        <f>+VLOOKUP($A$1,data!$A$37:$AU$67,7)</f>
        <v>14</v>
      </c>
      <c r="G20" s="414">
        <f>+VLOOKUP($A$1,data!$A$37:$AU$67,8)</f>
        <v>28</v>
      </c>
      <c r="H20" s="414">
        <f>+VLOOKUP($A$1,data!$A$37:$AU$67,9)</f>
        <v>9</v>
      </c>
      <c r="I20" s="414">
        <f>+VLOOKUP($A$1,data!$A$37:$AU$67,10)</f>
        <v>14</v>
      </c>
      <c r="J20" s="414">
        <f>+VLOOKUP($A$1,data!$A$37:$AU$67,11)</f>
        <v>18</v>
      </c>
      <c r="K20" s="414">
        <f>+VLOOKUP($A$1,data!$A$37:$AU$67,12)</f>
        <v>12</v>
      </c>
      <c r="L20" s="414">
        <f>+VLOOKUP($A$1,data!$A$37:$AU$67,13)</f>
        <v>21</v>
      </c>
      <c r="M20" s="414">
        <f>+VLOOKUP($A$1,data!$A$37:$AU$67,14)</f>
        <v>25</v>
      </c>
      <c r="N20" s="414">
        <f>SUM(B20:M20)</f>
        <v>205</v>
      </c>
      <c r="O20" s="631">
        <f t="shared" si="0"/>
        <v>205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0.10399589999999999</v>
      </c>
      <c r="AK20" s="420">
        <f>+VLOOKUP($A$1,data!$A$69:$AU$99,4)</f>
        <v>0.10721839999999999</v>
      </c>
      <c r="AL20" s="420">
        <f>+VLOOKUP($A$1,data!$A$69:$AU$99,5)</f>
        <v>0.10436089999999999</v>
      </c>
      <c r="AM20" s="420">
        <f>+VLOOKUP($A$1,data!$A$69:$AU$99,6)</f>
        <v>0.11925387</v>
      </c>
      <c r="AN20" s="420">
        <f>+VLOOKUP($A$1,data!$A$69:$AU$99,7)</f>
        <v>0.11138192999999999</v>
      </c>
      <c r="AO20" s="420">
        <f>+VLOOKUP($A$1,data!$A$69:$AU$99,8)</f>
        <v>0.11526657000000001</v>
      </c>
      <c r="AP20" s="420">
        <f>+VLOOKUP($A$1,data!$A$69:$AU$99,9)</f>
        <v>0.13420542999999999</v>
      </c>
      <c r="AQ20" s="420">
        <f>+VLOOKUP($A$1,data!$A$69:$AU$99,10)</f>
        <v>0.1396075</v>
      </c>
      <c r="AR20" s="420">
        <f>+VLOOKUP($A$1,data!$A$69:$AU$99,11)</f>
        <v>0.115657</v>
      </c>
      <c r="AS20" s="420">
        <f>+VLOOKUP($A$1,data!$A$69:$AU$99,12)</f>
        <v>0.10812099999999999</v>
      </c>
      <c r="AT20" s="420">
        <f>+VLOOKUP($A$1,data!$A$69:$AU$99,13)</f>
        <v>0.11208750000000001</v>
      </c>
      <c r="AU20" s="420">
        <f>+VLOOKUP($A$1,data!$A$69:$AU$99,14)</f>
        <v>0.1100988</v>
      </c>
      <c r="AV20" s="420">
        <f>SUM(AJ20:AU20)</f>
        <v>1.3812548</v>
      </c>
      <c r="AW20" s="421">
        <f t="shared" si="1"/>
        <v>1.3812548</v>
      </c>
      <c r="AX20" s="422"/>
      <c r="AY20" s="315" t="s">
        <v>93</v>
      </c>
      <c r="AZ20" s="316">
        <f>+VLOOKUP($A$1,data!$A$101:$AU$131,3)</f>
        <v>3.6152999999999998E-2</v>
      </c>
      <c r="BA20" s="316">
        <f>+VLOOKUP($A$1,data!$A$101:$AU$131,4)</f>
        <v>4.7309140000000013E-2</v>
      </c>
      <c r="BB20" s="316">
        <f>+VLOOKUP($A$1,data!$A$101:$AU$131,5)</f>
        <v>6.236941E-2</v>
      </c>
      <c r="BC20" s="316">
        <f>+VLOOKUP($A$1,data!$A$101:$AU$131,6)</f>
        <v>5.2033850000000006E-2</v>
      </c>
      <c r="BD20" s="316">
        <f>+VLOOKUP($A$1,data!$A$101:$AU$131,7)</f>
        <v>5.3620250000000029E-2</v>
      </c>
      <c r="BE20" s="316">
        <f>+VLOOKUP($A$1,data!$A$101:$AU$131,8)</f>
        <v>5.4249130000000007E-2</v>
      </c>
      <c r="BF20" s="316">
        <f>+VLOOKUP($A$1,data!$A$101:$AU$131,9)</f>
        <v>3.2694899999999992E-2</v>
      </c>
      <c r="BG20" s="316">
        <f>+VLOOKUP($A$1,data!$A$101:$AU$131,10)</f>
        <v>1.6515229999999981E-2</v>
      </c>
      <c r="BH20" s="316">
        <f>+VLOOKUP($A$1,data!$A$101:$AU$131,11)</f>
        <v>3.6723910000000005E-2</v>
      </c>
      <c r="BI20" s="316">
        <f>+VLOOKUP($A$1,data!$A$101:$AU$131,12)</f>
        <v>3.8389920000000015E-2</v>
      </c>
      <c r="BJ20" s="316">
        <f>+VLOOKUP($A$1,data!$A$101:$AU$131,13)</f>
        <v>3.73075E-2</v>
      </c>
      <c r="BK20" s="316">
        <f>+VLOOKUP($A$1,data!$A$101:$AU$131,14)</f>
        <v>3.1064199999999997E-2</v>
      </c>
      <c r="BL20" s="316">
        <f>SUM(AZ20:BK20)</f>
        <v>0.49843044000000009</v>
      </c>
      <c r="BM20" s="317">
        <f t="shared" si="2"/>
        <v>0.49843044000000009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42.984143763213538</v>
      </c>
      <c r="W21" s="671">
        <f>+VLOOKUP($A$1,data!$A$261:$AK$291,16)</f>
        <v>41</v>
      </c>
      <c r="X21" s="671">
        <f>+VLOOKUP($A$1,data!$A$261:$AK$291,36)</f>
        <v>124.76109936575054</v>
      </c>
      <c r="Y21" s="671">
        <f>+VLOOKUP($A$1,data!$A$261:$AK$291,17)</f>
        <v>96</v>
      </c>
      <c r="Z21" s="671">
        <f>+VLOOKUP($A$1,data!$A$261:$AK$291,37)</f>
        <v>214.05813953488376</v>
      </c>
      <c r="AA21" s="671">
        <f>+VLOOKUP($A$1,data!$A$261:$AK$291,18)</f>
        <v>136</v>
      </c>
      <c r="AB21" s="671">
        <f>+VLOOKUP($A$1,data!$A$261:$AK$291,34)</f>
        <v>272.00000000000006</v>
      </c>
      <c r="AC21" s="671">
        <f>+VLOOKUP($A$1,data!$A$261:$AK$291,15)</f>
        <v>190</v>
      </c>
      <c r="AD21" s="671">
        <f>+AA21-Z21</f>
        <v>-78.058139534883765</v>
      </c>
      <c r="AE21" s="684">
        <f>+AC21-AB21</f>
        <v>-82.000000000000057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customHeight="1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6</v>
      </c>
      <c r="W22" s="672">
        <f>+VLOOKUP($A$1,data!$A$229:$AK$259,16)</f>
        <v>9</v>
      </c>
      <c r="X22" s="672">
        <f>+VLOOKUP($A$1,data!$A$229:$AK$259,36)</f>
        <v>12</v>
      </c>
      <c r="Y22" s="672">
        <f>+VLOOKUP($A$1,data!$A$229:$AK$259,17)</f>
        <v>10</v>
      </c>
      <c r="Z22" s="672">
        <f>+VLOOKUP($A$1,data!$A$229:$AK$259,37)</f>
        <v>21</v>
      </c>
      <c r="AA22" s="672">
        <f>+VLOOKUP($A$1,data!$A$229:$AK$259,18)</f>
        <v>11</v>
      </c>
      <c r="AB22" s="672">
        <f>+VLOOKUP($A$1,data!$A$229:$AK$259,34)</f>
        <v>39</v>
      </c>
      <c r="AC22" s="765">
        <f>+VLOOKUP($A$1,data!$A$229:$AK$259,15)</f>
        <v>15</v>
      </c>
      <c r="AD22" s="671">
        <f>+AA22-Z22</f>
        <v>-10</v>
      </c>
      <c r="AE22" s="685">
        <f>+AC22-AB22</f>
        <v>-24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48.984143763213538</v>
      </c>
      <c r="W23" s="689">
        <f t="shared" ref="W23:AC23" si="3">SUM(W21:W22)</f>
        <v>50</v>
      </c>
      <c r="X23" s="689">
        <f t="shared" si="3"/>
        <v>136.76109936575054</v>
      </c>
      <c r="Y23" s="689">
        <f t="shared" si="3"/>
        <v>106</v>
      </c>
      <c r="Z23" s="689">
        <f t="shared" si="3"/>
        <v>235.05813953488376</v>
      </c>
      <c r="AA23" s="689">
        <f t="shared" si="3"/>
        <v>147</v>
      </c>
      <c r="AB23" s="689">
        <f t="shared" si="3"/>
        <v>311.00000000000006</v>
      </c>
      <c r="AC23" s="764">
        <f t="shared" si="3"/>
        <v>205</v>
      </c>
      <c r="AD23" s="689">
        <f>+AA23-Z23</f>
        <v>-88.058139534883765</v>
      </c>
      <c r="AE23" s="686">
        <f>+AC23-AB23</f>
        <v>-106.00000000000006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22</v>
      </c>
      <c r="D39" s="406">
        <f t="shared" ref="D39:N41" si="4">+C39+C18</f>
        <v>41</v>
      </c>
      <c r="E39" s="406">
        <f t="shared" si="4"/>
        <v>61</v>
      </c>
      <c r="F39" s="406">
        <f t="shared" si="4"/>
        <v>84</v>
      </c>
      <c r="G39" s="406">
        <f t="shared" si="4"/>
        <v>122</v>
      </c>
      <c r="H39" s="406">
        <f t="shared" si="4"/>
        <v>169</v>
      </c>
      <c r="I39" s="406">
        <f t="shared" si="4"/>
        <v>182</v>
      </c>
      <c r="J39" s="406">
        <f t="shared" si="4"/>
        <v>232</v>
      </c>
      <c r="K39" s="406">
        <f t="shared" si="4"/>
        <v>328</v>
      </c>
      <c r="L39" s="406">
        <f t="shared" si="4"/>
        <v>354</v>
      </c>
      <c r="M39" s="406">
        <f t="shared" si="4"/>
        <v>407</v>
      </c>
      <c r="N39" s="406">
        <f t="shared" si="4"/>
        <v>419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0.101004</v>
      </c>
      <c r="AL39" s="418">
        <f t="shared" ref="AL39:AV41" si="5">+AK39+AK18</f>
        <v>0.20868999999999999</v>
      </c>
      <c r="AM39" s="418">
        <f t="shared" si="5"/>
        <v>0.31881700000000002</v>
      </c>
      <c r="AN39" s="418">
        <f t="shared" si="5"/>
        <v>0.43210044000000003</v>
      </c>
      <c r="AO39" s="418">
        <f t="shared" si="5"/>
        <v>0.54100508000000003</v>
      </c>
      <c r="AP39" s="418">
        <f t="shared" si="5"/>
        <v>0.65257778</v>
      </c>
      <c r="AQ39" s="418">
        <f t="shared" si="5"/>
        <v>0.78665788000000003</v>
      </c>
      <c r="AR39" s="418">
        <f t="shared" si="5"/>
        <v>0.93973278000000005</v>
      </c>
      <c r="AS39" s="418">
        <f t="shared" si="5"/>
        <v>1.06449898</v>
      </c>
      <c r="AT39" s="418">
        <f t="shared" si="5"/>
        <v>1.17167808</v>
      </c>
      <c r="AU39" s="418">
        <f t="shared" si="5"/>
        <v>1.28035868</v>
      </c>
      <c r="AV39" s="418">
        <f t="shared" si="5"/>
        <v>1.3885089799999999</v>
      </c>
      <c r="AW39" s="158"/>
      <c r="AX39" s="158"/>
      <c r="AY39" s="308" t="s">
        <v>92</v>
      </c>
      <c r="AZ39" s="464">
        <f>+VLOOKUP($A$1,data!$A$133:$BK$163,26)</f>
        <v>26.03203198804842</v>
      </c>
      <c r="BA39" s="464">
        <f>+VLOOKUP($A$1,data!$A$133:$BK$163,27)</f>
        <v>22.461963640551005</v>
      </c>
      <c r="BB39" s="464">
        <f>+VLOOKUP($A$1,data!$A$133:$BK$163,28)</f>
        <v>24.925352784784238</v>
      </c>
      <c r="BC39" s="464">
        <f>+VLOOKUP($A$1,data!$A$133:$BK$163,29)</f>
        <v>24.472567843159549</v>
      </c>
      <c r="BD39" s="464">
        <f>+VLOOKUP($A$1,data!$A$133:$BK$163,30)</f>
        <v>26.451741913702882</v>
      </c>
      <c r="BE39" s="464">
        <f>+VLOOKUP($A$1,data!$A$133:$BK$163,31)</f>
        <v>20.918691690565218</v>
      </c>
      <c r="BF39" s="464">
        <f>+VLOOKUP($A$1,data!$A$133:$BK$163,32)</f>
        <v>31.805508891318823</v>
      </c>
      <c r="BG39" s="464">
        <f>+VLOOKUP($A$1,data!$A$133:$BK$163,33)</f>
        <v>25.629919546241265</v>
      </c>
      <c r="BH39" s="464">
        <f>+VLOOKUP($A$1,data!$A$133:$BK$163,34)</f>
        <v>18.096515072844443</v>
      </c>
      <c r="BI39" s="464">
        <f>+VLOOKUP($A$1,data!$A$133:$BK$163,35)</f>
        <v>11.524114011345736</v>
      </c>
      <c r="BJ39" s="464">
        <f>+VLOOKUP($A$1,data!$A$133:$BK$163,36)</f>
        <v>5.144046678417312</v>
      </c>
      <c r="BK39" s="464">
        <f>+VLOOKUP($A$1,data!$A$133:$BK$163,37)</f>
        <v>20.895343162561087</v>
      </c>
      <c r="BL39" s="464">
        <f>+VLOOKUP($A$1,data!$A$133:$BK$163,38)</f>
        <v>18.224468775035284</v>
      </c>
      <c r="BM39" s="464">
        <f>+VLOOKUP($A$1,data!$A$133:$BK$163,39)</f>
        <v>31.472871149784037</v>
      </c>
      <c r="BN39" s="464">
        <f>+VLOOKUP($A$1,data!$A$133:$BK$163,40)</f>
        <v>28.920034439018615</v>
      </c>
      <c r="BO39" s="464">
        <f>+VLOOKUP($A$1,data!$A$133:$BK$163,41)</f>
        <v>22.320603779494082</v>
      </c>
    </row>
    <row r="40" spans="1:67" ht="21.75" thickBot="1" x14ac:dyDescent="0.4">
      <c r="A40"/>
      <c r="B40" s="408" t="s">
        <v>94</v>
      </c>
      <c r="C40" s="409">
        <f>+B19</f>
        <v>19.067653276955603</v>
      </c>
      <c r="D40" s="409">
        <f t="shared" si="4"/>
        <v>35.834038054968289</v>
      </c>
      <c r="E40" s="409">
        <f t="shared" si="4"/>
        <v>48.984143763213538</v>
      </c>
      <c r="F40" s="409">
        <f t="shared" si="4"/>
        <v>64.764270613107826</v>
      </c>
      <c r="G40" s="409">
        <f t="shared" si="4"/>
        <v>100.26955602536998</v>
      </c>
      <c r="H40" s="409">
        <f t="shared" si="4"/>
        <v>136.76109936575054</v>
      </c>
      <c r="I40" s="409">
        <f t="shared" si="4"/>
        <v>153.85623678646937</v>
      </c>
      <c r="J40" s="409">
        <f t="shared" si="4"/>
        <v>190.34778012684993</v>
      </c>
      <c r="K40" s="409">
        <f t="shared" si="4"/>
        <v>235.05813953488376</v>
      </c>
      <c r="L40" s="409">
        <f t="shared" si="4"/>
        <v>255.44080338266389</v>
      </c>
      <c r="M40" s="409">
        <f t="shared" si="4"/>
        <v>280.42600422832987</v>
      </c>
      <c r="N40" s="409">
        <f t="shared" si="4"/>
        <v>311.00000000000006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0.105</v>
      </c>
      <c r="AL40" s="423">
        <f t="shared" si="5"/>
        <v>0.21643200000000001</v>
      </c>
      <c r="AM40" s="423">
        <f t="shared" si="5"/>
        <v>0.326594</v>
      </c>
      <c r="AN40" s="423">
        <f t="shared" si="5"/>
        <v>0.442436</v>
      </c>
      <c r="AO40" s="423">
        <f t="shared" si="5"/>
        <v>0.55460399999999999</v>
      </c>
      <c r="AP40" s="423">
        <f t="shared" si="5"/>
        <v>0.66965600000000003</v>
      </c>
      <c r="AQ40" s="423">
        <f t="shared" si="5"/>
        <v>0.80572700000000008</v>
      </c>
      <c r="AR40" s="423">
        <f t="shared" si="5"/>
        <v>0.95298500000000008</v>
      </c>
      <c r="AS40" s="423">
        <f t="shared" si="5"/>
        <v>1.081882</v>
      </c>
      <c r="AT40" s="423">
        <f t="shared" si="5"/>
        <v>1.1991259999999999</v>
      </c>
      <c r="AU40" s="423">
        <f t="shared" si="5"/>
        <v>1.316916</v>
      </c>
      <c r="AV40" s="423">
        <f t="shared" si="5"/>
        <v>1.432329</v>
      </c>
      <c r="AW40" s="158"/>
      <c r="AX40" s="158"/>
      <c r="AY40" s="311" t="s">
        <v>94</v>
      </c>
      <c r="AZ40" s="458">
        <f>+VLOOKUP($A$1,data!$A$133:$BK$163,22)</f>
        <v>25.999958668719454</v>
      </c>
      <c r="BA40" s="458">
        <f>+$AZ$40</f>
        <v>25.999958668719454</v>
      </c>
      <c r="BB40" s="458">
        <f t="shared" ref="BB40:BO40" si="6">+$AZ$40</f>
        <v>25.999958668719454</v>
      </c>
      <c r="BC40" s="458">
        <f t="shared" si="6"/>
        <v>25.999958668719454</v>
      </c>
      <c r="BD40" s="458">
        <f t="shared" si="6"/>
        <v>25.999958668719454</v>
      </c>
      <c r="BE40" s="458">
        <f t="shared" si="6"/>
        <v>25.999958668719454</v>
      </c>
      <c r="BF40" s="458">
        <f t="shared" si="6"/>
        <v>25.999958668719454</v>
      </c>
      <c r="BG40" s="458">
        <f t="shared" si="6"/>
        <v>25.999958668719454</v>
      </c>
      <c r="BH40" s="458">
        <f t="shared" si="6"/>
        <v>25.999958668719454</v>
      </c>
      <c r="BI40" s="458">
        <f t="shared" si="6"/>
        <v>25.999958668719454</v>
      </c>
      <c r="BJ40" s="458">
        <f t="shared" si="6"/>
        <v>25.999958668719454</v>
      </c>
      <c r="BK40" s="458">
        <f t="shared" si="6"/>
        <v>25.999958668719454</v>
      </c>
      <c r="BL40" s="458">
        <f t="shared" si="6"/>
        <v>25.999958668719454</v>
      </c>
      <c r="BM40" s="458">
        <f t="shared" si="6"/>
        <v>25.999958668719454</v>
      </c>
      <c r="BN40" s="458">
        <f t="shared" si="6"/>
        <v>25.999958668719454</v>
      </c>
      <c r="BO40" s="458">
        <f t="shared" si="6"/>
        <v>25.999958668719454</v>
      </c>
    </row>
    <row r="41" spans="1:67" ht="21.75" thickBot="1" x14ac:dyDescent="0.4">
      <c r="A41"/>
      <c r="B41" s="413" t="s">
        <v>93</v>
      </c>
      <c r="C41" s="414">
        <f>+B20</f>
        <v>22</v>
      </c>
      <c r="D41" s="414">
        <f t="shared" si="4"/>
        <v>37</v>
      </c>
      <c r="E41" s="414">
        <f t="shared" si="4"/>
        <v>50</v>
      </c>
      <c r="F41" s="414">
        <f t="shared" si="4"/>
        <v>64</v>
      </c>
      <c r="G41" s="414">
        <f t="shared" si="4"/>
        <v>78</v>
      </c>
      <c r="H41" s="414">
        <f t="shared" si="4"/>
        <v>106</v>
      </c>
      <c r="I41" s="414">
        <f t="shared" si="4"/>
        <v>115</v>
      </c>
      <c r="J41" s="414">
        <f t="shared" si="4"/>
        <v>129</v>
      </c>
      <c r="K41" s="414">
        <f t="shared" si="4"/>
        <v>147</v>
      </c>
      <c r="L41" s="414">
        <f t="shared" si="4"/>
        <v>159</v>
      </c>
      <c r="M41" s="414">
        <f t="shared" si="4"/>
        <v>180</v>
      </c>
      <c r="N41" s="414">
        <f t="shared" si="4"/>
        <v>205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0.10399589999999999</v>
      </c>
      <c r="AL41" s="420">
        <f t="shared" si="5"/>
        <v>0.21121429999999997</v>
      </c>
      <c r="AM41" s="420">
        <f t="shared" si="5"/>
        <v>0.31557519999999994</v>
      </c>
      <c r="AN41" s="420">
        <f t="shared" si="5"/>
        <v>0.43482906999999993</v>
      </c>
      <c r="AO41" s="420">
        <f t="shared" si="5"/>
        <v>0.54621099999999989</v>
      </c>
      <c r="AP41" s="420">
        <f t="shared" si="5"/>
        <v>0.66147756999999996</v>
      </c>
      <c r="AQ41" s="420">
        <f t="shared" si="5"/>
        <v>0.79568299999999992</v>
      </c>
      <c r="AR41" s="420">
        <f t="shared" si="5"/>
        <v>0.93529049999999991</v>
      </c>
      <c r="AS41" s="420">
        <f t="shared" si="5"/>
        <v>1.0509474999999999</v>
      </c>
      <c r="AT41" s="420">
        <f t="shared" si="5"/>
        <v>1.1590684999999998</v>
      </c>
      <c r="AU41" s="420">
        <f t="shared" si="5"/>
        <v>1.271156</v>
      </c>
      <c r="AV41" s="420">
        <f t="shared" si="5"/>
        <v>1.3812548</v>
      </c>
      <c r="AW41" s="158"/>
      <c r="AX41" s="158"/>
      <c r="AY41" s="315" t="s">
        <v>93</v>
      </c>
      <c r="AZ41" s="442">
        <f>+VLOOKUP($A$1,data!$A$133:$BK$163,3)</f>
        <v>25.796135395996689</v>
      </c>
      <c r="BA41" s="442">
        <f>+VLOOKUP($A$1,data!$A$133:$BK$163,4)</f>
        <v>30.61534532938272</v>
      </c>
      <c r="BB41" s="442">
        <f>+VLOOKUP($A$1,data!$A$133:$BK$163,5)</f>
        <v>37.407361624889923</v>
      </c>
      <c r="BC41" s="442">
        <f>+VLOOKUP($A$1,data!$A$133:$BK$163,6)</f>
        <v>31.605855354305078</v>
      </c>
      <c r="BD41" s="442">
        <f>+VLOOKUP($A$1,data!$A$133:$BK$163,7)</f>
        <v>30.378038775926264</v>
      </c>
      <c r="BE41" s="442">
        <f>+VLOOKUP($A$1,data!$A$133:$BK$163,8)</f>
        <v>32.496691861889353</v>
      </c>
      <c r="BF41" s="442">
        <f>+VLOOKUP($A$1,data!$A$133:$BK$163,9)</f>
        <v>32.002422194522396</v>
      </c>
      <c r="BG41" s="442">
        <f>+VLOOKUP($A$1,data!$A$133:$BK$163,10)</f>
        <v>31.609892077990942</v>
      </c>
      <c r="BH41" s="442">
        <f>+VLOOKUP($A$1,data!$A$133:$BK$163,11)</f>
        <v>19.589475946512504</v>
      </c>
      <c r="BI41" s="442">
        <f>+VLOOKUP($A$1,data!$A$133:$BK$163,12)</f>
        <v>10.578363573324642</v>
      </c>
      <c r="BJ41" s="442">
        <f>+VLOOKUP($A$1,data!$A$133:$BK$163,13)</f>
        <v>24.100072640332705</v>
      </c>
      <c r="BK41" s="442">
        <f>+VLOOKUP($A$1,data!$A$133:$BK$163,14)</f>
        <v>27.149895268064071</v>
      </c>
      <c r="BL41" s="442">
        <f>+VLOOKUP($A$1,data!$A$133:$BK$163,15)</f>
        <v>26.202770414655792</v>
      </c>
      <c r="BM41" s="442">
        <f>+VLOOKUP($A$1,data!$A$133:$BK$163,16)</f>
        <v>24.97238863415777</v>
      </c>
      <c r="BN41" s="442">
        <f>+VLOOKUP($A$1,data!$A$133:$BK$163,17)</f>
        <v>22.005908063727745</v>
      </c>
      <c r="BO41" s="442">
        <f>+VLOOKUP($A$1,data!$A$133:$BK$163,18)</f>
        <v>26.516697018911522</v>
      </c>
    </row>
    <row r="42" spans="1:67" ht="21.7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22.320603779494082</v>
      </c>
      <c r="BA43" s="826">
        <f>+VLOOKUP($A$1,data!$A$133:$BK$163,26)</f>
        <v>26.03203198804842</v>
      </c>
      <c r="BB43" s="473">
        <f>+AZ45-AZ43</f>
        <v>4.1960932394174399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25.999958668719454</v>
      </c>
      <c r="BA44" s="830"/>
      <c r="BB44" s="472">
        <f>+AZ45-AZ44</f>
        <v>0.51673835019206749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26.516697018911522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1016</v>
      </c>
      <c r="B47" s="817" t="str">
        <f>+VLOOKUP($A$1,data!$A$4:$AH$32,2,0)</f>
        <v>เถิน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1016</v>
      </c>
      <c r="T47" s="817" t="str">
        <f>+VLOOKUP($A$1,data!$A$4:$AH$32,2,0)</f>
        <v>เถิน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1016</v>
      </c>
      <c r="AJ47" s="817" t="str">
        <f>+VLOOKUP($A$1,data!$A$4:$AH$32,2,0)</f>
        <v>เถิน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1.8968176500000005</v>
      </c>
      <c r="C64" s="632">
        <f>+VLOOKUP($A$1,data!$A$165:$AU$195,36)</f>
        <v>1.9957034199999999</v>
      </c>
      <c r="D64" s="632">
        <f>+VLOOKUP($A$1,data!$A$165:$AU$195,37)</f>
        <v>2.07742827</v>
      </c>
      <c r="E64" s="632">
        <f>+VLOOKUP($A$1,data!$A$165:$AU$195,38)</f>
        <v>2.1144024899999998</v>
      </c>
      <c r="F64" s="632">
        <f>+VLOOKUP($A$1,data!$A$165:$AU$195,39)</f>
        <v>2.0457638400000002</v>
      </c>
      <c r="G64" s="632">
        <f>+VLOOKUP($A$1,data!$A$165:$AU$195,40)</f>
        <v>2.0827561999999995</v>
      </c>
      <c r="H64" s="632">
        <f>+VLOOKUP($A$1,data!$A$165:$AU$195,41)</f>
        <v>2.4905568900000001</v>
      </c>
      <c r="I64" s="632">
        <f>+VLOOKUP($A$1,data!$A$165:$AU$195,42)</f>
        <v>2.9521928100000001</v>
      </c>
      <c r="J64" s="632">
        <f>+VLOOKUP($A$1,data!$A$165:$AU$195,43)</f>
        <v>2.5384037300000002</v>
      </c>
      <c r="K64" s="632">
        <f>+VLOOKUP($A$1,data!$A$165:$AU$195,44)</f>
        <v>1.9994338200000001</v>
      </c>
      <c r="L64" s="632">
        <f>+VLOOKUP($A$1,data!$A$165:$AU$195,45)</f>
        <v>1.9955393400000001</v>
      </c>
      <c r="M64" s="632">
        <f>+VLOOKUP($A$1,data!$A$165:$AU$195,46)</f>
        <v>1.9777245400000001</v>
      </c>
      <c r="N64" s="632">
        <f>SUM(B64:M64)</f>
        <v>26.166722999999998</v>
      </c>
      <c r="O64" s="632">
        <f>SUM(B64:M64)</f>
        <v>26.166722999999998</v>
      </c>
      <c r="P64" s="635">
        <f>+O66-O64</f>
        <v>-0.41984629999999612</v>
      </c>
      <c r="S64" s="605" t="s">
        <v>92</v>
      </c>
      <c r="T64" s="640">
        <f>+VLOOKUP($A$1,data!$A$197:$AU$227,35)</f>
        <v>1.0967441200000001</v>
      </c>
      <c r="U64" s="640">
        <f>+VLOOKUP($A$1,data!$A$197:$AU$227,36)</f>
        <v>1.1102032300000002</v>
      </c>
      <c r="V64" s="640">
        <f>+VLOOKUP($A$1,data!$A$197:$AU$227,37)</f>
        <v>1.09335296</v>
      </c>
      <c r="W64" s="640">
        <f>+VLOOKUP($A$1,data!$A$197:$AU$227,38)</f>
        <v>1.0474893599999999</v>
      </c>
      <c r="X64" s="640">
        <f>+VLOOKUP($A$1,data!$A$197:$AU$227,39)</f>
        <v>1.0789290600000001</v>
      </c>
      <c r="Y64" s="640">
        <f>+VLOOKUP($A$1,data!$A$197:$AU$227,40)</f>
        <v>1.1028766799999996</v>
      </c>
      <c r="Z64" s="640">
        <f>+VLOOKUP($A$1,data!$A$197:$AU$227,41)</f>
        <v>1.16071934</v>
      </c>
      <c r="AA64" s="640">
        <f>+VLOOKUP($A$1,data!$A$197:$AU$227,42)</f>
        <v>1.2826652199999999</v>
      </c>
      <c r="AB64" s="640">
        <f>+VLOOKUP($A$1,data!$A$197:$AU$227,43)</f>
        <v>1.11657535</v>
      </c>
      <c r="AC64" s="640">
        <f>+VLOOKUP($A$1,data!$A$197:$AU$227,44)</f>
        <v>1.0383519299999999</v>
      </c>
      <c r="AD64" s="640">
        <f>+VLOOKUP($A$1,data!$A$197:$AU$227,45)</f>
        <v>1.0549814100000001</v>
      </c>
      <c r="AE64" s="640">
        <f>+VLOOKUP($A$1,data!$A$197:$AU$227,46)</f>
        <v>1.4119873100000002</v>
      </c>
      <c r="AF64" s="640">
        <f>SUM(T64:AE64)</f>
        <v>13.594875969999999</v>
      </c>
      <c r="AG64" s="640">
        <f>SUM(T64:AE64)</f>
        <v>13.594875969999999</v>
      </c>
      <c r="AH64" s="641">
        <f>+AG66-AG64</f>
        <v>-0.10236786999999659</v>
      </c>
      <c r="AI64" s="621" t="s">
        <v>92</v>
      </c>
      <c r="AJ64" s="648">
        <f>+B64-T64</f>
        <v>0.80007353000000037</v>
      </c>
      <c r="AK64" s="648">
        <f t="shared" ref="AK64:AU66" si="7">+C64-U64</f>
        <v>0.88550018999999969</v>
      </c>
      <c r="AL64" s="648">
        <f t="shared" si="7"/>
        <v>0.98407530999999993</v>
      </c>
      <c r="AM64" s="648">
        <f t="shared" si="7"/>
        <v>1.0669131299999999</v>
      </c>
      <c r="AN64" s="648">
        <f t="shared" si="7"/>
        <v>0.96683478000000012</v>
      </c>
      <c r="AO64" s="648">
        <f t="shared" si="7"/>
        <v>0.97987951999999989</v>
      </c>
      <c r="AP64" s="648">
        <f t="shared" si="7"/>
        <v>1.3298375500000001</v>
      </c>
      <c r="AQ64" s="648">
        <f t="shared" si="7"/>
        <v>1.6695275900000002</v>
      </c>
      <c r="AR64" s="648">
        <f t="shared" si="7"/>
        <v>1.4218283800000002</v>
      </c>
      <c r="AS64" s="648">
        <f t="shared" si="7"/>
        <v>0.96108189000000022</v>
      </c>
      <c r="AT64" s="648">
        <f t="shared" si="7"/>
        <v>0.94055792999999999</v>
      </c>
      <c r="AU64" s="648">
        <f t="shared" si="7"/>
        <v>0.56573722999999987</v>
      </c>
      <c r="AV64" s="648">
        <f>SUM(AJ64:AU64)</f>
        <v>12.571847030000002</v>
      </c>
      <c r="AW64" s="648">
        <f>SUM(AJ64:AU64)</f>
        <v>12.571847030000002</v>
      </c>
      <c r="AX64" s="651">
        <f>+AW66-AW64</f>
        <v>-0.31747843000000309</v>
      </c>
    </row>
    <row r="65" spans="1:50" ht="21.75" thickBot="1" x14ac:dyDescent="0.4">
      <c r="A65" s="538" t="s">
        <v>94</v>
      </c>
      <c r="B65" s="633">
        <f>+VLOOKUP($A$1,data!$A$165:$AU$195,19)</f>
        <v>1.9691510000000001</v>
      </c>
      <c r="C65" s="633">
        <f>+VLOOKUP($A$1,data!$A$165:$AU$195,20)</f>
        <v>2.072225</v>
      </c>
      <c r="D65" s="633">
        <f>+VLOOKUP($A$1,data!$A$165:$AU$195,21)</f>
        <v>2.062211</v>
      </c>
      <c r="E65" s="633">
        <f>+VLOOKUP($A$1,data!$A$165:$AU$195,22)</f>
        <v>2.1425239999999999</v>
      </c>
      <c r="F65" s="633">
        <f>+VLOOKUP($A$1,data!$A$165:$AU$195,23)</f>
        <v>2.1056119999999998</v>
      </c>
      <c r="G65" s="633">
        <f>+VLOOKUP($A$1,data!$A$165:$AU$195,24)</f>
        <v>2.146102</v>
      </c>
      <c r="H65" s="633">
        <f>+VLOOKUP($A$1,data!$A$165:$AU$195,25)</f>
        <v>2.5167459999999999</v>
      </c>
      <c r="I65" s="633">
        <f>+VLOOKUP($A$1,data!$A$165:$AU$195,26)</f>
        <v>2.7251319999999999</v>
      </c>
      <c r="J65" s="633">
        <f>+VLOOKUP($A$1,data!$A$165:$AU$195,27)</f>
        <v>2.4519690000000001</v>
      </c>
      <c r="K65" s="633">
        <f>+VLOOKUP($A$1,data!$A$165:$AU$195,28)</f>
        <v>2.15625</v>
      </c>
      <c r="L65" s="633">
        <f>+VLOOKUP($A$1,data!$A$165:$AU$195,29)</f>
        <v>2.147011</v>
      </c>
      <c r="M65" s="633">
        <f>+VLOOKUP($A$1,data!$A$165:$AU$195,30)</f>
        <v>2.1299199999999998</v>
      </c>
      <c r="N65" s="633">
        <f>SUM(B65:M65)</f>
        <v>26.624852999999995</v>
      </c>
      <c r="O65" s="636">
        <f t="shared" ref="O65:O66" si="8">SUM(B65:M65)</f>
        <v>26.624852999999995</v>
      </c>
      <c r="P65" s="637">
        <f>+O66-O65</f>
        <v>-0.87797629999999316</v>
      </c>
      <c r="S65" s="601" t="s">
        <v>94</v>
      </c>
      <c r="T65" s="642">
        <f>+VLOOKUP($A$1,data!$A$197:$AU$227,19)</f>
        <v>1.084878</v>
      </c>
      <c r="U65" s="642">
        <f>+VLOOKUP($A$1,data!$A$197:$AU$227,20)</f>
        <v>1.149176</v>
      </c>
      <c r="V65" s="642">
        <f>+VLOOKUP($A$1,data!$A$197:$AU$227,21)</f>
        <v>1.08975</v>
      </c>
      <c r="W65" s="642">
        <f>+VLOOKUP($A$1,data!$A$197:$AU$227,22)</f>
        <v>1.0658129999999999</v>
      </c>
      <c r="X65" s="642">
        <f>+VLOOKUP($A$1,data!$A$197:$AU$227,23)</f>
        <v>1.1531309999999999</v>
      </c>
      <c r="Y65" s="642">
        <f>+VLOOKUP($A$1,data!$A$197:$AU$227,24)</f>
        <v>1.149054</v>
      </c>
      <c r="Z65" s="642">
        <f>+VLOOKUP($A$1,data!$A$197:$AU$227,25)</f>
        <v>1.1398459999999999</v>
      </c>
      <c r="AA65" s="642">
        <f>+VLOOKUP($A$1,data!$A$197:$AU$227,26)</f>
        <v>1.284006</v>
      </c>
      <c r="AB65" s="642">
        <f>+VLOOKUP($A$1,data!$A$197:$AU$227,27)</f>
        <v>1.177611</v>
      </c>
      <c r="AC65" s="642">
        <f>+VLOOKUP($A$1,data!$A$197:$AU$227,28)</f>
        <v>1.1238459999999999</v>
      </c>
      <c r="AD65" s="642">
        <f>+VLOOKUP($A$1,data!$A$197:$AU$227,29)</f>
        <v>1.12768</v>
      </c>
      <c r="AE65" s="642">
        <f>+VLOOKUP($A$1,data!$A$197:$AU$227,30)</f>
        <v>1.3476919999999999</v>
      </c>
      <c r="AF65" s="642">
        <f>SUM(T65:AE65)</f>
        <v>13.892483</v>
      </c>
      <c r="AG65" s="643">
        <f t="shared" ref="AG65:AG66" si="9">SUM(T65:AE65)</f>
        <v>13.892483</v>
      </c>
      <c r="AH65" s="644">
        <f>+AG66-AG65</f>
        <v>-0.39997489999999836</v>
      </c>
      <c r="AI65" s="617" t="s">
        <v>94</v>
      </c>
      <c r="AJ65" s="649">
        <f>+B65-T65</f>
        <v>0.88427300000000009</v>
      </c>
      <c r="AK65" s="649">
        <f t="shared" si="7"/>
        <v>0.92304900000000001</v>
      </c>
      <c r="AL65" s="649">
        <f t="shared" si="7"/>
        <v>0.97246100000000002</v>
      </c>
      <c r="AM65" s="649">
        <f t="shared" si="7"/>
        <v>1.076711</v>
      </c>
      <c r="AN65" s="649">
        <f t="shared" si="7"/>
        <v>0.95248099999999991</v>
      </c>
      <c r="AO65" s="649">
        <f t="shared" si="7"/>
        <v>0.99704799999999993</v>
      </c>
      <c r="AP65" s="649">
        <f t="shared" si="7"/>
        <v>1.3769</v>
      </c>
      <c r="AQ65" s="649">
        <f t="shared" si="7"/>
        <v>1.4411259999999999</v>
      </c>
      <c r="AR65" s="649">
        <f t="shared" si="7"/>
        <v>1.2743580000000001</v>
      </c>
      <c r="AS65" s="649">
        <f t="shared" si="7"/>
        <v>1.0324040000000001</v>
      </c>
      <c r="AT65" s="649">
        <f t="shared" si="7"/>
        <v>1.019331</v>
      </c>
      <c r="AU65" s="649">
        <f t="shared" si="7"/>
        <v>0.78222799999999992</v>
      </c>
      <c r="AV65" s="649">
        <f>SUM(AJ65:AU65)</f>
        <v>12.732369999999998</v>
      </c>
      <c r="AW65" s="652">
        <f t="shared" ref="AW65:AW66" si="10">SUM(AJ65:AU65)</f>
        <v>12.732369999999998</v>
      </c>
      <c r="AX65" s="653">
        <f>+AW66-AW65</f>
        <v>-0.47800139999999836</v>
      </c>
    </row>
    <row r="66" spans="1:50" ht="21.75" thickBot="1" x14ac:dyDescent="0.4">
      <c r="A66" s="546" t="s">
        <v>93</v>
      </c>
      <c r="B66" s="634">
        <f>+VLOOKUP($A$1,data!$A$165:$AU$195,3)</f>
        <v>1.95334312</v>
      </c>
      <c r="C66" s="634">
        <f>+VLOOKUP($A$1,data!$A$165:$AU$195,4)</f>
        <v>2.0001511500000002</v>
      </c>
      <c r="D66" s="634">
        <f>+VLOOKUP($A$1,data!$A$165:$AU$195,5)</f>
        <v>1.9573718499999997</v>
      </c>
      <c r="E66" s="634">
        <f>+VLOOKUP($A$1,data!$A$165:$AU$195,6)</f>
        <v>2.2275514599999999</v>
      </c>
      <c r="F66" s="634">
        <f>+VLOOKUP($A$1,data!$A$165:$AU$195,7)</f>
        <v>2.09079324</v>
      </c>
      <c r="G66" s="634">
        <f>+VLOOKUP($A$1,data!$A$165:$AU$195,8)</f>
        <v>2.1596150599999997</v>
      </c>
      <c r="H66" s="634">
        <f>+VLOOKUP($A$1,data!$A$165:$AU$195,9)</f>
        <v>2.4720786400000008</v>
      </c>
      <c r="I66" s="634">
        <f>+VLOOKUP($A$1,data!$A$165:$AU$195,10)</f>
        <v>2.5599887099999998</v>
      </c>
      <c r="J66" s="634">
        <f>+VLOOKUP($A$1,data!$A$165:$AU$195,11)</f>
        <v>2.1720234500000002</v>
      </c>
      <c r="K66" s="634">
        <f>+VLOOKUP($A$1,data!$A$165:$AU$195,12)</f>
        <v>2.0167714000000001</v>
      </c>
      <c r="L66" s="634">
        <f>+VLOOKUP($A$1,data!$A$165:$AU$195,13)</f>
        <v>2.0818417200000003</v>
      </c>
      <c r="M66" s="634">
        <f>+VLOOKUP($A$1,data!$A$165:$AU$195,14)</f>
        <v>2.0553469</v>
      </c>
      <c r="N66" s="634">
        <f>SUM(B66:M66)</f>
        <v>25.746876700000001</v>
      </c>
      <c r="O66" s="638">
        <f t="shared" si="8"/>
        <v>25.746876700000001</v>
      </c>
      <c r="P66" s="639"/>
      <c r="S66" s="608" t="s">
        <v>93</v>
      </c>
      <c r="T66" s="645">
        <f>+VLOOKUP($A$1,data!$A$197:$AU$227,3)</f>
        <v>0.95618148999999997</v>
      </c>
      <c r="U66" s="645">
        <f>+VLOOKUP($A$1,data!$A$197:$AU$227,4)</f>
        <v>0.98153317000000018</v>
      </c>
      <c r="V66" s="645">
        <f>+VLOOKUP($A$1,data!$A$197:$AU$227,5)</f>
        <v>1.27315326</v>
      </c>
      <c r="W66" s="645">
        <f>+VLOOKUP($A$1,data!$A$197:$AU$227,6)</f>
        <v>1.2946153200000001</v>
      </c>
      <c r="X66" s="645">
        <f>+VLOOKUP($A$1,data!$A$197:$AU$227,7)</f>
        <v>1.0229925500000001</v>
      </c>
      <c r="Y66" s="645">
        <f>+VLOOKUP($A$1,data!$A$197:$AU$227,8)</f>
        <v>1.1920711399999999</v>
      </c>
      <c r="Z66" s="645">
        <f>+VLOOKUP($A$1,data!$A$197:$AU$227,9)</f>
        <v>1.0766158300000002</v>
      </c>
      <c r="AA66" s="645">
        <f>+VLOOKUP($A$1,data!$A$197:$AU$227,10)</f>
        <v>1.10126919</v>
      </c>
      <c r="AB66" s="645">
        <f>+VLOOKUP($A$1,data!$A$197:$AU$227,11)</f>
        <v>1.0603984000000002</v>
      </c>
      <c r="AC66" s="645">
        <f>+VLOOKUP($A$1,data!$A$197:$AU$227,12)</f>
        <v>1.0035259600000004</v>
      </c>
      <c r="AD66" s="645">
        <f>+VLOOKUP($A$1,data!$A$197:$AU$227,13)</f>
        <v>1.1397303699999999</v>
      </c>
      <c r="AE66" s="645">
        <f>+VLOOKUP($A$1,data!$A$197:$AU$227,14)</f>
        <v>1.39042142</v>
      </c>
      <c r="AF66" s="645">
        <f>SUM(T66:AE66)</f>
        <v>13.492508100000002</v>
      </c>
      <c r="AG66" s="646">
        <f t="shared" si="9"/>
        <v>13.492508100000002</v>
      </c>
      <c r="AH66" s="647"/>
      <c r="AI66" s="624" t="s">
        <v>93</v>
      </c>
      <c r="AJ66" s="650">
        <f>+B66-T66</f>
        <v>0.99716163000000002</v>
      </c>
      <c r="AK66" s="650">
        <f t="shared" si="7"/>
        <v>1.0186179800000001</v>
      </c>
      <c r="AL66" s="650">
        <f t="shared" si="7"/>
        <v>0.68421858999999974</v>
      </c>
      <c r="AM66" s="650">
        <f t="shared" si="7"/>
        <v>0.9329361399999998</v>
      </c>
      <c r="AN66" s="650">
        <f t="shared" si="7"/>
        <v>1.0678006899999999</v>
      </c>
      <c r="AO66" s="650">
        <f t="shared" si="7"/>
        <v>0.96754391999999978</v>
      </c>
      <c r="AP66" s="650">
        <f t="shared" si="7"/>
        <v>1.3954628100000006</v>
      </c>
      <c r="AQ66" s="650">
        <f t="shared" si="7"/>
        <v>1.4587195199999998</v>
      </c>
      <c r="AR66" s="650">
        <f t="shared" si="7"/>
        <v>1.11162505</v>
      </c>
      <c r="AS66" s="650">
        <f>+K66-AC66</f>
        <v>1.0132454399999997</v>
      </c>
      <c r="AT66" s="650">
        <f>+L66-AD66</f>
        <v>0.94211135000000046</v>
      </c>
      <c r="AU66" s="650">
        <f>+M66-AE66</f>
        <v>0.66492547999999996</v>
      </c>
      <c r="AV66" s="650">
        <f>SUM(AJ66:AU66)</f>
        <v>12.254368599999999</v>
      </c>
      <c r="AW66" s="654">
        <f t="shared" si="10"/>
        <v>12.254368599999999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1.8968176500000005</v>
      </c>
      <c r="D85" s="628">
        <f t="shared" ref="D85:N87" si="11">+C85+C64</f>
        <v>3.8925210700000004</v>
      </c>
      <c r="E85" s="628">
        <f t="shared" si="11"/>
        <v>5.9699493400000003</v>
      </c>
      <c r="F85" s="628">
        <f t="shared" si="11"/>
        <v>8.0843518299999992</v>
      </c>
      <c r="G85" s="628">
        <f t="shared" si="11"/>
        <v>10.130115669999999</v>
      </c>
      <c r="H85" s="628">
        <f t="shared" si="11"/>
        <v>12.212871869999997</v>
      </c>
      <c r="I85" s="628">
        <f t="shared" si="11"/>
        <v>14.703428759999998</v>
      </c>
      <c r="J85" s="628">
        <f t="shared" si="11"/>
        <v>17.655621569999997</v>
      </c>
      <c r="K85" s="628">
        <f t="shared" si="11"/>
        <v>20.194025299999996</v>
      </c>
      <c r="L85" s="628">
        <f t="shared" si="11"/>
        <v>22.193459119999996</v>
      </c>
      <c r="M85" s="628">
        <f t="shared" si="11"/>
        <v>24.188998459999997</v>
      </c>
      <c r="N85" s="628">
        <f t="shared" si="11"/>
        <v>26.166722999999998</v>
      </c>
      <c r="S85"/>
      <c r="T85" s="605" t="s">
        <v>92</v>
      </c>
      <c r="U85" s="640">
        <f>+T64</f>
        <v>1.0967441200000001</v>
      </c>
      <c r="V85" s="640">
        <f t="shared" ref="V85:AF87" si="12">+U85+U64</f>
        <v>2.2069473500000001</v>
      </c>
      <c r="W85" s="640">
        <f t="shared" si="12"/>
        <v>3.3003003099999999</v>
      </c>
      <c r="X85" s="640">
        <f t="shared" si="12"/>
        <v>4.3477896700000001</v>
      </c>
      <c r="Y85" s="640">
        <f t="shared" si="12"/>
        <v>5.4267187300000002</v>
      </c>
      <c r="Z85" s="640">
        <f t="shared" si="12"/>
        <v>6.5295954099999998</v>
      </c>
      <c r="AA85" s="640">
        <f t="shared" si="12"/>
        <v>7.6903147499999998</v>
      </c>
      <c r="AB85" s="640">
        <f t="shared" si="12"/>
        <v>8.972979969999999</v>
      </c>
      <c r="AC85" s="640">
        <f t="shared" si="12"/>
        <v>10.089555319999999</v>
      </c>
      <c r="AD85" s="640">
        <f t="shared" si="12"/>
        <v>11.127907249999998</v>
      </c>
      <c r="AE85" s="640">
        <f t="shared" si="12"/>
        <v>12.182888659999998</v>
      </c>
      <c r="AF85" s="640">
        <f t="shared" si="12"/>
        <v>13.594875969999999</v>
      </c>
      <c r="AG85" s="158"/>
      <c r="AH85" s="158"/>
      <c r="AI85"/>
      <c r="AJ85" s="621" t="s">
        <v>92</v>
      </c>
      <c r="AK85" s="648">
        <f>+AJ64</f>
        <v>0.80007353000000037</v>
      </c>
      <c r="AL85" s="648">
        <f t="shared" ref="AL85:AV87" si="13">+AK85+AK64</f>
        <v>1.6855737200000001</v>
      </c>
      <c r="AM85" s="648">
        <f t="shared" si="13"/>
        <v>2.66964903</v>
      </c>
      <c r="AN85" s="648">
        <f t="shared" si="13"/>
        <v>3.7365621600000001</v>
      </c>
      <c r="AO85" s="648">
        <f t="shared" si="13"/>
        <v>4.7033969400000002</v>
      </c>
      <c r="AP85" s="648">
        <f t="shared" si="13"/>
        <v>5.6832764600000001</v>
      </c>
      <c r="AQ85" s="648">
        <f t="shared" si="13"/>
        <v>7.0131140100000007</v>
      </c>
      <c r="AR85" s="648">
        <f t="shared" si="13"/>
        <v>8.6826416000000002</v>
      </c>
      <c r="AS85" s="648">
        <f t="shared" si="13"/>
        <v>10.104469980000001</v>
      </c>
      <c r="AT85" s="648">
        <f t="shared" si="13"/>
        <v>11.065551870000002</v>
      </c>
      <c r="AU85" s="648">
        <f t="shared" si="13"/>
        <v>12.006109800000003</v>
      </c>
      <c r="AV85" s="648">
        <f t="shared" si="13"/>
        <v>12.571847030000002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1.9691510000000001</v>
      </c>
      <c r="D86" s="633">
        <f t="shared" si="11"/>
        <v>4.0413759999999996</v>
      </c>
      <c r="E86" s="633">
        <f t="shared" si="11"/>
        <v>6.1035869999999992</v>
      </c>
      <c r="F86" s="633">
        <f t="shared" si="11"/>
        <v>8.2461109999999991</v>
      </c>
      <c r="G86" s="633">
        <f t="shared" si="11"/>
        <v>10.351723</v>
      </c>
      <c r="H86" s="633">
        <f t="shared" si="11"/>
        <v>12.497824999999999</v>
      </c>
      <c r="I86" s="633">
        <f t="shared" si="11"/>
        <v>15.014570999999998</v>
      </c>
      <c r="J86" s="633">
        <f t="shared" si="11"/>
        <v>17.739702999999999</v>
      </c>
      <c r="K86" s="633">
        <f t="shared" si="11"/>
        <v>20.191671999999997</v>
      </c>
      <c r="L86" s="633">
        <f t="shared" si="11"/>
        <v>22.347921999999997</v>
      </c>
      <c r="M86" s="633">
        <f t="shared" si="11"/>
        <v>24.494932999999996</v>
      </c>
      <c r="N86" s="633">
        <f t="shared" si="11"/>
        <v>26.624852999999995</v>
      </c>
      <c r="S86"/>
      <c r="T86" s="601" t="s">
        <v>94</v>
      </c>
      <c r="U86" s="642">
        <f>+T65</f>
        <v>1.084878</v>
      </c>
      <c r="V86" s="642">
        <f t="shared" si="12"/>
        <v>2.234054</v>
      </c>
      <c r="W86" s="642">
        <f t="shared" si="12"/>
        <v>3.323804</v>
      </c>
      <c r="X86" s="642">
        <f t="shared" si="12"/>
        <v>4.3896169999999994</v>
      </c>
      <c r="Y86" s="642">
        <f t="shared" si="12"/>
        <v>5.5427479999999996</v>
      </c>
      <c r="Z86" s="642">
        <f t="shared" si="12"/>
        <v>6.6918019999999991</v>
      </c>
      <c r="AA86" s="642">
        <f t="shared" si="12"/>
        <v>7.8316479999999995</v>
      </c>
      <c r="AB86" s="642">
        <f t="shared" si="12"/>
        <v>9.1156539999999993</v>
      </c>
      <c r="AC86" s="642">
        <f t="shared" si="12"/>
        <v>10.293265</v>
      </c>
      <c r="AD86" s="642">
        <f t="shared" si="12"/>
        <v>11.417111</v>
      </c>
      <c r="AE86" s="642">
        <f t="shared" si="12"/>
        <v>12.544791</v>
      </c>
      <c r="AF86" s="642">
        <f t="shared" si="12"/>
        <v>13.892483</v>
      </c>
      <c r="AG86" s="158"/>
      <c r="AH86" s="158"/>
      <c r="AI86"/>
      <c r="AJ86" s="617" t="s">
        <v>94</v>
      </c>
      <c r="AK86" s="649">
        <f>+AJ65</f>
        <v>0.88427300000000009</v>
      </c>
      <c r="AL86" s="649">
        <f t="shared" si="13"/>
        <v>1.8073220000000001</v>
      </c>
      <c r="AM86" s="649">
        <f t="shared" si="13"/>
        <v>2.7797830000000001</v>
      </c>
      <c r="AN86" s="649">
        <f t="shared" si="13"/>
        <v>3.8564940000000001</v>
      </c>
      <c r="AO86" s="649">
        <f t="shared" si="13"/>
        <v>4.8089750000000002</v>
      </c>
      <c r="AP86" s="649">
        <f t="shared" si="13"/>
        <v>5.8060229999999997</v>
      </c>
      <c r="AQ86" s="649">
        <f t="shared" si="13"/>
        <v>7.1829229999999997</v>
      </c>
      <c r="AR86" s="649">
        <f t="shared" si="13"/>
        <v>8.6240489999999994</v>
      </c>
      <c r="AS86" s="649">
        <f t="shared" si="13"/>
        <v>9.8984069999999988</v>
      </c>
      <c r="AT86" s="649">
        <f t="shared" si="13"/>
        <v>10.930810999999999</v>
      </c>
      <c r="AU86" s="649">
        <f t="shared" si="13"/>
        <v>11.950141999999998</v>
      </c>
      <c r="AV86" s="649">
        <f t="shared" si="13"/>
        <v>12.732369999999998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1.95334312</v>
      </c>
      <c r="D87" s="629">
        <f t="shared" si="11"/>
        <v>3.9534942700000002</v>
      </c>
      <c r="E87" s="629">
        <f t="shared" si="11"/>
        <v>5.9108661199999997</v>
      </c>
      <c r="F87" s="629">
        <f t="shared" si="11"/>
        <v>8.1384175799999987</v>
      </c>
      <c r="G87" s="629">
        <f t="shared" si="11"/>
        <v>10.229210819999999</v>
      </c>
      <c r="H87" s="629">
        <f t="shared" si="11"/>
        <v>12.388825879999999</v>
      </c>
      <c r="I87" s="629">
        <f t="shared" si="11"/>
        <v>14.86090452</v>
      </c>
      <c r="J87" s="629">
        <f t="shared" si="11"/>
        <v>17.420893230000001</v>
      </c>
      <c r="K87" s="629">
        <f t="shared" si="11"/>
        <v>19.592916680000002</v>
      </c>
      <c r="L87" s="629">
        <f t="shared" si="11"/>
        <v>21.609688080000002</v>
      </c>
      <c r="M87" s="629">
        <f t="shared" si="11"/>
        <v>23.691529800000001</v>
      </c>
      <c r="N87" s="629">
        <f t="shared" si="11"/>
        <v>25.746876700000001</v>
      </c>
      <c r="S87"/>
      <c r="T87" s="608" t="s">
        <v>93</v>
      </c>
      <c r="U87" s="645">
        <f>+T66</f>
        <v>0.95618148999999997</v>
      </c>
      <c r="V87" s="645">
        <f t="shared" si="12"/>
        <v>1.9377146600000001</v>
      </c>
      <c r="W87" s="645">
        <f t="shared" si="12"/>
        <v>3.2108679200000001</v>
      </c>
      <c r="X87" s="645">
        <f t="shared" si="12"/>
        <v>4.5054832400000002</v>
      </c>
      <c r="Y87" s="645">
        <f t="shared" si="12"/>
        <v>5.5284757899999999</v>
      </c>
      <c r="Z87" s="645">
        <f t="shared" si="12"/>
        <v>6.7205469299999994</v>
      </c>
      <c r="AA87" s="645">
        <f t="shared" si="12"/>
        <v>7.7971627599999991</v>
      </c>
      <c r="AB87" s="645">
        <f t="shared" si="12"/>
        <v>8.8984319499999991</v>
      </c>
      <c r="AC87" s="645">
        <f t="shared" si="12"/>
        <v>9.9588303499999995</v>
      </c>
      <c r="AD87" s="645">
        <f t="shared" si="12"/>
        <v>10.962356310000001</v>
      </c>
      <c r="AE87" s="645">
        <f t="shared" si="12"/>
        <v>12.102086680000001</v>
      </c>
      <c r="AF87" s="645">
        <f t="shared" si="12"/>
        <v>13.492508100000002</v>
      </c>
      <c r="AG87" s="158"/>
      <c r="AH87" s="158"/>
      <c r="AI87"/>
      <c r="AJ87" s="624" t="s">
        <v>93</v>
      </c>
      <c r="AK87" s="650">
        <f>+AJ66</f>
        <v>0.99716163000000002</v>
      </c>
      <c r="AL87" s="650">
        <f t="shared" si="13"/>
        <v>2.0157796100000001</v>
      </c>
      <c r="AM87" s="650">
        <f t="shared" si="13"/>
        <v>2.6999981999999996</v>
      </c>
      <c r="AN87" s="650">
        <f t="shared" si="13"/>
        <v>3.6329343399999994</v>
      </c>
      <c r="AO87" s="650">
        <f t="shared" si="13"/>
        <v>4.7007350299999988</v>
      </c>
      <c r="AP87" s="650">
        <f t="shared" si="13"/>
        <v>5.6682789499999986</v>
      </c>
      <c r="AQ87" s="650">
        <f t="shared" si="13"/>
        <v>7.0637417599999992</v>
      </c>
      <c r="AR87" s="650">
        <f t="shared" si="13"/>
        <v>8.5224612799999981</v>
      </c>
      <c r="AS87" s="650">
        <f t="shared" si="13"/>
        <v>9.6340863299999988</v>
      </c>
      <c r="AT87" s="650">
        <f t="shared" si="13"/>
        <v>10.647331769999999</v>
      </c>
      <c r="AU87" s="650">
        <f t="shared" si="13"/>
        <v>11.58944312</v>
      </c>
      <c r="AV87" s="650">
        <f t="shared" si="13"/>
        <v>12.254368599999999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212" priority="15" operator="lessThan">
      <formula>0</formula>
    </cfRule>
  </conditionalFormatting>
  <conditionalFormatting sqref="O41">
    <cfRule type="cellIs" dxfId="211" priority="14" operator="lessThan">
      <formula>0</formula>
    </cfRule>
  </conditionalFormatting>
  <conditionalFormatting sqref="AX18:AX22">
    <cfRule type="cellIs" dxfId="210" priority="13" operator="lessThan">
      <formula>0</formula>
    </cfRule>
  </conditionalFormatting>
  <conditionalFormatting sqref="BN21:BN22">
    <cfRule type="cellIs" dxfId="209" priority="12" operator="lessThan">
      <formula>0</formula>
    </cfRule>
  </conditionalFormatting>
  <conditionalFormatting sqref="BB43:BB46">
    <cfRule type="cellIs" dxfId="208" priority="11" operator="greaterThan">
      <formula>0</formula>
    </cfRule>
  </conditionalFormatting>
  <conditionalFormatting sqref="AX18:AX20">
    <cfRule type="cellIs" dxfId="207" priority="10" operator="lessThan">
      <formula>0</formula>
    </cfRule>
  </conditionalFormatting>
  <conditionalFormatting sqref="BN18:BN20">
    <cfRule type="cellIs" dxfId="206" priority="9" operator="greaterThan">
      <formula>0</formula>
    </cfRule>
  </conditionalFormatting>
  <conditionalFormatting sqref="P18:P20">
    <cfRule type="cellIs" dxfId="205" priority="8" operator="lessThan">
      <formula>0</formula>
    </cfRule>
  </conditionalFormatting>
  <conditionalFormatting sqref="P67:P68">
    <cfRule type="cellIs" dxfId="204" priority="7" operator="lessThan">
      <formula>0</formula>
    </cfRule>
  </conditionalFormatting>
  <conditionalFormatting sqref="P64:P66">
    <cfRule type="cellIs" dxfId="203" priority="6" operator="lessThan">
      <formula>0</formula>
    </cfRule>
  </conditionalFormatting>
  <conditionalFormatting sqref="AH67:AH68">
    <cfRule type="cellIs" dxfId="202" priority="5" operator="lessThan">
      <formula>0</formula>
    </cfRule>
  </conditionalFormatting>
  <conditionalFormatting sqref="AH64:AH66">
    <cfRule type="cellIs" dxfId="201" priority="4" operator="greaterThan">
      <formula>0</formula>
    </cfRule>
  </conditionalFormatting>
  <conditionalFormatting sqref="AX67:AX68">
    <cfRule type="cellIs" dxfId="200" priority="3" operator="lessThan">
      <formula>0</formula>
    </cfRule>
  </conditionalFormatting>
  <conditionalFormatting sqref="AX64:AX66">
    <cfRule type="cellIs" dxfId="199" priority="2" operator="lessThan">
      <formula>0</formula>
    </cfRule>
  </conditionalFormatting>
  <conditionalFormatting sqref="S24:AH24 S21:T23 V21:AH23">
    <cfRule type="cellIs" dxfId="198" priority="1" operator="lessThan">
      <formula>0</formula>
    </cfRule>
  </conditionalFormatting>
  <pageMargins left="0.39370078740157483" right="0.19685039370078741" top="0.74803149606299213" bottom="0.28000000000000003" header="0.31496062992125984" footer="0.31496062992125984"/>
  <pageSetup paperSize="9" scale="80" pageOrder="overThenDown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28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1017</v>
      </c>
      <c r="B3" s="807" t="str">
        <f>+VLOOKUP($A3,data!$A$4:$AH$32,2,0)</f>
        <v>แพร่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9135</v>
      </c>
      <c r="C9" s="180">
        <f>+VLOOKUP($A$3,data!$A$4:$AH$32,8,0)/10^6</f>
        <v>1.4693419999999999</v>
      </c>
      <c r="D9" s="181">
        <f>+VLOOKUP($A$3,data!$A$4:$AH$32,9,0)</f>
        <v>0.4448662305832628</v>
      </c>
      <c r="E9" s="180">
        <f>+VLOOKUP($A$3,data!$A$4:$AH$32,10,0)/10^6</f>
        <v>20.673431750000002</v>
      </c>
      <c r="F9" s="182">
        <f>+E9/C9</f>
        <v>14.069856949573349</v>
      </c>
      <c r="G9" s="179">
        <f>+VLOOKUP($A$3,data!$A$4:$AH$32,23,0)</f>
        <v>9442</v>
      </c>
      <c r="H9" s="180">
        <f>+VLOOKUP($A$3,data!$A$4:$AH$32,24,0)/10^6</f>
        <v>1.4408129999999999</v>
      </c>
      <c r="I9" s="181">
        <f>+VLOOKUP($A$3,data!$A$4:$AH$32,25,0)</f>
        <v>0.42498066175510885</v>
      </c>
      <c r="J9" s="180">
        <f>+VLOOKUP($A$3,data!$A$4:$AH$32,26,0)/10^6</f>
        <v>20.07945046</v>
      </c>
      <c r="K9" s="182">
        <f>+J9/H9</f>
        <v>13.936194676200174</v>
      </c>
    </row>
    <row r="10" spans="1:12" ht="26.25" x14ac:dyDescent="0.4">
      <c r="A10" s="187" t="s">
        <v>4</v>
      </c>
      <c r="B10" s="189">
        <f>+B9/B20</f>
        <v>0.75178997613365151</v>
      </c>
      <c r="C10" s="190"/>
      <c r="D10" s="190"/>
      <c r="E10" s="190"/>
      <c r="F10" s="191"/>
      <c r="G10" s="189">
        <f>+G9/G20</f>
        <v>0.76360695511524468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2135</v>
      </c>
      <c r="C13" s="180">
        <f>+VLOOKUP($A$3,data!$A$4:$AH$32,12,0)/10^6</f>
        <v>0.71406999999999998</v>
      </c>
      <c r="D13" s="181">
        <f>+VLOOKUP($A$3,data!$A$4:$AH$32,13,0)</f>
        <v>0.96491056196476532</v>
      </c>
      <c r="E13" s="180">
        <f>+VLOOKUP($A$3,data!$A$4:$AH$32,14,0)/10^6</f>
        <v>14.847232949999999</v>
      </c>
      <c r="F13" s="182">
        <f>+E13/C13</f>
        <v>20.792405436441804</v>
      </c>
      <c r="G13" s="179">
        <f>+VLOOKUP($A$3,data!$A$4:$AH$32,27,0)</f>
        <v>2062</v>
      </c>
      <c r="H13" s="180">
        <f>+VLOOKUP($A$3,data!$A$4:$AH$32,28,0)/10^6</f>
        <v>0.75283</v>
      </c>
      <c r="I13" s="181">
        <f>+VLOOKUP($A$3,data!$A$4:$AH$32,29,0)</f>
        <v>0.98286773657635429</v>
      </c>
      <c r="J13" s="180">
        <f>+VLOOKUP($A$3,data!$A$4:$AH$32,30,0)/10^6</f>
        <v>15.992079669999997</v>
      </c>
      <c r="K13" s="182">
        <f>+J13/H13</f>
        <v>21.242617416946718</v>
      </c>
    </row>
    <row r="14" spans="1:12" ht="26.25" x14ac:dyDescent="0.4">
      <c r="A14" s="187" t="s">
        <v>29</v>
      </c>
      <c r="B14" s="189">
        <f>+B13/B20</f>
        <v>0.17570570323430171</v>
      </c>
      <c r="C14" s="190"/>
      <c r="D14" s="190"/>
      <c r="E14" s="190"/>
      <c r="F14" s="191"/>
      <c r="G14" s="189">
        <f>+G13/G20</f>
        <v>0.16676101900525678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881</v>
      </c>
      <c r="C17" s="180">
        <f>+VLOOKUP($A$3,data!$A$4:$AH$32,16,0)/10^6</f>
        <v>0.41554200000000002</v>
      </c>
      <c r="D17" s="181">
        <f>+VLOOKUP($A$3,data!$A$4:$AH$32,17,0)</f>
        <v>1.2777454914441215</v>
      </c>
      <c r="E17" s="180">
        <f>+VLOOKUP($A$3,data!$A$4:$AH$32,18,0)/10^6</f>
        <v>11.127743600000002</v>
      </c>
      <c r="F17" s="182">
        <f>+E17/C17</f>
        <v>26.778866155527002</v>
      </c>
      <c r="G17" s="179">
        <f>+VLOOKUP($A$3,data!$A$4:$AH$32,31,0)</f>
        <v>861</v>
      </c>
      <c r="H17" s="180">
        <f>+VLOOKUP($A$3,data!$A$4:$AH$32,32,0)/10^6</f>
        <v>0.35089300000000001</v>
      </c>
      <c r="I17" s="181">
        <f>+VLOOKUP($A$3,data!$A$4:$AH$32,33,0)</f>
        <v>1.1037321296572984</v>
      </c>
      <c r="J17" s="180">
        <f>+VLOOKUP($A$3,data!$A$4:$AH$32,34,0)/10^6</f>
        <v>9.3219249499999997</v>
      </c>
      <c r="K17" s="182">
        <f>+J17/H17</f>
        <v>26.566289296167206</v>
      </c>
    </row>
    <row r="18" spans="1:11" ht="26.25" x14ac:dyDescent="0.4">
      <c r="A18" s="187" t="s">
        <v>30</v>
      </c>
      <c r="B18" s="189">
        <f>+B17/B20</f>
        <v>7.2504320632046745E-2</v>
      </c>
      <c r="C18" s="190"/>
      <c r="D18" s="190"/>
      <c r="E18" s="190"/>
      <c r="F18" s="191"/>
      <c r="G18" s="189">
        <f>+G17/G20</f>
        <v>6.9632025879498585E-2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12151</v>
      </c>
      <c r="C20" s="180">
        <f>+VLOOKUP($A$3,data!$A$4:$AH$32,4,0)/10^6</f>
        <v>2.598954</v>
      </c>
      <c r="D20" s="181">
        <f>+VLOOKUP($A$3,data!$A$4:$AH$32,5,0)</f>
        <v>0.59497989703849752</v>
      </c>
      <c r="E20" s="180">
        <f>+VLOOKUP($A$3,data!$A$4:$AH$32,6,0)/10^6</f>
        <v>46.648408300000007</v>
      </c>
      <c r="F20" s="182">
        <f>+E20/C20</f>
        <v>17.948916487171381</v>
      </c>
      <c r="G20" s="179">
        <f>+VLOOKUP($A$3,data!$A$4:$AH$32,19,0)</f>
        <v>12365</v>
      </c>
      <c r="H20" s="180">
        <f>+VLOOKUP($A$3,data!$A$4:$AH$32,20,0)/10^6</f>
        <v>2.5445359999999999</v>
      </c>
      <c r="I20" s="181">
        <f>+VLOOKUP($A$3,data!$A$4:$AH$32,21,0)</f>
        <v>0.56871687933180903</v>
      </c>
      <c r="J20" s="180">
        <f>+VLOOKUP($A$3,data!$A$4:$AH$32,22,0)/10^6</f>
        <v>45.393455079999995</v>
      </c>
      <c r="K20" s="182">
        <f>+J20/H20</f>
        <v>17.839580607230552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แพร่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="86" zoomScaleNormal="100" zoomScalePageLayoutView="86" workbookViewId="0"/>
  </sheetViews>
  <sheetFormatPr defaultRowHeight="21" x14ac:dyDescent="0.35"/>
  <cols>
    <col min="1" max="1" width="9" style="158" bestFit="1" customWidth="1"/>
    <col min="2" max="2" width="6.25" style="158" bestFit="1" customWidth="1"/>
    <col min="3" max="3" width="5.25" style="158" bestFit="1" customWidth="1"/>
    <col min="4" max="4" width="5.625" style="158" bestFit="1" customWidth="1"/>
    <col min="5" max="5" width="6.75" style="158" bestFit="1" customWidth="1"/>
    <col min="6" max="6" width="6.375" style="158" bestFit="1" customWidth="1"/>
    <col min="7" max="7" width="6.625" style="158" bestFit="1" customWidth="1"/>
    <col min="8" max="8" width="6.75" style="158" bestFit="1" customWidth="1"/>
    <col min="9" max="10" width="6.375" style="158" bestFit="1" customWidth="1"/>
    <col min="11" max="12" width="6.625" style="158" bestFit="1" customWidth="1"/>
    <col min="13" max="14" width="6.3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8" width="6.75" bestFit="1" customWidth="1"/>
    <col min="49" max="49" width="7.75" bestFit="1" customWidth="1"/>
    <col min="50" max="50" width="7" bestFit="1" customWidth="1"/>
    <col min="51" max="51" width="8.75" customWidth="1"/>
    <col min="52" max="52" width="7" bestFit="1" customWidth="1"/>
    <col min="53" max="53" width="7.125" bestFit="1" customWidth="1"/>
    <col min="54" max="54" width="7" bestFit="1" customWidth="1"/>
    <col min="55" max="56" width="7.125" bestFit="1" customWidth="1"/>
    <col min="57" max="57" width="7" bestFit="1" customWidth="1"/>
    <col min="58" max="58" width="7.125" bestFit="1" customWidth="1"/>
    <col min="59" max="59" width="7" bestFit="1" customWidth="1"/>
    <col min="60" max="60" width="7.125" bestFit="1" customWidth="1"/>
    <col min="61" max="67" width="7" bestFit="1" customWidth="1"/>
  </cols>
  <sheetData>
    <row r="1" spans="1:66" ht="27" thickBot="1" x14ac:dyDescent="0.25">
      <c r="A1" s="248">
        <v>1017</v>
      </c>
      <c r="B1" s="817" t="str">
        <f>+VLOOKUP($A$1,data!$A$4:$AH$32,2,0)</f>
        <v>แพร่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1017</v>
      </c>
      <c r="T1" s="817" t="str">
        <f>+VLOOKUP($A$1,data!$A$4:$AH$32,2,0)</f>
        <v>แพร่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1017</v>
      </c>
      <c r="AJ1" s="817" t="str">
        <f>+VLOOKUP($A$1,data!$A$4:$AH$32,2,0)</f>
        <v>แพร่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1017</v>
      </c>
      <c r="AZ1" s="817" t="str">
        <f>+VLOOKUP($A$1,data!$A$4:$AH$32,2,0)</f>
        <v>แพร่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31</v>
      </c>
      <c r="C18" s="406">
        <f>+VLOOKUP($A$1,data!$A$37:$AU$67,36)</f>
        <v>46</v>
      </c>
      <c r="D18" s="406">
        <f>+VLOOKUP($A$1,data!$A$37:$AU$67,37)</f>
        <v>48</v>
      </c>
      <c r="E18" s="406">
        <f>+VLOOKUP($A$1,data!$A$37:$AU$67,38)</f>
        <v>40</v>
      </c>
      <c r="F18" s="406">
        <f>+VLOOKUP($A$1,data!$A$37:$AU$67,39)</f>
        <v>23</v>
      </c>
      <c r="G18" s="406">
        <f>+VLOOKUP($A$1,data!$A$37:$AU$67,40)</f>
        <v>36</v>
      </c>
      <c r="H18" s="406">
        <f>+VLOOKUP($A$1,data!$A$37:$AU$67,41)</f>
        <v>47</v>
      </c>
      <c r="I18" s="406">
        <f>+VLOOKUP($A$1,data!$A$37:$AU$67,42)</f>
        <v>47</v>
      </c>
      <c r="J18" s="406">
        <f>+VLOOKUP($A$1,data!$A$37:$AU$67,43)</f>
        <v>49</v>
      </c>
      <c r="K18" s="406">
        <f>+VLOOKUP($A$1,data!$A$37:$AU$67,44)</f>
        <v>38</v>
      </c>
      <c r="L18" s="406">
        <f>+VLOOKUP($A$1,data!$A$37:$AU$67,45)</f>
        <v>57</v>
      </c>
      <c r="M18" s="406">
        <f>+VLOOKUP($A$1,data!$A$37:$AU$67,46)</f>
        <v>40</v>
      </c>
      <c r="N18" s="406">
        <f>SUM(B18:M18)</f>
        <v>502</v>
      </c>
      <c r="O18" s="406">
        <f>SUM(B18:M18)</f>
        <v>502</v>
      </c>
      <c r="P18" s="407">
        <f>+O20-O18</f>
        <v>-134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0.20672599999999999</v>
      </c>
      <c r="AK18" s="418">
        <f>+VLOOKUP($A$1,data!$A$69:$AU$99,36)</f>
        <v>0.20537900000000001</v>
      </c>
      <c r="AL18" s="418">
        <f>+VLOOKUP($A$1,data!$A$69:$AU$99,37)</f>
        <v>0.211785</v>
      </c>
      <c r="AM18" s="418">
        <f>+VLOOKUP($A$1,data!$A$69:$AU$99,38)</f>
        <v>0.209063</v>
      </c>
      <c r="AN18" s="418">
        <f>+VLOOKUP($A$1,data!$A$69:$AU$99,39)</f>
        <v>0.20708099999999999</v>
      </c>
      <c r="AO18" s="418">
        <f>+VLOOKUP($A$1,data!$A$69:$AU$99,40)</f>
        <v>0.20127500000000001</v>
      </c>
      <c r="AP18" s="418">
        <f>+VLOOKUP($A$1,data!$A$69:$AU$99,41)</f>
        <v>0.239866</v>
      </c>
      <c r="AQ18" s="418">
        <f>+VLOOKUP($A$1,data!$A$69:$AU$99,42)</f>
        <v>0.25448399999999999</v>
      </c>
      <c r="AR18" s="418">
        <f>+VLOOKUP($A$1,data!$A$69:$AU$99,43)</f>
        <v>0.23438899999999999</v>
      </c>
      <c r="AS18" s="418">
        <f>+VLOOKUP($A$1,data!$A$69:$AU$99,44)</f>
        <v>0.221612</v>
      </c>
      <c r="AT18" s="418">
        <f>+VLOOKUP($A$1,data!$A$69:$AU$99,45)</f>
        <v>0.199601</v>
      </c>
      <c r="AU18" s="418">
        <f>+VLOOKUP($A$1,data!$A$69:$AU$99,46)</f>
        <v>0.210261</v>
      </c>
      <c r="AV18" s="418">
        <f>SUM(AJ18:AU18)</f>
        <v>2.6015220000000001</v>
      </c>
      <c r="AW18" s="418">
        <f>SUM(AJ18:AU18)</f>
        <v>2.6015220000000001</v>
      </c>
      <c r="AX18" s="419">
        <f>+AW20-AW18</f>
        <v>-5.5403000000000535E-2</v>
      </c>
      <c r="AY18" s="308" t="s">
        <v>92</v>
      </c>
      <c r="AZ18" s="309">
        <f>+VLOOKUP($A$1,data!$A$101:$AU$131,35)</f>
        <v>0.10031886999999999</v>
      </c>
      <c r="BA18" s="309">
        <f>+VLOOKUP($A$1,data!$A$101:$AU$131,36)</f>
        <v>0.13710590999999997</v>
      </c>
      <c r="BB18" s="309">
        <f>+VLOOKUP($A$1,data!$A$101:$AU$131,37)</f>
        <v>0.12603945000000003</v>
      </c>
      <c r="BC18" s="309">
        <f>+VLOOKUP($A$1,data!$A$101:$AU$131,38)</f>
        <v>0.12484081</v>
      </c>
      <c r="BD18" s="309">
        <f>+VLOOKUP($A$1,data!$A$101:$AU$131,39)</f>
        <v>0.10090132</v>
      </c>
      <c r="BE18" s="309">
        <f>+VLOOKUP($A$1,data!$A$101:$AU$131,40)</f>
        <v>0.14418666999999999</v>
      </c>
      <c r="BF18" s="309">
        <f>+VLOOKUP($A$1,data!$A$101:$AU$131,41)</f>
        <v>0.11870502000000002</v>
      </c>
      <c r="BG18" s="309">
        <f>+VLOOKUP($A$1,data!$A$101:$AU$131,42)</f>
        <v>9.6843340000000028E-2</v>
      </c>
      <c r="BH18" s="309">
        <f>+VLOOKUP($A$1,data!$A$101:$AU$131,43)</f>
        <v>0.12414446000000003</v>
      </c>
      <c r="BI18" s="309">
        <f>+VLOOKUP($A$1,data!$A$101:$AU$131,44)</f>
        <v>0.12431984000000003</v>
      </c>
      <c r="BJ18" s="309">
        <f>+VLOOKUP($A$1,data!$A$101:$AU$131,45)</f>
        <v>0.13871292999999998</v>
      </c>
      <c r="BK18" s="309">
        <f>+VLOOKUP($A$1,data!$A$101:$AU$131,46)</f>
        <v>0.12310904999999998</v>
      </c>
      <c r="BL18" s="309">
        <f>SUM(AZ18:BK18)</f>
        <v>1.4592276700000002</v>
      </c>
      <c r="BM18" s="309">
        <f>SUM(AZ18:BK18)</f>
        <v>1.4592276700000002</v>
      </c>
      <c r="BN18" s="310">
        <f>+BM20-BM18</f>
        <v>-2.9824270000000208E-2</v>
      </c>
    </row>
    <row r="19" spans="1:66" s="247" customFormat="1" ht="19.5" thickBot="1" x14ac:dyDescent="0.35">
      <c r="A19" s="408" t="s">
        <v>94</v>
      </c>
      <c r="B19" s="409">
        <f>+VLOOKUP($A$1,data!$A$37:$AU$67,19)</f>
        <v>48.934705464868706</v>
      </c>
      <c r="C19" s="409">
        <f>+VLOOKUP($A$1,data!$A$37:$AU$67,20)</f>
        <v>34.3584102200142</v>
      </c>
      <c r="D19" s="409">
        <f>+VLOOKUP($A$1,data!$A$37:$AU$67,21)</f>
        <v>41.299503193754433</v>
      </c>
      <c r="E19" s="409">
        <f>+VLOOKUP($A$1,data!$A$37:$AU$67,22)</f>
        <v>30.540809084457063</v>
      </c>
      <c r="F19" s="409">
        <f>+VLOOKUP($A$1,data!$A$37:$AU$67,23)</f>
        <v>45.811213626685593</v>
      </c>
      <c r="G19" s="409">
        <f>+VLOOKUP($A$1,data!$A$37:$AU$67,24)</f>
        <v>41.299503193754433</v>
      </c>
      <c r="H19" s="409">
        <f>+VLOOKUP($A$1,data!$A$37:$AU$67,25)</f>
        <v>38.523066004258347</v>
      </c>
      <c r="I19" s="409">
        <f>+VLOOKUP($A$1,data!$A$37:$AU$67,26)</f>
        <v>36.440738112136266</v>
      </c>
      <c r="J19" s="409">
        <f>+VLOOKUP($A$1,data!$A$37:$AU$67,27)</f>
        <v>53.446415897799866</v>
      </c>
      <c r="K19" s="409">
        <f>+VLOOKUP($A$1,data!$A$37:$AU$67,28)</f>
        <v>39.911284599006393</v>
      </c>
      <c r="L19" s="409">
        <f>+VLOOKUP($A$1,data!$A$37:$AU$67,29)</f>
        <v>40.258339247693399</v>
      </c>
      <c r="M19" s="409">
        <f>+VLOOKUP($A$1,data!$A$37:$AU$67,30)</f>
        <v>38.176011355571333</v>
      </c>
      <c r="N19" s="409">
        <f>SUM(B19:M19)</f>
        <v>489</v>
      </c>
      <c r="O19" s="630">
        <f t="shared" ref="O19:O20" si="0">SUM(B19:M19)</f>
        <v>489</v>
      </c>
      <c r="P19" s="412">
        <f>+O20-O19</f>
        <v>-121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0.212286</v>
      </c>
      <c r="AK19" s="423">
        <f>+VLOOKUP($A$1,data!$A$69:$AU$99,20)</f>
        <v>0.21598800000000001</v>
      </c>
      <c r="AL19" s="423">
        <f>+VLOOKUP($A$1,data!$A$69:$AU$99,21)</f>
        <v>0.21699099999999999</v>
      </c>
      <c r="AM19" s="423">
        <f>+VLOOKUP($A$1,data!$A$69:$AU$99,22)</f>
        <v>0.21912799999999999</v>
      </c>
      <c r="AN19" s="423">
        <f>+VLOOKUP($A$1,data!$A$69:$AU$99,23)</f>
        <v>0.212723</v>
      </c>
      <c r="AO19" s="423">
        <f>+VLOOKUP($A$1,data!$A$69:$AU$99,24)</f>
        <v>0.20833499999999999</v>
      </c>
      <c r="AP19" s="423">
        <f>+VLOOKUP($A$1,data!$A$69:$AU$99,25)</f>
        <v>0.24496100000000001</v>
      </c>
      <c r="AQ19" s="423">
        <f>+VLOOKUP($A$1,data!$A$69:$AU$99,26)</f>
        <v>0.25323800000000002</v>
      </c>
      <c r="AR19" s="423">
        <f>+VLOOKUP($A$1,data!$A$69:$AU$99,27)</f>
        <v>0.24010300000000001</v>
      </c>
      <c r="AS19" s="423">
        <f>+VLOOKUP($A$1,data!$A$69:$AU$99,28)</f>
        <v>0.23058000000000001</v>
      </c>
      <c r="AT19" s="423">
        <f>+VLOOKUP($A$1,data!$A$69:$AU$99,29)</f>
        <v>0.21881100000000001</v>
      </c>
      <c r="AU19" s="423">
        <f>+VLOOKUP($A$1,data!$A$69:$AU$99,30)</f>
        <v>0.22004499999999999</v>
      </c>
      <c r="AV19" s="423">
        <f>SUM(AJ19:AU19)</f>
        <v>2.6931889999999998</v>
      </c>
      <c r="AW19" s="424">
        <f t="shared" ref="AW19:AW20" si="1">SUM(AJ19:AU19)</f>
        <v>2.6931889999999998</v>
      </c>
      <c r="AX19" s="425">
        <f>+AW20-AW19</f>
        <v>-0.14707000000000026</v>
      </c>
      <c r="AY19" s="311" t="s">
        <v>94</v>
      </c>
      <c r="AZ19" s="312">
        <f>+VLOOKUP($A$1,data!$A$101:$AU$131,19)</f>
        <v>9.6697000000000005E-2</v>
      </c>
      <c r="BA19" s="312">
        <f>+VLOOKUP($A$1,data!$A$101:$AU$131,20)</f>
        <v>9.6787999999999999E-2</v>
      </c>
      <c r="BB19" s="312">
        <f>+VLOOKUP($A$1,data!$A$101:$AU$131,21)</f>
        <v>0.103146</v>
      </c>
      <c r="BC19" s="312">
        <f>+VLOOKUP($A$1,data!$A$101:$AU$131,22)</f>
        <v>9.3258999999999995E-2</v>
      </c>
      <c r="BD19" s="312">
        <f>+VLOOKUP($A$1,data!$A$101:$AU$131,23)</f>
        <v>7.0319999999999994E-2</v>
      </c>
      <c r="BE19" s="312">
        <f>+VLOOKUP($A$1,data!$A$101:$AU$131,24)</f>
        <v>0.111941</v>
      </c>
      <c r="BF19" s="312">
        <f>+VLOOKUP($A$1,data!$A$101:$AU$131,25)</f>
        <v>7.2556999999999996E-2</v>
      </c>
      <c r="BG19" s="312">
        <f>+VLOOKUP($A$1,data!$A$101:$AU$131,26)</f>
        <v>6.5138000000000001E-2</v>
      </c>
      <c r="BH19" s="312">
        <f>+VLOOKUP($A$1,data!$A$101:$AU$131,27)</f>
        <v>7.5488E-2</v>
      </c>
      <c r="BI19" s="312">
        <f>+VLOOKUP($A$1,data!$A$101:$AU$131,28)</f>
        <v>9.1466000000000006E-2</v>
      </c>
      <c r="BJ19" s="312">
        <f>+VLOOKUP($A$1,data!$A$101:$AU$131,29)</f>
        <v>0.114694</v>
      </c>
      <c r="BK19" s="312">
        <f>+VLOOKUP($A$1,data!$A$101:$AU$131,30)</f>
        <v>0.10854800000000001</v>
      </c>
      <c r="BL19" s="312">
        <f>SUM(AZ19:BK19)</f>
        <v>1.100042</v>
      </c>
      <c r="BM19" s="313">
        <f t="shared" ref="BM19:BM20" si="2">SUM(AZ19:BK19)</f>
        <v>1.100042</v>
      </c>
      <c r="BN19" s="314">
        <f>+BM20-BM19</f>
        <v>0.32936140000000003</v>
      </c>
    </row>
    <row r="20" spans="1:66" s="247" customFormat="1" ht="19.5" thickBot="1" x14ac:dyDescent="0.35">
      <c r="A20" s="413" t="s">
        <v>93</v>
      </c>
      <c r="B20" s="414">
        <f>+VLOOKUP($A$1,data!$A$37:$AU$67,3)</f>
        <v>32</v>
      </c>
      <c r="C20" s="414">
        <f>+VLOOKUP($A$1,data!$A$37:$AU$67,4)</f>
        <v>42</v>
      </c>
      <c r="D20" s="414">
        <f>+VLOOKUP($A$1,data!$A$37:$AU$67,5)</f>
        <v>14</v>
      </c>
      <c r="E20" s="414">
        <f>+VLOOKUP($A$1,data!$A$37:$AU$67,6)</f>
        <v>34</v>
      </c>
      <c r="F20" s="414">
        <f>+VLOOKUP($A$1,data!$A$37:$AU$67,7)</f>
        <v>29</v>
      </c>
      <c r="G20" s="414">
        <f>+VLOOKUP($A$1,data!$A$37:$AU$67,8)</f>
        <v>43</v>
      </c>
      <c r="H20" s="414">
        <f>+VLOOKUP($A$1,data!$A$37:$AU$67,9)</f>
        <v>44</v>
      </c>
      <c r="I20" s="414">
        <f>+VLOOKUP($A$1,data!$A$37:$AU$67,10)</f>
        <v>41</v>
      </c>
      <c r="J20" s="414">
        <f>+VLOOKUP($A$1,data!$A$37:$AU$67,11)</f>
        <v>16</v>
      </c>
      <c r="K20" s="414">
        <f>+VLOOKUP($A$1,data!$A$37:$AU$67,12)</f>
        <v>19</v>
      </c>
      <c r="L20" s="414">
        <f>+VLOOKUP($A$1,data!$A$37:$AU$67,13)</f>
        <v>28</v>
      </c>
      <c r="M20" s="414">
        <f>+VLOOKUP($A$1,data!$A$37:$AU$67,14)</f>
        <v>26</v>
      </c>
      <c r="N20" s="414">
        <f>SUM(B20:M20)</f>
        <v>368</v>
      </c>
      <c r="O20" s="631">
        <f t="shared" si="0"/>
        <v>368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0.19789499999999999</v>
      </c>
      <c r="AK20" s="420">
        <f>+VLOOKUP($A$1,data!$A$69:$AU$99,4)</f>
        <v>0.20990600000000001</v>
      </c>
      <c r="AL20" s="420">
        <f>+VLOOKUP($A$1,data!$A$69:$AU$99,5)</f>
        <v>0.205704</v>
      </c>
      <c r="AM20" s="420">
        <f>+VLOOKUP($A$1,data!$A$69:$AU$99,6)</f>
        <v>0.212449</v>
      </c>
      <c r="AN20" s="420">
        <f>+VLOOKUP($A$1,data!$A$69:$AU$99,7)</f>
        <v>0.20675399999999999</v>
      </c>
      <c r="AO20" s="420">
        <f>+VLOOKUP($A$1,data!$A$69:$AU$99,8)</f>
        <v>0.19666</v>
      </c>
      <c r="AP20" s="420">
        <f>+VLOOKUP($A$1,data!$A$69:$AU$99,9)</f>
        <v>0.233102</v>
      </c>
      <c r="AQ20" s="420">
        <f>+VLOOKUP($A$1,data!$A$69:$AU$99,10)</f>
        <v>0.22784299999999999</v>
      </c>
      <c r="AR20" s="420">
        <f>+VLOOKUP($A$1,data!$A$69:$AU$99,11)</f>
        <v>0.223303</v>
      </c>
      <c r="AS20" s="420">
        <f>+VLOOKUP($A$1,data!$A$69:$AU$99,12)</f>
        <v>0.210509</v>
      </c>
      <c r="AT20" s="420">
        <f>+VLOOKUP($A$1,data!$A$69:$AU$99,13)</f>
        <v>0.21188699999999999</v>
      </c>
      <c r="AU20" s="420">
        <f>+VLOOKUP($A$1,data!$A$69:$AU$99,14)</f>
        <v>0.21010699999999999</v>
      </c>
      <c r="AV20" s="420">
        <f>SUM(AJ20:AU20)</f>
        <v>2.5461189999999996</v>
      </c>
      <c r="AW20" s="421">
        <f t="shared" si="1"/>
        <v>2.5461189999999996</v>
      </c>
      <c r="AX20" s="422"/>
      <c r="AY20" s="315" t="s">
        <v>93</v>
      </c>
      <c r="AZ20" s="316">
        <f>+VLOOKUP($A$1,data!$A$101:$AU$131,3)</f>
        <v>0.15165607</v>
      </c>
      <c r="BA20" s="316">
        <f>+VLOOKUP($A$1,data!$A$101:$AU$131,4)</f>
        <v>0.12774522999999999</v>
      </c>
      <c r="BB20" s="316">
        <f>+VLOOKUP($A$1,data!$A$101:$AU$131,5)</f>
        <v>0.15073612</v>
      </c>
      <c r="BC20" s="316">
        <f>+VLOOKUP($A$1,data!$A$101:$AU$131,6)</f>
        <v>0.11852802000000001</v>
      </c>
      <c r="BD20" s="316">
        <f>+VLOOKUP($A$1,data!$A$101:$AU$131,7)</f>
        <v>0.10492084000000003</v>
      </c>
      <c r="BE20" s="316">
        <f>+VLOOKUP($A$1,data!$A$101:$AU$131,8)</f>
        <v>0.13999178000000004</v>
      </c>
      <c r="BF20" s="316">
        <f>+VLOOKUP($A$1,data!$A$101:$AU$131,9)</f>
        <v>9.5045479999999988E-2</v>
      </c>
      <c r="BG20" s="316">
        <f>+VLOOKUP($A$1,data!$A$101:$AU$131,10)</f>
        <v>0.10608134999999998</v>
      </c>
      <c r="BH20" s="316">
        <f>+VLOOKUP($A$1,data!$A$101:$AU$131,11)</f>
        <v>9.7036679999999986E-2</v>
      </c>
      <c r="BI20" s="316">
        <f>+VLOOKUP($A$1,data!$A$101:$AU$131,12)</f>
        <v>0.1120135</v>
      </c>
      <c r="BJ20" s="316">
        <f>+VLOOKUP($A$1,data!$A$101:$AU$131,13)</f>
        <v>0.11046809000000002</v>
      </c>
      <c r="BK20" s="316">
        <f>+VLOOKUP($A$1,data!$A$101:$AU$131,14)</f>
        <v>0.11518023999999999</v>
      </c>
      <c r="BL20" s="316">
        <f>SUM(AZ20:BK20)</f>
        <v>1.4294034</v>
      </c>
      <c r="BM20" s="317">
        <f t="shared" si="2"/>
        <v>1.4294034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119.59261887863734</v>
      </c>
      <c r="W21" s="671">
        <f>+VLOOKUP($A$1,data!$A$261:$AK$291,16)</f>
        <v>84</v>
      </c>
      <c r="X21" s="671">
        <f>+VLOOKUP($A$1,data!$A$261:$AK$291,36)</f>
        <v>233.24414478353441</v>
      </c>
      <c r="Y21" s="671">
        <f>+VLOOKUP($A$1,data!$A$261:$AK$291,17)</f>
        <v>189</v>
      </c>
      <c r="Z21" s="671">
        <f>+VLOOKUP($A$1,data!$A$261:$AK$291,37)</f>
        <v>353.65436479772887</v>
      </c>
      <c r="AA21" s="671">
        <f>+VLOOKUP($A$1,data!$A$261:$AK$291,18)</f>
        <v>285</v>
      </c>
      <c r="AB21" s="671">
        <f>+VLOOKUP($A$1,data!$A$261:$AK$291,34)</f>
        <v>458</v>
      </c>
      <c r="AC21" s="671">
        <f>+VLOOKUP($A$1,data!$A$261:$AK$291,15)</f>
        <v>351</v>
      </c>
      <c r="AD21" s="671">
        <f>+AA21-Z21</f>
        <v>-68.654364797728874</v>
      </c>
      <c r="AE21" s="684">
        <f>+AC21-AB21</f>
        <v>-107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5</v>
      </c>
      <c r="W22" s="672">
        <f>+VLOOKUP($A$1,data!$A$229:$AK$259,16)</f>
        <v>4</v>
      </c>
      <c r="X22" s="672">
        <f>+VLOOKUP($A$1,data!$A$229:$AK$259,36)</f>
        <v>9</v>
      </c>
      <c r="Y22" s="672">
        <f>+VLOOKUP($A$1,data!$A$229:$AK$259,17)</f>
        <v>5</v>
      </c>
      <c r="Z22" s="672">
        <f>+VLOOKUP($A$1,data!$A$229:$AK$259,37)</f>
        <v>17</v>
      </c>
      <c r="AA22" s="672">
        <f>+VLOOKUP($A$1,data!$A$229:$AK$259,18)</f>
        <v>10</v>
      </c>
      <c r="AB22" s="672">
        <f>+VLOOKUP($A$1,data!$A$229:$AK$259,34)</f>
        <v>31</v>
      </c>
      <c r="AC22" s="765">
        <f>+VLOOKUP($A$1,data!$A$229:$AK$259,15)</f>
        <v>17</v>
      </c>
      <c r="AD22" s="671">
        <f>+AA22-Z22</f>
        <v>-7</v>
      </c>
      <c r="AE22" s="685">
        <f>+AC22-AB22</f>
        <v>-14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124.59261887863734</v>
      </c>
      <c r="W23" s="689">
        <f t="shared" ref="W23:AC23" si="3">SUM(W21:W22)</f>
        <v>88</v>
      </c>
      <c r="X23" s="689">
        <f t="shared" si="3"/>
        <v>242.24414478353441</v>
      </c>
      <c r="Y23" s="689">
        <f t="shared" si="3"/>
        <v>194</v>
      </c>
      <c r="Z23" s="689">
        <f t="shared" si="3"/>
        <v>370.65436479772887</v>
      </c>
      <c r="AA23" s="689">
        <f t="shared" si="3"/>
        <v>295</v>
      </c>
      <c r="AB23" s="689">
        <f t="shared" si="3"/>
        <v>489</v>
      </c>
      <c r="AC23" s="764">
        <f t="shared" si="3"/>
        <v>368</v>
      </c>
      <c r="AD23" s="689">
        <f>+AA23-Z23</f>
        <v>-75.654364797728874</v>
      </c>
      <c r="AE23" s="686">
        <f>+AC23-AB23</f>
        <v>-121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31</v>
      </c>
      <c r="D39" s="406">
        <f t="shared" ref="D39:N41" si="4">+C39+C18</f>
        <v>77</v>
      </c>
      <c r="E39" s="406">
        <f t="shared" si="4"/>
        <v>125</v>
      </c>
      <c r="F39" s="406">
        <f t="shared" si="4"/>
        <v>165</v>
      </c>
      <c r="G39" s="406">
        <f t="shared" si="4"/>
        <v>188</v>
      </c>
      <c r="H39" s="406">
        <f t="shared" si="4"/>
        <v>224</v>
      </c>
      <c r="I39" s="406">
        <f t="shared" si="4"/>
        <v>271</v>
      </c>
      <c r="J39" s="406">
        <f t="shared" si="4"/>
        <v>318</v>
      </c>
      <c r="K39" s="406">
        <f t="shared" si="4"/>
        <v>367</v>
      </c>
      <c r="L39" s="406">
        <f t="shared" si="4"/>
        <v>405</v>
      </c>
      <c r="M39" s="406">
        <f t="shared" si="4"/>
        <v>462</v>
      </c>
      <c r="N39" s="406">
        <f t="shared" si="4"/>
        <v>502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0.20672599999999999</v>
      </c>
      <c r="AL39" s="418">
        <f t="shared" ref="AL39:AV41" si="5">+AK39+AK18</f>
        <v>0.412105</v>
      </c>
      <c r="AM39" s="418">
        <f t="shared" si="5"/>
        <v>0.62389000000000006</v>
      </c>
      <c r="AN39" s="418">
        <f t="shared" si="5"/>
        <v>0.83295300000000005</v>
      </c>
      <c r="AO39" s="418">
        <f t="shared" si="5"/>
        <v>1.0400340000000001</v>
      </c>
      <c r="AP39" s="418">
        <f t="shared" si="5"/>
        <v>1.2413090000000002</v>
      </c>
      <c r="AQ39" s="418">
        <f t="shared" si="5"/>
        <v>1.4811750000000001</v>
      </c>
      <c r="AR39" s="418">
        <f t="shared" si="5"/>
        <v>1.7356590000000001</v>
      </c>
      <c r="AS39" s="418">
        <f t="shared" si="5"/>
        <v>1.970048</v>
      </c>
      <c r="AT39" s="418">
        <f t="shared" si="5"/>
        <v>2.1916600000000002</v>
      </c>
      <c r="AU39" s="418">
        <f t="shared" si="5"/>
        <v>2.3912610000000001</v>
      </c>
      <c r="AV39" s="418">
        <f t="shared" si="5"/>
        <v>2.6015220000000001</v>
      </c>
      <c r="AW39" s="158"/>
      <c r="AX39" s="158"/>
      <c r="AY39" s="308" t="s">
        <v>92</v>
      </c>
      <c r="AZ39" s="464">
        <f>+VLOOKUP($A$1,data!$A$133:$BK$163,26)</f>
        <v>32.662381677708197</v>
      </c>
      <c r="BA39" s="464">
        <f>+VLOOKUP($A$1,data!$A$133:$BK$163,27)</f>
        <v>40.019949566529064</v>
      </c>
      <c r="BB39" s="464">
        <f>+VLOOKUP($A$1,data!$A$133:$BK$163,28)</f>
        <v>37.28531600286297</v>
      </c>
      <c r="BC39" s="464">
        <f>+VLOOKUP($A$1,data!$A$133:$BK$163,29)</f>
        <v>36.796323180372077</v>
      </c>
      <c r="BD39" s="464">
        <f>+VLOOKUP($A$1,data!$A$133:$BK$163,30)</f>
        <v>37.366209917300111</v>
      </c>
      <c r="BE39" s="464">
        <f>+VLOOKUP($A$1,data!$A$133:$BK$163,31)</f>
        <v>32.741956649307923</v>
      </c>
      <c r="BF39" s="464">
        <f>+VLOOKUP($A$1,data!$A$133:$BK$163,32)</f>
        <v>41.697433898757886</v>
      </c>
      <c r="BG39" s="464">
        <f>+VLOOKUP($A$1,data!$A$133:$BK$163,33)</f>
        <v>37.11807440005596</v>
      </c>
      <c r="BH39" s="464">
        <f>+VLOOKUP($A$1,data!$A$133:$BK$163,34)</f>
        <v>33.069055798871986</v>
      </c>
      <c r="BI39" s="464">
        <f>+VLOOKUP($A$1,data!$A$133:$BK$163,35)</f>
        <v>27.542097087151131</v>
      </c>
      <c r="BJ39" s="464">
        <f>+VLOOKUP($A$1,data!$A$133:$BK$163,36)</f>
        <v>34.621957921581384</v>
      </c>
      <c r="BK39" s="464">
        <f>+VLOOKUP($A$1,data!$A$133:$BK$163,37)</f>
        <v>35.241032084228451</v>
      </c>
      <c r="BL39" s="464">
        <f>+VLOOKUP($A$1,data!$A$133:$BK$163,38)</f>
        <v>35.937357451478441</v>
      </c>
      <c r="BM39" s="464">
        <f>+VLOOKUP($A$1,data!$A$133:$BK$163,39)</f>
        <v>41.000762212041195</v>
      </c>
      <c r="BN39" s="464">
        <f>+VLOOKUP($A$1,data!$A$133:$BK$163,40)</f>
        <v>36.928314991268792</v>
      </c>
      <c r="BO39" s="464">
        <f>+VLOOKUP($A$1,data!$A$133:$BK$163,41)</f>
        <v>35.918427646885917</v>
      </c>
    </row>
    <row r="40" spans="1:67" ht="21.75" thickBot="1" x14ac:dyDescent="0.4">
      <c r="A40"/>
      <c r="B40" s="408" t="s">
        <v>94</v>
      </c>
      <c r="C40" s="409">
        <f>+B19</f>
        <v>48.934705464868706</v>
      </c>
      <c r="D40" s="409">
        <f t="shared" si="4"/>
        <v>83.293115684882906</v>
      </c>
      <c r="E40" s="409">
        <f t="shared" si="4"/>
        <v>124.59261887863734</v>
      </c>
      <c r="F40" s="409">
        <f t="shared" si="4"/>
        <v>155.13342796309439</v>
      </c>
      <c r="G40" s="409">
        <f t="shared" si="4"/>
        <v>200.94464158977999</v>
      </c>
      <c r="H40" s="409">
        <f t="shared" si="4"/>
        <v>242.24414478353441</v>
      </c>
      <c r="I40" s="409">
        <f t="shared" si="4"/>
        <v>280.76721078779275</v>
      </c>
      <c r="J40" s="409">
        <f t="shared" si="4"/>
        <v>317.20794889992902</v>
      </c>
      <c r="K40" s="409">
        <f t="shared" si="4"/>
        <v>370.65436479772887</v>
      </c>
      <c r="L40" s="409">
        <f t="shared" si="4"/>
        <v>410.56564939673524</v>
      </c>
      <c r="M40" s="409">
        <f t="shared" si="4"/>
        <v>450.82398864442865</v>
      </c>
      <c r="N40" s="409">
        <f t="shared" si="4"/>
        <v>489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0.212286</v>
      </c>
      <c r="AL40" s="423">
        <f t="shared" si="5"/>
        <v>0.42827400000000004</v>
      </c>
      <c r="AM40" s="423">
        <f t="shared" si="5"/>
        <v>0.64526499999999998</v>
      </c>
      <c r="AN40" s="423">
        <f t="shared" si="5"/>
        <v>0.86439299999999997</v>
      </c>
      <c r="AO40" s="423">
        <f t="shared" si="5"/>
        <v>1.077116</v>
      </c>
      <c r="AP40" s="423">
        <f t="shared" si="5"/>
        <v>1.2854509999999999</v>
      </c>
      <c r="AQ40" s="423">
        <f t="shared" si="5"/>
        <v>1.5304119999999999</v>
      </c>
      <c r="AR40" s="423">
        <f t="shared" si="5"/>
        <v>1.78365</v>
      </c>
      <c r="AS40" s="423">
        <f t="shared" si="5"/>
        <v>2.0237530000000001</v>
      </c>
      <c r="AT40" s="423">
        <f t="shared" si="5"/>
        <v>2.2543329999999999</v>
      </c>
      <c r="AU40" s="423">
        <f t="shared" si="5"/>
        <v>2.473144</v>
      </c>
      <c r="AV40" s="423">
        <f t="shared" si="5"/>
        <v>2.6931889999999998</v>
      </c>
      <c r="AW40" s="158"/>
      <c r="AX40" s="158"/>
      <c r="AY40" s="311" t="s">
        <v>94</v>
      </c>
      <c r="AZ40" s="458">
        <f>+VLOOKUP($A$1,data!$A$133:$BK$163,22)</f>
        <v>29.000139722611074</v>
      </c>
      <c r="BA40" s="458">
        <f>+$AZ$40</f>
        <v>29.000139722611074</v>
      </c>
      <c r="BB40" s="458">
        <f t="shared" ref="BB40:BO40" si="6">+$AZ$40</f>
        <v>29.000139722611074</v>
      </c>
      <c r="BC40" s="458">
        <f t="shared" si="6"/>
        <v>29.000139722611074</v>
      </c>
      <c r="BD40" s="458">
        <f t="shared" si="6"/>
        <v>29.000139722611074</v>
      </c>
      <c r="BE40" s="458">
        <f t="shared" si="6"/>
        <v>29.000139722611074</v>
      </c>
      <c r="BF40" s="458">
        <f t="shared" si="6"/>
        <v>29.000139722611074</v>
      </c>
      <c r="BG40" s="458">
        <f t="shared" si="6"/>
        <v>29.000139722611074</v>
      </c>
      <c r="BH40" s="458">
        <f t="shared" si="6"/>
        <v>29.000139722611074</v>
      </c>
      <c r="BI40" s="458">
        <f t="shared" si="6"/>
        <v>29.000139722611074</v>
      </c>
      <c r="BJ40" s="458">
        <f t="shared" si="6"/>
        <v>29.000139722611074</v>
      </c>
      <c r="BK40" s="458">
        <f t="shared" si="6"/>
        <v>29.000139722611074</v>
      </c>
      <c r="BL40" s="458">
        <f t="shared" si="6"/>
        <v>29.000139722611074</v>
      </c>
      <c r="BM40" s="458">
        <f t="shared" si="6"/>
        <v>29.000139722611074</v>
      </c>
      <c r="BN40" s="458">
        <f t="shared" si="6"/>
        <v>29.000139722611074</v>
      </c>
      <c r="BO40" s="458">
        <f t="shared" si="6"/>
        <v>29.000139722611074</v>
      </c>
    </row>
    <row r="41" spans="1:67" ht="21.75" thickBot="1" x14ac:dyDescent="0.4">
      <c r="A41"/>
      <c r="B41" s="413" t="s">
        <v>93</v>
      </c>
      <c r="C41" s="414">
        <f>+B20</f>
        <v>32</v>
      </c>
      <c r="D41" s="414">
        <f t="shared" si="4"/>
        <v>74</v>
      </c>
      <c r="E41" s="414">
        <f t="shared" si="4"/>
        <v>88</v>
      </c>
      <c r="F41" s="414">
        <f t="shared" si="4"/>
        <v>122</v>
      </c>
      <c r="G41" s="414">
        <f t="shared" si="4"/>
        <v>151</v>
      </c>
      <c r="H41" s="414">
        <f t="shared" si="4"/>
        <v>194</v>
      </c>
      <c r="I41" s="414">
        <f t="shared" si="4"/>
        <v>238</v>
      </c>
      <c r="J41" s="414">
        <f t="shared" si="4"/>
        <v>279</v>
      </c>
      <c r="K41" s="414">
        <f t="shared" si="4"/>
        <v>295</v>
      </c>
      <c r="L41" s="414">
        <f t="shared" si="4"/>
        <v>314</v>
      </c>
      <c r="M41" s="414">
        <f t="shared" si="4"/>
        <v>342</v>
      </c>
      <c r="N41" s="414">
        <f t="shared" si="4"/>
        <v>368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0.19789499999999999</v>
      </c>
      <c r="AL41" s="420">
        <f t="shared" si="5"/>
        <v>0.40780099999999997</v>
      </c>
      <c r="AM41" s="420">
        <f t="shared" si="5"/>
        <v>0.61350499999999997</v>
      </c>
      <c r="AN41" s="420">
        <f t="shared" si="5"/>
        <v>0.82595399999999997</v>
      </c>
      <c r="AO41" s="420">
        <f t="shared" si="5"/>
        <v>1.032708</v>
      </c>
      <c r="AP41" s="420">
        <f t="shared" si="5"/>
        <v>1.229368</v>
      </c>
      <c r="AQ41" s="420">
        <f t="shared" si="5"/>
        <v>1.4624699999999999</v>
      </c>
      <c r="AR41" s="420">
        <f t="shared" si="5"/>
        <v>1.690313</v>
      </c>
      <c r="AS41" s="420">
        <f t="shared" si="5"/>
        <v>1.913616</v>
      </c>
      <c r="AT41" s="420">
        <f t="shared" si="5"/>
        <v>2.1241249999999998</v>
      </c>
      <c r="AU41" s="420">
        <f t="shared" si="5"/>
        <v>2.3360119999999998</v>
      </c>
      <c r="AV41" s="420">
        <f t="shared" si="5"/>
        <v>2.5461189999999996</v>
      </c>
      <c r="AW41" s="158"/>
      <c r="AX41" s="158"/>
      <c r="AY41" s="315" t="s">
        <v>93</v>
      </c>
      <c r="AZ41" s="442">
        <f>+VLOOKUP($A$1,data!$A$133:$BK$163,3)</f>
        <v>43.385582665365618</v>
      </c>
      <c r="BA41" s="442">
        <f>+VLOOKUP($A$1,data!$A$133:$BK$163,4)</f>
        <v>37.833037563197223</v>
      </c>
      <c r="BB41" s="442">
        <f>+VLOOKUP($A$1,data!$A$133:$BK$163,5)</f>
        <v>42.288731572478817</v>
      </c>
      <c r="BC41" s="442">
        <f>+VLOOKUP($A$1,data!$A$133:$BK$163,6)</f>
        <v>41.214544944867868</v>
      </c>
      <c r="BD41" s="442">
        <f>+VLOOKUP($A$1,data!$A$133:$BK$163,7)</f>
        <v>35.811339341085727</v>
      </c>
      <c r="BE41" s="442">
        <f>+VLOOKUP($A$1,data!$A$133:$BK$163,8)</f>
        <v>33.663125799621177</v>
      </c>
      <c r="BF41" s="442">
        <f>+VLOOKUP($A$1,data!$A$133:$BK$163,9)</f>
        <v>41.583061487909106</v>
      </c>
      <c r="BG41" s="442">
        <f>+VLOOKUP($A$1,data!$A$133:$BK$163,10)</f>
        <v>39.228402844877344</v>
      </c>
      <c r="BH41" s="442">
        <f>+VLOOKUP($A$1,data!$A$133:$BK$163,11)</f>
        <v>28.962756724920379</v>
      </c>
      <c r="BI41" s="442">
        <f>+VLOOKUP($A$1,data!$A$133:$BK$163,12)</f>
        <v>31.765605276353202</v>
      </c>
      <c r="BJ41" s="442">
        <f>+VLOOKUP($A$1,data!$A$133:$BK$163,13)</f>
        <v>30.291334945846454</v>
      </c>
      <c r="BK41" s="442">
        <f>+VLOOKUP($A$1,data!$A$133:$BK$163,14)</f>
        <v>36.325665635655305</v>
      </c>
      <c r="BL41" s="442">
        <f>+VLOOKUP($A$1,data!$A$133:$BK$163,15)</f>
        <v>34.730014432922566</v>
      </c>
      <c r="BM41" s="442">
        <f>+VLOOKUP($A$1,data!$A$133:$BK$163,16)</f>
        <v>34.268856937503692</v>
      </c>
      <c r="BN41" s="442">
        <f>+VLOOKUP($A$1,data!$A$133:$BK$163,17)</f>
        <v>35.408452463867349</v>
      </c>
      <c r="BO41" s="442">
        <f>+VLOOKUP($A$1,data!$A$133:$BK$163,18)</f>
        <v>35.954394220708352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35.918427646885917</v>
      </c>
      <c r="BA43" s="826">
        <f>+VLOOKUP($A$1,data!$A$133:$BK$163,26)</f>
        <v>32.662381677708197</v>
      </c>
      <c r="BB43" s="473">
        <f>+AZ45-AZ43</f>
        <v>3.5966573822435066E-2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29.000139722611074</v>
      </c>
      <c r="BA44" s="830"/>
      <c r="BB44" s="472">
        <f>+AZ45-AZ44</f>
        <v>6.9542544980972778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35.954394220708352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1017</v>
      </c>
      <c r="B47" s="817" t="str">
        <f>+VLOOKUP($A$1,data!$A$4:$AH$32,2,0)</f>
        <v>แพร่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1017</v>
      </c>
      <c r="T47" s="817" t="str">
        <f>+VLOOKUP($A$1,data!$A$4:$AH$32,2,0)</f>
        <v>แพร่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1017</v>
      </c>
      <c r="AJ47" s="817" t="str">
        <f>+VLOOKUP($A$1,data!$A$4:$AH$32,2,0)</f>
        <v>แพร่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4.1164567100000005</v>
      </c>
      <c r="C64" s="632">
        <f>+VLOOKUP($A$1,data!$A$165:$AU$195,36)</f>
        <v>4.1087737899999999</v>
      </c>
      <c r="D64" s="632">
        <f>+VLOOKUP($A$1,data!$A$165:$AU$195,37)</f>
        <v>4.2413433699999992</v>
      </c>
      <c r="E64" s="632">
        <f>+VLOOKUP($A$1,data!$A$165:$AU$195,38)</f>
        <v>4.1729369699999994</v>
      </c>
      <c r="F64" s="632">
        <f>+VLOOKUP($A$1,data!$A$165:$AU$195,39)</f>
        <v>4.2271200799999997</v>
      </c>
      <c r="G64" s="632">
        <f>+VLOOKUP($A$1,data!$A$165:$AU$195,40)</f>
        <v>4.0136359400000003</v>
      </c>
      <c r="H64" s="632">
        <f>+VLOOKUP($A$1,data!$A$165:$AU$195,41)</f>
        <v>4.8316802600000006</v>
      </c>
      <c r="I64" s="632">
        <f>+VLOOKUP($A$1,data!$A$165:$AU$195,42)</f>
        <v>5.0401032199999989</v>
      </c>
      <c r="J64" s="632">
        <f>+VLOOKUP($A$1,data!$A$165:$AU$195,43)</f>
        <v>4.6577129800000003</v>
      </c>
      <c r="K64" s="632">
        <f>+VLOOKUP($A$1,data!$A$165:$AU$195,44)</f>
        <v>4.3660957200000006</v>
      </c>
      <c r="L64" s="632">
        <f>+VLOOKUP($A$1,data!$A$165:$AU$195,45)</f>
        <v>3.9378858600000006</v>
      </c>
      <c r="M64" s="632">
        <f>+VLOOKUP($A$1,data!$A$165:$AU$195,46)</f>
        <v>4.2183339499999999</v>
      </c>
      <c r="N64" s="632">
        <f>SUM(B64:M64)</f>
        <v>51.932078850000003</v>
      </c>
      <c r="O64" s="632">
        <f>SUM(B64:M64)</f>
        <v>51.932078850000003</v>
      </c>
      <c r="P64" s="635">
        <f>+O66-O64</f>
        <v>-0.63928738999999979</v>
      </c>
      <c r="S64" s="605" t="s">
        <v>92</v>
      </c>
      <c r="T64" s="640">
        <f>+VLOOKUP($A$1,data!$A$197:$AU$227,35)</f>
        <v>1.8434407399999999</v>
      </c>
      <c r="U64" s="640">
        <f>+VLOOKUP($A$1,data!$A$197:$AU$227,36)</f>
        <v>1.6964476100000001</v>
      </c>
      <c r="V64" s="640">
        <f>+VLOOKUP($A$1,data!$A$197:$AU$227,37)</f>
        <v>1.7328933999999998</v>
      </c>
      <c r="W64" s="640">
        <f>+VLOOKUP($A$1,data!$A$197:$AU$227,38)</f>
        <v>1.8243930799999999</v>
      </c>
      <c r="X64" s="640">
        <f>+VLOOKUP($A$1,data!$A$197:$AU$227,39)</f>
        <v>1.8984897500000002</v>
      </c>
      <c r="Y64" s="640">
        <f>+VLOOKUP($A$1,data!$A$197:$AU$227,40)</f>
        <v>1.7910956199999997</v>
      </c>
      <c r="Z64" s="640">
        <f>+VLOOKUP($A$1,data!$A$197:$AU$227,41)</f>
        <v>1.7343318000000003</v>
      </c>
      <c r="AA64" s="640">
        <f>+VLOOKUP($A$1,data!$A$197:$AU$227,42)</f>
        <v>1.86237144</v>
      </c>
      <c r="AB64" s="640">
        <f>+VLOOKUP($A$1,data!$A$197:$AU$227,43)</f>
        <v>2.0645048399999997</v>
      </c>
      <c r="AC64" s="640">
        <f>+VLOOKUP($A$1,data!$A$197:$AU$227,44)</f>
        <v>1.9882153</v>
      </c>
      <c r="AD64" s="640">
        <f>+VLOOKUP($A$1,data!$A$197:$AU$227,45)</f>
        <v>2.1479489899999997</v>
      </c>
      <c r="AE64" s="640">
        <f>+VLOOKUP($A$1,data!$A$197:$AU$227,46)</f>
        <v>2.4248950700000003</v>
      </c>
      <c r="AF64" s="640">
        <f>SUM(T64:AE64)</f>
        <v>23.009027639999999</v>
      </c>
      <c r="AG64" s="640">
        <f>SUM(T64:AE64)</f>
        <v>23.009027639999999</v>
      </c>
      <c r="AH64" s="641">
        <f>+AG66-AG64</f>
        <v>-2.0930017400000018</v>
      </c>
      <c r="AI64" s="621" t="s">
        <v>92</v>
      </c>
      <c r="AJ64" s="648">
        <f>+B64-T64</f>
        <v>2.2730159700000003</v>
      </c>
      <c r="AK64" s="648">
        <f t="shared" ref="AK64:AU66" si="7">+C64-U64</f>
        <v>2.41232618</v>
      </c>
      <c r="AL64" s="648">
        <f t="shared" si="7"/>
        <v>2.5084499699999991</v>
      </c>
      <c r="AM64" s="648">
        <f t="shared" si="7"/>
        <v>2.3485438899999993</v>
      </c>
      <c r="AN64" s="648">
        <f t="shared" si="7"/>
        <v>2.3286303299999993</v>
      </c>
      <c r="AO64" s="648">
        <f t="shared" si="7"/>
        <v>2.2225403200000007</v>
      </c>
      <c r="AP64" s="648">
        <f t="shared" si="7"/>
        <v>3.0973484600000001</v>
      </c>
      <c r="AQ64" s="648">
        <f t="shared" si="7"/>
        <v>3.1777317799999989</v>
      </c>
      <c r="AR64" s="648">
        <f t="shared" si="7"/>
        <v>2.5932081400000007</v>
      </c>
      <c r="AS64" s="648">
        <f t="shared" si="7"/>
        <v>2.3778804200000003</v>
      </c>
      <c r="AT64" s="648">
        <f t="shared" si="7"/>
        <v>1.7899368700000009</v>
      </c>
      <c r="AU64" s="648">
        <f t="shared" si="7"/>
        <v>1.7934388799999996</v>
      </c>
      <c r="AV64" s="648">
        <f>SUM(AJ64:AU64)</f>
        <v>28.923051210000001</v>
      </c>
      <c r="AW64" s="648">
        <f>SUM(AJ64:AU64)</f>
        <v>28.923051210000001</v>
      </c>
      <c r="AX64" s="651">
        <f>+AW66-AW64</f>
        <v>1.4537143499999985</v>
      </c>
    </row>
    <row r="65" spans="1:50" ht="21.75" thickBot="1" x14ac:dyDescent="0.4">
      <c r="A65" s="538" t="s">
        <v>94</v>
      </c>
      <c r="B65" s="633">
        <f>+VLOOKUP($A$1,data!$A$165:$AU$195,19)</f>
        <v>4.254893</v>
      </c>
      <c r="C65" s="633">
        <f>+VLOOKUP($A$1,data!$A$165:$AU$195,20)</f>
        <v>4.2878040000000004</v>
      </c>
      <c r="D65" s="633">
        <f>+VLOOKUP($A$1,data!$A$165:$AU$195,21)</f>
        <v>4.3413950000000003</v>
      </c>
      <c r="E65" s="633">
        <f>+VLOOKUP($A$1,data!$A$165:$AU$195,22)</f>
        <v>4.3570359999999999</v>
      </c>
      <c r="F65" s="633">
        <f>+VLOOKUP($A$1,data!$A$165:$AU$195,23)</f>
        <v>4.3055750000000002</v>
      </c>
      <c r="G65" s="633">
        <f>+VLOOKUP($A$1,data!$A$165:$AU$195,24)</f>
        <v>4.1683269999999997</v>
      </c>
      <c r="H65" s="633">
        <f>+VLOOKUP($A$1,data!$A$165:$AU$195,25)</f>
        <v>4.8491210000000002</v>
      </c>
      <c r="I65" s="633">
        <f>+VLOOKUP($A$1,data!$A$165:$AU$195,26)</f>
        <v>5.0602530000000003</v>
      </c>
      <c r="J65" s="633">
        <f>+VLOOKUP($A$1,data!$A$165:$AU$195,27)</f>
        <v>4.7785000000000002</v>
      </c>
      <c r="K65" s="633">
        <f>+VLOOKUP($A$1,data!$A$165:$AU$195,28)</f>
        <v>4.5592269999999999</v>
      </c>
      <c r="L65" s="633">
        <f>+VLOOKUP($A$1,data!$A$165:$AU$195,29)</f>
        <v>4.3436469999999998</v>
      </c>
      <c r="M65" s="633">
        <f>+VLOOKUP($A$1,data!$A$165:$AU$195,30)</f>
        <v>4.3633699999999997</v>
      </c>
      <c r="N65" s="633">
        <f>SUM(B65:M65)</f>
        <v>53.669147999999993</v>
      </c>
      <c r="O65" s="636">
        <f t="shared" ref="O65:O66" si="8">SUM(B65:M65)</f>
        <v>53.669147999999993</v>
      </c>
      <c r="P65" s="637">
        <f>+O66-O65</f>
        <v>-2.3763565399999891</v>
      </c>
      <c r="S65" s="601" t="s">
        <v>94</v>
      </c>
      <c r="T65" s="642">
        <f>+VLOOKUP($A$1,data!$A$197:$AU$227,19)</f>
        <v>1.8286169999999999</v>
      </c>
      <c r="U65" s="642">
        <f>+VLOOKUP($A$1,data!$A$197:$AU$227,20)</f>
        <v>1.762176</v>
      </c>
      <c r="V65" s="642">
        <f>+VLOOKUP($A$1,data!$A$197:$AU$227,21)</f>
        <v>1.736262</v>
      </c>
      <c r="W65" s="642">
        <f>+VLOOKUP($A$1,data!$A$197:$AU$227,22)</f>
        <v>1.8458239999999999</v>
      </c>
      <c r="X65" s="642">
        <f>+VLOOKUP($A$1,data!$A$197:$AU$227,23)</f>
        <v>1.8174650000000001</v>
      </c>
      <c r="Y65" s="642">
        <f>+VLOOKUP($A$1,data!$A$197:$AU$227,24)</f>
        <v>1.948885</v>
      </c>
      <c r="Z65" s="642">
        <f>+VLOOKUP($A$1,data!$A$197:$AU$227,25)</f>
        <v>1.7947029999999999</v>
      </c>
      <c r="AA65" s="642">
        <f>+VLOOKUP($A$1,data!$A$197:$AU$227,26)</f>
        <v>1.8774850000000001</v>
      </c>
      <c r="AB65" s="642">
        <f>+VLOOKUP($A$1,data!$A$197:$AU$227,27)</f>
        <v>2.0323069999999999</v>
      </c>
      <c r="AC65" s="642">
        <f>+VLOOKUP($A$1,data!$A$197:$AU$227,28)</f>
        <v>1.8748549999999999</v>
      </c>
      <c r="AD65" s="642">
        <f>+VLOOKUP($A$1,data!$A$197:$AU$227,29)</f>
        <v>1.9517960000000001</v>
      </c>
      <c r="AE65" s="642">
        <f>+VLOOKUP($A$1,data!$A$197:$AU$227,30)</f>
        <v>2.1248930000000001</v>
      </c>
      <c r="AF65" s="642">
        <f>SUM(T65:AE65)</f>
        <v>22.595268000000004</v>
      </c>
      <c r="AG65" s="643">
        <f t="shared" ref="AG65:AG66" si="9">SUM(T65:AE65)</f>
        <v>22.595268000000004</v>
      </c>
      <c r="AH65" s="644">
        <f>+AG66-AG65</f>
        <v>-1.6792421000000068</v>
      </c>
      <c r="AI65" s="617" t="s">
        <v>94</v>
      </c>
      <c r="AJ65" s="649">
        <f>+B65-T65</f>
        <v>2.4262760000000001</v>
      </c>
      <c r="AK65" s="649">
        <f t="shared" si="7"/>
        <v>2.5256280000000002</v>
      </c>
      <c r="AL65" s="649">
        <f t="shared" si="7"/>
        <v>2.6051330000000004</v>
      </c>
      <c r="AM65" s="649">
        <f t="shared" si="7"/>
        <v>2.511212</v>
      </c>
      <c r="AN65" s="649">
        <f t="shared" si="7"/>
        <v>2.4881099999999998</v>
      </c>
      <c r="AO65" s="649">
        <f t="shared" si="7"/>
        <v>2.2194419999999999</v>
      </c>
      <c r="AP65" s="649">
        <f t="shared" si="7"/>
        <v>3.0544180000000001</v>
      </c>
      <c r="AQ65" s="649">
        <f t="shared" si="7"/>
        <v>3.1827680000000003</v>
      </c>
      <c r="AR65" s="649">
        <f t="shared" si="7"/>
        <v>2.7461930000000003</v>
      </c>
      <c r="AS65" s="649">
        <f t="shared" si="7"/>
        <v>2.6843719999999998</v>
      </c>
      <c r="AT65" s="649">
        <f t="shared" si="7"/>
        <v>2.3918509999999999</v>
      </c>
      <c r="AU65" s="649">
        <f t="shared" si="7"/>
        <v>2.2384769999999996</v>
      </c>
      <c r="AV65" s="649">
        <f>SUM(AJ65:AU65)</f>
        <v>31.073879999999999</v>
      </c>
      <c r="AW65" s="652">
        <f t="shared" ref="AW65:AW66" si="10">SUM(AJ65:AU65)</f>
        <v>31.073879999999999</v>
      </c>
      <c r="AX65" s="653">
        <f>+AW66-AW65</f>
        <v>-0.69711444</v>
      </c>
    </row>
    <row r="66" spans="1:50" ht="21.75" thickBot="1" x14ac:dyDescent="0.4">
      <c r="A66" s="546" t="s">
        <v>93</v>
      </c>
      <c r="B66" s="634">
        <f>+VLOOKUP($A$1,data!$A$165:$AU$195,3)</f>
        <v>3.9965098500000003</v>
      </c>
      <c r="C66" s="634">
        <f>+VLOOKUP($A$1,data!$A$165:$AU$195,4)</f>
        <v>4.3513508900000009</v>
      </c>
      <c r="D66" s="634">
        <f>+VLOOKUP($A$1,data!$A$165:$AU$195,5)</f>
        <v>4.2248911299999996</v>
      </c>
      <c r="E66" s="634">
        <f>+VLOOKUP($A$1,data!$A$165:$AU$195,6)</f>
        <v>4.3579736900000006</v>
      </c>
      <c r="F66" s="634">
        <f>+VLOOKUP($A$1,data!$A$165:$AU$195,7)</f>
        <v>4.1463875900000007</v>
      </c>
      <c r="G66" s="634">
        <f>+VLOOKUP($A$1,data!$A$165:$AU$195,8)</f>
        <v>3.9500426799999997</v>
      </c>
      <c r="H66" s="634">
        <f>+VLOOKUP($A$1,data!$A$165:$AU$195,9)</f>
        <v>4.6607865699999991</v>
      </c>
      <c r="I66" s="634">
        <f>+VLOOKUP($A$1,data!$A$165:$AU$195,10)</f>
        <v>4.564856540000001</v>
      </c>
      <c r="J66" s="634">
        <f>+VLOOKUP($A$1,data!$A$165:$AU$195,11)</f>
        <v>4.4363012499999996</v>
      </c>
      <c r="K66" s="634">
        <f>+VLOOKUP($A$1,data!$A$165:$AU$195,12)</f>
        <v>4.1816743000000001</v>
      </c>
      <c r="L66" s="634">
        <f>+VLOOKUP($A$1,data!$A$165:$AU$195,13)</f>
        <v>4.2193662099999987</v>
      </c>
      <c r="M66" s="634">
        <f>+VLOOKUP($A$1,data!$A$165:$AU$195,14)</f>
        <v>4.2026507600000009</v>
      </c>
      <c r="N66" s="634">
        <f>SUM(B66:M66)</f>
        <v>51.292791460000004</v>
      </c>
      <c r="O66" s="638">
        <f t="shared" si="8"/>
        <v>51.292791460000004</v>
      </c>
      <c r="P66" s="639"/>
      <c r="S66" s="608" t="s">
        <v>93</v>
      </c>
      <c r="T66" s="645">
        <f>+VLOOKUP($A$1,data!$A$197:$AU$227,3)</f>
        <v>1.60586925</v>
      </c>
      <c r="U66" s="645">
        <f>+VLOOKUP($A$1,data!$A$197:$AU$227,4)</f>
        <v>1.5020300799999999</v>
      </c>
      <c r="V66" s="645">
        <f>+VLOOKUP($A$1,data!$A$197:$AU$227,5)</f>
        <v>1.7520188399999999</v>
      </c>
      <c r="W66" s="645">
        <f>+VLOOKUP($A$1,data!$A$197:$AU$227,6)</f>
        <v>1.6131414999999998</v>
      </c>
      <c r="X66" s="645">
        <f>+VLOOKUP($A$1,data!$A$197:$AU$227,7)</f>
        <v>1.5246625800000002</v>
      </c>
      <c r="Y66" s="645">
        <f>+VLOOKUP($A$1,data!$A$197:$AU$227,8)</f>
        <v>1.95179233</v>
      </c>
      <c r="Z66" s="645">
        <f>+VLOOKUP($A$1,data!$A$197:$AU$227,9)</f>
        <v>1.6960940600000001</v>
      </c>
      <c r="AA66" s="645">
        <f>+VLOOKUP($A$1,data!$A$197:$AU$227,10)</f>
        <v>1.7766103199999999</v>
      </c>
      <c r="AB66" s="645">
        <f>+VLOOKUP($A$1,data!$A$197:$AU$227,11)</f>
        <v>1.8174683299999999</v>
      </c>
      <c r="AC66" s="645">
        <f>+VLOOKUP($A$1,data!$A$197:$AU$227,12)</f>
        <v>1.8518554599999999</v>
      </c>
      <c r="AD66" s="645">
        <f>+VLOOKUP($A$1,data!$A$197:$AU$227,13)</f>
        <v>1.7825012099999999</v>
      </c>
      <c r="AE66" s="645">
        <f>+VLOOKUP($A$1,data!$A$197:$AU$227,14)</f>
        <v>2.0419819399999999</v>
      </c>
      <c r="AF66" s="645">
        <f>SUM(T66:AE66)</f>
        <v>20.916025899999998</v>
      </c>
      <c r="AG66" s="646">
        <f t="shared" si="9"/>
        <v>20.916025899999998</v>
      </c>
      <c r="AH66" s="647"/>
      <c r="AI66" s="624" t="s">
        <v>93</v>
      </c>
      <c r="AJ66" s="650">
        <f>+B66-T66</f>
        <v>2.3906406000000002</v>
      </c>
      <c r="AK66" s="650">
        <f t="shared" si="7"/>
        <v>2.8493208100000009</v>
      </c>
      <c r="AL66" s="650">
        <f t="shared" si="7"/>
        <v>2.4728722899999998</v>
      </c>
      <c r="AM66" s="650">
        <f t="shared" si="7"/>
        <v>2.7448321900000008</v>
      </c>
      <c r="AN66" s="650">
        <f t="shared" si="7"/>
        <v>2.6217250100000005</v>
      </c>
      <c r="AO66" s="650">
        <f t="shared" si="7"/>
        <v>1.9982503499999997</v>
      </c>
      <c r="AP66" s="650">
        <f t="shared" si="7"/>
        <v>2.964692509999999</v>
      </c>
      <c r="AQ66" s="650">
        <f t="shared" si="7"/>
        <v>2.7882462200000013</v>
      </c>
      <c r="AR66" s="650">
        <f t="shared" si="7"/>
        <v>2.61883292</v>
      </c>
      <c r="AS66" s="650">
        <f>+K66-AC66</f>
        <v>2.3298188400000002</v>
      </c>
      <c r="AT66" s="650">
        <f>+L66-AD66</f>
        <v>2.4368649999999987</v>
      </c>
      <c r="AU66" s="650">
        <f>+M66-AE66</f>
        <v>2.160668820000001</v>
      </c>
      <c r="AV66" s="650">
        <f>SUM(AJ66:AU66)</f>
        <v>30.376765559999999</v>
      </c>
      <c r="AW66" s="654">
        <f t="shared" si="10"/>
        <v>30.376765559999999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4.1164567100000005</v>
      </c>
      <c r="D85" s="628">
        <f t="shared" ref="D85:N87" si="11">+C85+C64</f>
        <v>8.2252305000000003</v>
      </c>
      <c r="E85" s="628">
        <f t="shared" si="11"/>
        <v>12.46657387</v>
      </c>
      <c r="F85" s="628">
        <f t="shared" si="11"/>
        <v>16.63951084</v>
      </c>
      <c r="G85" s="628">
        <f t="shared" si="11"/>
        <v>20.866630919999999</v>
      </c>
      <c r="H85" s="628">
        <f t="shared" si="11"/>
        <v>24.880266859999999</v>
      </c>
      <c r="I85" s="628">
        <f t="shared" si="11"/>
        <v>29.711947119999998</v>
      </c>
      <c r="J85" s="628">
        <f t="shared" si="11"/>
        <v>34.752050339999997</v>
      </c>
      <c r="K85" s="628">
        <f t="shared" si="11"/>
        <v>39.409763319999996</v>
      </c>
      <c r="L85" s="628">
        <f t="shared" si="11"/>
        <v>43.77585904</v>
      </c>
      <c r="M85" s="628">
        <f t="shared" si="11"/>
        <v>47.713744900000002</v>
      </c>
      <c r="N85" s="628">
        <f t="shared" si="11"/>
        <v>51.932078850000003</v>
      </c>
      <c r="S85"/>
      <c r="T85" s="605" t="s">
        <v>92</v>
      </c>
      <c r="U85" s="640">
        <f>+T64</f>
        <v>1.8434407399999999</v>
      </c>
      <c r="V85" s="640">
        <f t="shared" ref="V85:AF87" si="12">+U85+U64</f>
        <v>3.53988835</v>
      </c>
      <c r="W85" s="640">
        <f t="shared" si="12"/>
        <v>5.27278175</v>
      </c>
      <c r="X85" s="640">
        <f t="shared" si="12"/>
        <v>7.0971748300000002</v>
      </c>
      <c r="Y85" s="640">
        <f t="shared" si="12"/>
        <v>8.9956645799999997</v>
      </c>
      <c r="Z85" s="640">
        <f t="shared" si="12"/>
        <v>10.7867602</v>
      </c>
      <c r="AA85" s="640">
        <f t="shared" si="12"/>
        <v>12.521091999999999</v>
      </c>
      <c r="AB85" s="640">
        <f t="shared" si="12"/>
        <v>14.38346344</v>
      </c>
      <c r="AC85" s="640">
        <f t="shared" si="12"/>
        <v>16.447968279999998</v>
      </c>
      <c r="AD85" s="640">
        <f t="shared" si="12"/>
        <v>18.436183579999998</v>
      </c>
      <c r="AE85" s="640">
        <f t="shared" si="12"/>
        <v>20.584132569999998</v>
      </c>
      <c r="AF85" s="640">
        <f t="shared" si="12"/>
        <v>23.009027639999999</v>
      </c>
      <c r="AG85" s="158"/>
      <c r="AH85" s="158"/>
      <c r="AI85"/>
      <c r="AJ85" s="621" t="s">
        <v>92</v>
      </c>
      <c r="AK85" s="648">
        <f>+AJ64</f>
        <v>2.2730159700000003</v>
      </c>
      <c r="AL85" s="648">
        <f t="shared" ref="AL85:AV87" si="13">+AK85+AK64</f>
        <v>4.6853421500000003</v>
      </c>
      <c r="AM85" s="648">
        <f t="shared" si="13"/>
        <v>7.1937921199999995</v>
      </c>
      <c r="AN85" s="648">
        <f t="shared" si="13"/>
        <v>9.5423360099999996</v>
      </c>
      <c r="AO85" s="648">
        <f t="shared" si="13"/>
        <v>11.870966339999999</v>
      </c>
      <c r="AP85" s="648">
        <f t="shared" si="13"/>
        <v>14.093506659999999</v>
      </c>
      <c r="AQ85" s="648">
        <f t="shared" si="13"/>
        <v>17.190855119999998</v>
      </c>
      <c r="AR85" s="648">
        <f t="shared" si="13"/>
        <v>20.368586899999997</v>
      </c>
      <c r="AS85" s="648">
        <f t="shared" si="13"/>
        <v>22.961795039999998</v>
      </c>
      <c r="AT85" s="648">
        <f t="shared" si="13"/>
        <v>25.339675459999999</v>
      </c>
      <c r="AU85" s="648">
        <f t="shared" si="13"/>
        <v>27.12961233</v>
      </c>
      <c r="AV85" s="648">
        <f t="shared" si="13"/>
        <v>28.923051210000001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4.254893</v>
      </c>
      <c r="D86" s="633">
        <f t="shared" si="11"/>
        <v>8.5426970000000004</v>
      </c>
      <c r="E86" s="633">
        <f t="shared" si="11"/>
        <v>12.884092000000001</v>
      </c>
      <c r="F86" s="633">
        <f t="shared" si="11"/>
        <v>17.241128</v>
      </c>
      <c r="G86" s="633">
        <f t="shared" si="11"/>
        <v>21.546703000000001</v>
      </c>
      <c r="H86" s="633">
        <f t="shared" si="11"/>
        <v>25.715029999999999</v>
      </c>
      <c r="I86" s="633">
        <f t="shared" si="11"/>
        <v>30.564150999999999</v>
      </c>
      <c r="J86" s="633">
        <f t="shared" si="11"/>
        <v>35.624403999999998</v>
      </c>
      <c r="K86" s="633">
        <f t="shared" si="11"/>
        <v>40.402903999999999</v>
      </c>
      <c r="L86" s="633">
        <f t="shared" si="11"/>
        <v>44.962130999999999</v>
      </c>
      <c r="M86" s="633">
        <f t="shared" si="11"/>
        <v>49.305777999999997</v>
      </c>
      <c r="N86" s="633">
        <f t="shared" si="11"/>
        <v>53.669147999999993</v>
      </c>
      <c r="S86"/>
      <c r="T86" s="601" t="s">
        <v>94</v>
      </c>
      <c r="U86" s="642">
        <f>+T65</f>
        <v>1.8286169999999999</v>
      </c>
      <c r="V86" s="642">
        <f t="shared" si="12"/>
        <v>3.5907929999999997</v>
      </c>
      <c r="W86" s="642">
        <f t="shared" si="12"/>
        <v>5.3270549999999997</v>
      </c>
      <c r="X86" s="642">
        <f t="shared" si="12"/>
        <v>7.172879</v>
      </c>
      <c r="Y86" s="642">
        <f t="shared" si="12"/>
        <v>8.9903440000000003</v>
      </c>
      <c r="Z86" s="642">
        <f t="shared" si="12"/>
        <v>10.939229000000001</v>
      </c>
      <c r="AA86" s="642">
        <f t="shared" si="12"/>
        <v>12.733932000000001</v>
      </c>
      <c r="AB86" s="642">
        <f t="shared" si="12"/>
        <v>14.611417000000001</v>
      </c>
      <c r="AC86" s="642">
        <f t="shared" si="12"/>
        <v>16.643724000000002</v>
      </c>
      <c r="AD86" s="642">
        <f t="shared" si="12"/>
        <v>18.518579000000003</v>
      </c>
      <c r="AE86" s="642">
        <f t="shared" si="12"/>
        <v>20.470375000000004</v>
      </c>
      <c r="AF86" s="642">
        <f t="shared" si="12"/>
        <v>22.595268000000004</v>
      </c>
      <c r="AG86" s="158"/>
      <c r="AH86" s="158"/>
      <c r="AI86"/>
      <c r="AJ86" s="617" t="s">
        <v>94</v>
      </c>
      <c r="AK86" s="649">
        <f>+AJ65</f>
        <v>2.4262760000000001</v>
      </c>
      <c r="AL86" s="649">
        <f t="shared" si="13"/>
        <v>4.9519040000000007</v>
      </c>
      <c r="AM86" s="649">
        <f t="shared" si="13"/>
        <v>7.5570370000000011</v>
      </c>
      <c r="AN86" s="649">
        <f t="shared" si="13"/>
        <v>10.068249000000002</v>
      </c>
      <c r="AO86" s="649">
        <f t="shared" si="13"/>
        <v>12.556359</v>
      </c>
      <c r="AP86" s="649">
        <f t="shared" si="13"/>
        <v>14.775801000000001</v>
      </c>
      <c r="AQ86" s="649">
        <f t="shared" si="13"/>
        <v>17.830219</v>
      </c>
      <c r="AR86" s="649">
        <f t="shared" si="13"/>
        <v>21.012986999999999</v>
      </c>
      <c r="AS86" s="649">
        <f t="shared" si="13"/>
        <v>23.759180000000001</v>
      </c>
      <c r="AT86" s="649">
        <f t="shared" si="13"/>
        <v>26.443552</v>
      </c>
      <c r="AU86" s="649">
        <f t="shared" si="13"/>
        <v>28.835402999999999</v>
      </c>
      <c r="AV86" s="649">
        <f t="shared" si="13"/>
        <v>31.073879999999999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3.9965098500000003</v>
      </c>
      <c r="D87" s="629">
        <f t="shared" si="11"/>
        <v>8.3478607400000016</v>
      </c>
      <c r="E87" s="629">
        <f t="shared" si="11"/>
        <v>12.572751870000001</v>
      </c>
      <c r="F87" s="629">
        <f t="shared" si="11"/>
        <v>16.930725560000003</v>
      </c>
      <c r="G87" s="629">
        <f t="shared" si="11"/>
        <v>21.077113150000002</v>
      </c>
      <c r="H87" s="629">
        <f t="shared" si="11"/>
        <v>25.027155830000002</v>
      </c>
      <c r="I87" s="629">
        <f t="shared" si="11"/>
        <v>29.687942400000001</v>
      </c>
      <c r="J87" s="629">
        <f t="shared" si="11"/>
        <v>34.252798940000005</v>
      </c>
      <c r="K87" s="629">
        <f t="shared" si="11"/>
        <v>38.689100190000005</v>
      </c>
      <c r="L87" s="629">
        <f t="shared" si="11"/>
        <v>42.870774490000002</v>
      </c>
      <c r="M87" s="629">
        <f t="shared" si="11"/>
        <v>47.090140699999999</v>
      </c>
      <c r="N87" s="629">
        <f t="shared" si="11"/>
        <v>51.292791460000004</v>
      </c>
      <c r="S87"/>
      <c r="T87" s="608" t="s">
        <v>93</v>
      </c>
      <c r="U87" s="645">
        <f>+T66</f>
        <v>1.60586925</v>
      </c>
      <c r="V87" s="645">
        <f t="shared" si="12"/>
        <v>3.10789933</v>
      </c>
      <c r="W87" s="645">
        <f t="shared" si="12"/>
        <v>4.8599181700000003</v>
      </c>
      <c r="X87" s="645">
        <f t="shared" si="12"/>
        <v>6.4730596699999996</v>
      </c>
      <c r="Y87" s="645">
        <f t="shared" si="12"/>
        <v>7.9977222499999998</v>
      </c>
      <c r="Z87" s="645">
        <f t="shared" si="12"/>
        <v>9.9495145799999989</v>
      </c>
      <c r="AA87" s="645">
        <f t="shared" si="12"/>
        <v>11.645608639999999</v>
      </c>
      <c r="AB87" s="645">
        <f t="shared" si="12"/>
        <v>13.422218959999999</v>
      </c>
      <c r="AC87" s="645">
        <f t="shared" si="12"/>
        <v>15.239687289999999</v>
      </c>
      <c r="AD87" s="645">
        <f t="shared" si="12"/>
        <v>17.091542749999999</v>
      </c>
      <c r="AE87" s="645">
        <f t="shared" si="12"/>
        <v>18.874043959999998</v>
      </c>
      <c r="AF87" s="645">
        <f t="shared" si="12"/>
        <v>20.916025899999998</v>
      </c>
      <c r="AG87" s="158"/>
      <c r="AH87" s="158"/>
      <c r="AI87"/>
      <c r="AJ87" s="624" t="s">
        <v>93</v>
      </c>
      <c r="AK87" s="650">
        <f>+AJ66</f>
        <v>2.3906406000000002</v>
      </c>
      <c r="AL87" s="650">
        <f t="shared" si="13"/>
        <v>5.2399614100000012</v>
      </c>
      <c r="AM87" s="650">
        <f t="shared" si="13"/>
        <v>7.7128337000000009</v>
      </c>
      <c r="AN87" s="650">
        <f t="shared" si="13"/>
        <v>10.457665890000001</v>
      </c>
      <c r="AO87" s="650">
        <f t="shared" si="13"/>
        <v>13.079390900000002</v>
      </c>
      <c r="AP87" s="650">
        <f t="shared" si="13"/>
        <v>15.077641250000001</v>
      </c>
      <c r="AQ87" s="650">
        <f t="shared" si="13"/>
        <v>18.042333759999998</v>
      </c>
      <c r="AR87" s="650">
        <f t="shared" si="13"/>
        <v>20.83057998</v>
      </c>
      <c r="AS87" s="650">
        <f t="shared" si="13"/>
        <v>23.449412899999999</v>
      </c>
      <c r="AT87" s="650">
        <f t="shared" si="13"/>
        <v>25.77923174</v>
      </c>
      <c r="AU87" s="650">
        <f t="shared" si="13"/>
        <v>28.216096739999998</v>
      </c>
      <c r="AV87" s="650">
        <f t="shared" si="13"/>
        <v>30.376765559999999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197" priority="15" operator="lessThan">
      <formula>0</formula>
    </cfRule>
  </conditionalFormatting>
  <conditionalFormatting sqref="O41">
    <cfRule type="cellIs" dxfId="196" priority="14" operator="lessThan">
      <formula>0</formula>
    </cfRule>
  </conditionalFormatting>
  <conditionalFormatting sqref="AX18:AX22">
    <cfRule type="cellIs" dxfId="195" priority="13" operator="lessThan">
      <formula>0</formula>
    </cfRule>
  </conditionalFormatting>
  <conditionalFormatting sqref="BN21:BN22">
    <cfRule type="cellIs" dxfId="194" priority="12" operator="lessThan">
      <formula>0</formula>
    </cfRule>
  </conditionalFormatting>
  <conditionalFormatting sqref="BB43:BB46">
    <cfRule type="cellIs" dxfId="193" priority="11" operator="greaterThan">
      <formula>0</formula>
    </cfRule>
  </conditionalFormatting>
  <conditionalFormatting sqref="AX18:AX20">
    <cfRule type="cellIs" dxfId="192" priority="10" operator="lessThan">
      <formula>0</formula>
    </cfRule>
  </conditionalFormatting>
  <conditionalFormatting sqref="BN18:BN20">
    <cfRule type="cellIs" dxfId="191" priority="9" operator="greaterThan">
      <formula>0</formula>
    </cfRule>
  </conditionalFormatting>
  <conditionalFormatting sqref="P18:P20">
    <cfRule type="cellIs" dxfId="190" priority="8" operator="lessThan">
      <formula>0</formula>
    </cfRule>
  </conditionalFormatting>
  <conditionalFormatting sqref="P67:P68">
    <cfRule type="cellIs" dxfId="189" priority="7" operator="lessThan">
      <formula>0</formula>
    </cfRule>
  </conditionalFormatting>
  <conditionalFormatting sqref="P64:P66">
    <cfRule type="cellIs" dxfId="188" priority="6" operator="lessThan">
      <formula>0</formula>
    </cfRule>
  </conditionalFormatting>
  <conditionalFormatting sqref="AH67:AH68">
    <cfRule type="cellIs" dxfId="187" priority="5" operator="lessThan">
      <formula>0</formula>
    </cfRule>
  </conditionalFormatting>
  <conditionalFormatting sqref="AH64:AH66">
    <cfRule type="cellIs" dxfId="186" priority="4" operator="greaterThan">
      <formula>0</formula>
    </cfRule>
  </conditionalFormatting>
  <conditionalFormatting sqref="AX67:AX68">
    <cfRule type="cellIs" dxfId="185" priority="3" operator="lessThan">
      <formula>0</formula>
    </cfRule>
  </conditionalFormatting>
  <conditionalFormatting sqref="AX64:AX66">
    <cfRule type="cellIs" dxfId="184" priority="2" operator="lessThan">
      <formula>0</formula>
    </cfRule>
  </conditionalFormatting>
  <conditionalFormatting sqref="S21:T23 V21:AH23">
    <cfRule type="cellIs" dxfId="183" priority="1" operator="lessThan">
      <formula>0</formula>
    </cfRule>
  </conditionalFormatting>
  <pageMargins left="0.39370078740157483" right="0.19685039370078741" top="0.74803149606299213" bottom="0.23" header="0.31496062992125984" footer="0.31496062992125984"/>
  <pageSetup paperSize="9" scale="80" pageOrder="overThenDown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34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1018</v>
      </c>
      <c r="B3" s="807" t="str">
        <f>+VLOOKUP($A3,data!$A$4:$AH$32,2,0)</f>
        <v>เด่นชัย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5112</v>
      </c>
      <c r="C9" s="180">
        <f>+VLOOKUP($A$3,data!$A$4:$AH$32,8,0)/10^6</f>
        <v>0.74150700000000003</v>
      </c>
      <c r="D9" s="181">
        <f>+VLOOKUP($A$3,data!$A$4:$AH$32,9,0)</f>
        <v>0.40288071936485087</v>
      </c>
      <c r="E9" s="180">
        <f>+VLOOKUP($A$3,data!$A$4:$AH$32,10,0)/10^6</f>
        <v>9.8793099799999986</v>
      </c>
      <c r="F9" s="182">
        <f>+E9/C9</f>
        <v>13.32328619959083</v>
      </c>
      <c r="G9" s="179">
        <f>+VLOOKUP($A$3,data!$A$4:$AH$32,23,0)</f>
        <v>5199</v>
      </c>
      <c r="H9" s="180">
        <f>+VLOOKUP($A$3,data!$A$4:$AH$32,24,0)/10^6</f>
        <v>0.75067399999999995</v>
      </c>
      <c r="I9" s="181">
        <f>+VLOOKUP($A$3,data!$A$4:$AH$32,25,0)</f>
        <v>0.39892175267004382</v>
      </c>
      <c r="J9" s="180">
        <f>+VLOOKUP($A$3,data!$A$4:$AH$32,26,0)/10^6</f>
        <v>9.9532129799999982</v>
      </c>
      <c r="K9" s="182">
        <f>+J9/H9</f>
        <v>13.259035187045241</v>
      </c>
    </row>
    <row r="10" spans="1:12" ht="26.25" x14ac:dyDescent="0.4">
      <c r="A10" s="187" t="s">
        <v>4</v>
      </c>
      <c r="B10" s="189">
        <f>+B9/B20</f>
        <v>0.84973404255319152</v>
      </c>
      <c r="C10" s="190"/>
      <c r="D10" s="190"/>
      <c r="E10" s="190"/>
      <c r="F10" s="191"/>
      <c r="G10" s="189">
        <f>+G9/G20</f>
        <v>0.84992643452672878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704</v>
      </c>
      <c r="C13" s="180">
        <f>+VLOOKUP($A$3,data!$A$4:$AH$32,12,0)/10^6</f>
        <v>0.24951100000000001</v>
      </c>
      <c r="D13" s="181">
        <f>+VLOOKUP($A$3,data!$A$4:$AH$32,13,0)</f>
        <v>0.96348383484414069</v>
      </c>
      <c r="E13" s="180">
        <f>+VLOOKUP($A$3,data!$A$4:$AH$32,14,0)/10^6</f>
        <v>5.467303199999999</v>
      </c>
      <c r="F13" s="182">
        <f>+E13/C13</f>
        <v>21.912072814425009</v>
      </c>
      <c r="G13" s="179">
        <f>+VLOOKUP($A$3,data!$A$4:$AH$32,27,0)</f>
        <v>712</v>
      </c>
      <c r="H13" s="180">
        <f>+VLOOKUP($A$3,data!$A$4:$AH$32,28,0)/10^6</f>
        <v>0.26146200000000003</v>
      </c>
      <c r="I13" s="181">
        <f>+VLOOKUP($A$3,data!$A$4:$AH$32,29,0)</f>
        <v>1.0117715347109357</v>
      </c>
      <c r="J13" s="180">
        <f>+VLOOKUP($A$3,data!$A$4:$AH$32,30,0)/10^6</f>
        <v>5.750811950000001</v>
      </c>
      <c r="K13" s="182">
        <f>+J13/H13</f>
        <v>21.994828885268223</v>
      </c>
    </row>
    <row r="14" spans="1:12" ht="26.25" x14ac:dyDescent="0.4">
      <c r="A14" s="187" t="s">
        <v>29</v>
      </c>
      <c r="B14" s="189">
        <f>+B13/B20</f>
        <v>0.11702127659574468</v>
      </c>
      <c r="C14" s="190"/>
      <c r="D14" s="190"/>
      <c r="E14" s="190"/>
      <c r="F14" s="191"/>
      <c r="G14" s="189">
        <f>+G13/G20</f>
        <v>0.11639692659800556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200</v>
      </c>
      <c r="C17" s="180">
        <f>+VLOOKUP($A$3,data!$A$4:$AH$32,16,0)/10^6</f>
        <v>0.109029</v>
      </c>
      <c r="D17" s="181">
        <f>+VLOOKUP($A$3,data!$A$4:$AH$32,17,0)</f>
        <v>1.4861173584134124</v>
      </c>
      <c r="E17" s="180">
        <f>+VLOOKUP($A$3,data!$A$4:$AH$32,18,0)/10^6</f>
        <v>3.0223196500000005</v>
      </c>
      <c r="F17" s="182">
        <f>+E17/C17</f>
        <v>27.720328077850851</v>
      </c>
      <c r="G17" s="179">
        <f>+VLOOKUP($A$3,data!$A$4:$AH$32,31,0)</f>
        <v>206</v>
      </c>
      <c r="H17" s="180">
        <f>+VLOOKUP($A$3,data!$A$4:$AH$32,32,0)/10^6</f>
        <v>0.108198</v>
      </c>
      <c r="I17" s="181">
        <f>+VLOOKUP($A$3,data!$A$4:$AH$32,33,0)</f>
        <v>1.4602604764154126</v>
      </c>
      <c r="J17" s="180">
        <f>+VLOOKUP($A$3,data!$A$4:$AH$32,34,0)/10^6</f>
        <v>3.0307094999999999</v>
      </c>
      <c r="K17" s="182">
        <f>+J17/H17</f>
        <v>28.010771918150056</v>
      </c>
    </row>
    <row r="18" spans="1:11" ht="26.25" x14ac:dyDescent="0.4">
      <c r="A18" s="187" t="s">
        <v>30</v>
      </c>
      <c r="B18" s="189">
        <f>+B17/B20</f>
        <v>3.3244680851063829E-2</v>
      </c>
      <c r="C18" s="190"/>
      <c r="D18" s="190"/>
      <c r="E18" s="190"/>
      <c r="F18" s="191"/>
      <c r="G18" s="189">
        <f>+G17/G20</f>
        <v>3.3676638875265653E-2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6016</v>
      </c>
      <c r="C20" s="180">
        <f>+VLOOKUP($A$3,data!$A$4:$AH$32,4,0)/10^6</f>
        <v>1.100047</v>
      </c>
      <c r="D20" s="181">
        <f>+VLOOKUP($A$3,data!$A$4:$AH$32,5,0)</f>
        <v>0.5062703506232612</v>
      </c>
      <c r="E20" s="180">
        <f>+VLOOKUP($A$3,data!$A$4:$AH$32,6,0)/10^6</f>
        <v>18.368932829999999</v>
      </c>
      <c r="F20" s="182">
        <f>+E20/C20</f>
        <v>16.698316371936833</v>
      </c>
      <c r="G20" s="179">
        <f>+VLOOKUP($A$3,data!$A$4:$AH$32,19,0)</f>
        <v>6117</v>
      </c>
      <c r="H20" s="180">
        <f>+VLOOKUP($A$3,data!$A$4:$AH$32,20,0)/10^6</f>
        <v>1.1203339999999999</v>
      </c>
      <c r="I20" s="181">
        <f>+VLOOKUP($A$3,data!$A$4:$AH$32,21,0)</f>
        <v>0.50596030976313888</v>
      </c>
      <c r="J20" s="180">
        <f>+VLOOKUP($A$3,data!$A$4:$AH$32,22,0)/10^6</f>
        <v>18.734734429999996</v>
      </c>
      <c r="K20" s="182">
        <f>+J20/H20</f>
        <v>16.722454580509023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เด่นชัย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="82" zoomScaleNormal="100" zoomScalePageLayoutView="82" workbookViewId="0"/>
  </sheetViews>
  <sheetFormatPr defaultRowHeight="21" x14ac:dyDescent="0.35"/>
  <cols>
    <col min="1" max="1" width="9" style="158" bestFit="1" customWidth="1"/>
    <col min="2" max="2" width="6.25" style="158" bestFit="1" customWidth="1"/>
    <col min="3" max="6" width="5.375" style="158" bestFit="1" customWidth="1"/>
    <col min="7" max="7" width="5.625" style="158" bestFit="1" customWidth="1"/>
    <col min="8" max="14" width="6.6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6.625" bestFit="1" customWidth="1"/>
    <col min="48" max="48" width="6.75" bestFit="1" customWidth="1"/>
    <col min="49" max="49" width="7.75" bestFit="1" customWidth="1"/>
    <col min="50" max="50" width="6.75" bestFit="1" customWidth="1"/>
    <col min="51" max="51" width="8.25" customWidth="1"/>
    <col min="52" max="67" width="7" bestFit="1" customWidth="1"/>
    <col min="68" max="68" width="9.125" customWidth="1"/>
  </cols>
  <sheetData>
    <row r="1" spans="1:66" ht="27" thickBot="1" x14ac:dyDescent="0.25">
      <c r="A1" s="248">
        <v>1018</v>
      </c>
      <c r="B1" s="817" t="str">
        <f>+VLOOKUP($A$1,data!$A$4:$AH$32,2,0)</f>
        <v>เด่นชัย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1018</v>
      </c>
      <c r="T1" s="817" t="str">
        <f>+VLOOKUP($A$1,data!$A$4:$AH$32,2,0)</f>
        <v>เด่นชัย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1018</v>
      </c>
      <c r="AJ1" s="817" t="str">
        <f>+VLOOKUP($A$1,data!$A$4:$AH$32,2,0)</f>
        <v>เด่นชัย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1018</v>
      </c>
      <c r="AZ1" s="817" t="str">
        <f>+VLOOKUP($A$1,data!$A$4:$AH$32,2,0)</f>
        <v>เด่นชัย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6</v>
      </c>
      <c r="C18" s="406">
        <f>+VLOOKUP($A$1,data!$A$37:$AU$67,36)</f>
        <v>14</v>
      </c>
      <c r="D18" s="406">
        <f>+VLOOKUP($A$1,data!$A$37:$AU$67,37)</f>
        <v>14</v>
      </c>
      <c r="E18" s="406">
        <f>+VLOOKUP($A$1,data!$A$37:$AU$67,38)</f>
        <v>9</v>
      </c>
      <c r="F18" s="406">
        <f>+VLOOKUP($A$1,data!$A$37:$AU$67,39)</f>
        <v>12</v>
      </c>
      <c r="G18" s="406">
        <f>+VLOOKUP($A$1,data!$A$37:$AU$67,40)</f>
        <v>33</v>
      </c>
      <c r="H18" s="406">
        <f>+VLOOKUP($A$1,data!$A$37:$AU$67,41)</f>
        <v>9</v>
      </c>
      <c r="I18" s="406">
        <f>+VLOOKUP($A$1,data!$A$37:$AU$67,42)</f>
        <v>12</v>
      </c>
      <c r="J18" s="406">
        <f>+VLOOKUP($A$1,data!$A$37:$AU$67,43)</f>
        <v>17</v>
      </c>
      <c r="K18" s="406">
        <f>+VLOOKUP($A$1,data!$A$37:$AU$67,44)</f>
        <v>8</v>
      </c>
      <c r="L18" s="406">
        <f>+VLOOKUP($A$1,data!$A$37:$AU$67,45)</f>
        <v>17</v>
      </c>
      <c r="M18" s="406">
        <f>+VLOOKUP($A$1,data!$A$37:$AU$67,46)</f>
        <v>9</v>
      </c>
      <c r="N18" s="406">
        <f>SUM(B18:M18)</f>
        <v>160</v>
      </c>
      <c r="O18" s="406">
        <f>SUM(B18:M18)</f>
        <v>160</v>
      </c>
      <c r="P18" s="407">
        <f>+O20-O18</f>
        <v>-34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8.7046999999999999E-2</v>
      </c>
      <c r="AK18" s="418">
        <f>+VLOOKUP($A$1,data!$A$69:$AU$99,36)</f>
        <v>8.9770000000000003E-2</v>
      </c>
      <c r="AL18" s="418">
        <f>+VLOOKUP($A$1,data!$A$69:$AU$99,37)</f>
        <v>8.5530999999999996E-2</v>
      </c>
      <c r="AM18" s="418">
        <f>+VLOOKUP($A$1,data!$A$69:$AU$99,38)</f>
        <v>8.6753999999999998E-2</v>
      </c>
      <c r="AN18" s="418">
        <f>+VLOOKUP($A$1,data!$A$69:$AU$99,39)</f>
        <v>8.3277000000000004E-2</v>
      </c>
      <c r="AO18" s="418">
        <f>+VLOOKUP($A$1,data!$A$69:$AU$99,40)</f>
        <v>8.5970000000000005E-2</v>
      </c>
      <c r="AP18" s="418">
        <f>+VLOOKUP($A$1,data!$A$69:$AU$99,41)</f>
        <v>0.104447</v>
      </c>
      <c r="AQ18" s="418">
        <f>+VLOOKUP($A$1,data!$A$69:$AU$99,42)</f>
        <v>0.114435</v>
      </c>
      <c r="AR18" s="418">
        <f>+VLOOKUP($A$1,data!$A$69:$AU$99,43)</f>
        <v>0.10123799999999999</v>
      </c>
      <c r="AS18" s="418">
        <f>+VLOOKUP($A$1,data!$A$69:$AU$99,44)</f>
        <v>9.4767000000000004E-2</v>
      </c>
      <c r="AT18" s="418">
        <f>+VLOOKUP($A$1,data!$A$69:$AU$99,45)</f>
        <v>8.5385000000000003E-2</v>
      </c>
      <c r="AU18" s="418">
        <f>+VLOOKUP($A$1,data!$A$69:$AU$99,46)</f>
        <v>8.5763000000000006E-2</v>
      </c>
      <c r="AV18" s="418">
        <f>SUM(AJ18:AU18)</f>
        <v>1.104384</v>
      </c>
      <c r="AW18" s="418">
        <f>SUM(AJ18:AU18)</f>
        <v>1.104384</v>
      </c>
      <c r="AX18" s="419">
        <f>+AW20-AW18</f>
        <v>1.6802999999999901E-2</v>
      </c>
      <c r="AY18" s="308" t="s">
        <v>92</v>
      </c>
      <c r="AZ18" s="309">
        <f>+VLOOKUP($A$1,data!$A$101:$AU$131,35)</f>
        <v>2.6520999999999999E-2</v>
      </c>
      <c r="BA18" s="309">
        <f>+VLOOKUP($A$1,data!$A$101:$AU$131,36)</f>
        <v>2.2887000000000001E-2</v>
      </c>
      <c r="BB18" s="309">
        <f>+VLOOKUP($A$1,data!$A$101:$AU$131,37)</f>
        <v>2.8091999999999999E-2</v>
      </c>
      <c r="BC18" s="309">
        <f>+VLOOKUP($A$1,data!$A$101:$AU$131,38)</f>
        <v>2.7709999999999999E-2</v>
      </c>
      <c r="BD18" s="309">
        <f>+VLOOKUP($A$1,data!$A$101:$AU$131,39)</f>
        <v>2.5520999999999999E-2</v>
      </c>
      <c r="BE18" s="309">
        <f>+VLOOKUP($A$1,data!$A$101:$AU$131,40)</f>
        <v>2.6938E-2</v>
      </c>
      <c r="BF18" s="309">
        <f>+VLOOKUP($A$1,data!$A$101:$AU$131,41)</f>
        <v>4.2243000000000003E-2</v>
      </c>
      <c r="BG18" s="309">
        <f>+VLOOKUP($A$1,data!$A$101:$AU$131,42)</f>
        <v>3.2638E-2</v>
      </c>
      <c r="BH18" s="309">
        <f>+VLOOKUP($A$1,data!$A$101:$AU$131,43)</f>
        <v>2.5319000000000001E-2</v>
      </c>
      <c r="BI18" s="309">
        <f>+VLOOKUP($A$1,data!$A$101:$AU$131,44)</f>
        <v>2.3900999999999999E-2</v>
      </c>
      <c r="BJ18" s="309">
        <f>+VLOOKUP($A$1,data!$A$101:$AU$131,45)</f>
        <v>2.3990000000000001E-2</v>
      </c>
      <c r="BK18" s="309">
        <f>+VLOOKUP($A$1,data!$A$101:$AU$131,46)</f>
        <v>2.3675000000000002E-2</v>
      </c>
      <c r="BL18" s="309">
        <f>SUM(AZ18:BK18)</f>
        <v>0.32943499999999998</v>
      </c>
      <c r="BM18" s="309">
        <f>SUM(AZ18:BK18)</f>
        <v>0.32943499999999998</v>
      </c>
      <c r="BN18" s="310">
        <f>+BM20-BM18</f>
        <v>-2.6141999999999999E-2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12.218181818181819</v>
      </c>
      <c r="C19" s="409">
        <f>+VLOOKUP($A$1,data!$A$37:$AU$67,20)</f>
        <v>19.854545454545452</v>
      </c>
      <c r="D19" s="409">
        <f>+VLOOKUP($A$1,data!$A$37:$AU$67,21)</f>
        <v>22.4</v>
      </c>
      <c r="E19" s="409">
        <f>+VLOOKUP($A$1,data!$A$37:$AU$67,22)</f>
        <v>18.83636363636364</v>
      </c>
      <c r="F19" s="409">
        <f>+VLOOKUP($A$1,data!$A$37:$AU$67,23)</f>
        <v>33.6</v>
      </c>
      <c r="G19" s="409">
        <f>+VLOOKUP($A$1,data!$A$37:$AU$67,24)</f>
        <v>32.581818181818178</v>
      </c>
      <c r="H19" s="409">
        <f>+VLOOKUP($A$1,data!$A$37:$AU$67,25)</f>
        <v>12.218181818181819</v>
      </c>
      <c r="I19" s="409">
        <f>+VLOOKUP($A$1,data!$A$37:$AU$67,26)</f>
        <v>19.345454545454544</v>
      </c>
      <c r="J19" s="409">
        <f>+VLOOKUP($A$1,data!$A$37:$AU$67,27)</f>
        <v>26.472727272727273</v>
      </c>
      <c r="K19" s="409">
        <f>+VLOOKUP($A$1,data!$A$37:$AU$67,28)</f>
        <v>18.83636363636364</v>
      </c>
      <c r="L19" s="409">
        <f>+VLOOKUP($A$1,data!$A$37:$AU$67,29)</f>
        <v>20.872727272727271</v>
      </c>
      <c r="M19" s="409">
        <f>+VLOOKUP($A$1,data!$A$37:$AU$67,30)</f>
        <v>14.763636363636362</v>
      </c>
      <c r="N19" s="409">
        <f>SUM(B19:M19)</f>
        <v>252</v>
      </c>
      <c r="O19" s="630">
        <f t="shared" ref="O19:O20" si="0">SUM(B19:M19)</f>
        <v>252</v>
      </c>
      <c r="P19" s="412">
        <f>+O20-O19</f>
        <v>-126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8.9500999999999997E-2</v>
      </c>
      <c r="AK19" s="423">
        <f>+VLOOKUP($A$1,data!$A$69:$AU$99,20)</f>
        <v>8.9898000000000006E-2</v>
      </c>
      <c r="AL19" s="423">
        <f>+VLOOKUP($A$1,data!$A$69:$AU$99,21)</f>
        <v>8.7529999999999997E-2</v>
      </c>
      <c r="AM19" s="423">
        <f>+VLOOKUP($A$1,data!$A$69:$AU$99,22)</f>
        <v>9.2595999999999998E-2</v>
      </c>
      <c r="AN19" s="423">
        <f>+VLOOKUP($A$1,data!$A$69:$AU$99,23)</f>
        <v>8.8378999999999999E-2</v>
      </c>
      <c r="AO19" s="423">
        <f>+VLOOKUP($A$1,data!$A$69:$AU$99,24)</f>
        <v>8.7216000000000002E-2</v>
      </c>
      <c r="AP19" s="423">
        <f>+VLOOKUP($A$1,data!$A$69:$AU$99,25)</f>
        <v>0.10477400000000001</v>
      </c>
      <c r="AQ19" s="423">
        <f>+VLOOKUP($A$1,data!$A$69:$AU$99,26)</f>
        <v>0.115401</v>
      </c>
      <c r="AR19" s="423">
        <f>+VLOOKUP($A$1,data!$A$69:$AU$99,27)</f>
        <v>0.106169</v>
      </c>
      <c r="AS19" s="423">
        <f>+VLOOKUP($A$1,data!$A$69:$AU$99,28)</f>
        <v>9.9061999999999997E-2</v>
      </c>
      <c r="AT19" s="423">
        <f>+VLOOKUP($A$1,data!$A$69:$AU$99,29)</f>
        <v>9.1665999999999997E-2</v>
      </c>
      <c r="AU19" s="423">
        <f>+VLOOKUP($A$1,data!$A$69:$AU$99,30)</f>
        <v>8.8727E-2</v>
      </c>
      <c r="AV19" s="423">
        <f>SUM(AJ19:AU19)</f>
        <v>1.1409189999999998</v>
      </c>
      <c r="AW19" s="424">
        <f t="shared" ref="AW19:AW20" si="1">SUM(AJ19:AU19)</f>
        <v>1.1409189999999998</v>
      </c>
      <c r="AX19" s="425">
        <f>+AW20-AW19</f>
        <v>-1.9731999999999861E-2</v>
      </c>
      <c r="AY19" s="311" t="s">
        <v>94</v>
      </c>
      <c r="AZ19" s="312">
        <f>+VLOOKUP($A$1,data!$A$101:$AU$131,19)</f>
        <v>3.0905999999999999E-2</v>
      </c>
      <c r="BA19" s="312">
        <f>+VLOOKUP($A$1,data!$A$101:$AU$131,20)</f>
        <v>3.0886E-2</v>
      </c>
      <c r="BB19" s="312">
        <f>+VLOOKUP($A$1,data!$A$101:$AU$131,21)</f>
        <v>3.3066999999999999E-2</v>
      </c>
      <c r="BC19" s="312">
        <f>+VLOOKUP($A$1,data!$A$101:$AU$131,22)</f>
        <v>3.1233E-2</v>
      </c>
      <c r="BD19" s="312">
        <f>+VLOOKUP($A$1,data!$A$101:$AU$131,23)</f>
        <v>2.7341000000000001E-2</v>
      </c>
      <c r="BE19" s="312">
        <f>+VLOOKUP($A$1,data!$A$101:$AU$131,24)</f>
        <v>2.8160999999999999E-2</v>
      </c>
      <c r="BF19" s="312">
        <f>+VLOOKUP($A$1,data!$A$101:$AU$131,25)</f>
        <v>3.2006E-2</v>
      </c>
      <c r="BG19" s="312">
        <f>+VLOOKUP($A$1,data!$A$101:$AU$131,26)</f>
        <v>2.7577999999999998E-2</v>
      </c>
      <c r="BH19" s="312">
        <f>+VLOOKUP($A$1,data!$A$101:$AU$131,27)</f>
        <v>2.4687000000000001E-2</v>
      </c>
      <c r="BI19" s="312">
        <f>+VLOOKUP($A$1,data!$A$101:$AU$131,28)</f>
        <v>2.53E-2</v>
      </c>
      <c r="BJ19" s="312">
        <f>+VLOOKUP($A$1,data!$A$101:$AU$131,29)</f>
        <v>2.5867999999999999E-2</v>
      </c>
      <c r="BK19" s="312">
        <f>+VLOOKUP($A$1,data!$A$101:$AU$131,30)</f>
        <v>2.3758999999999999E-2</v>
      </c>
      <c r="BL19" s="312">
        <f>SUM(AZ19:BK19)</f>
        <v>0.34079199999999998</v>
      </c>
      <c r="BM19" s="313">
        <f t="shared" ref="BM19:BM20" si="2">SUM(AZ19:BK19)</f>
        <v>0.34079199999999998</v>
      </c>
      <c r="BN19" s="314">
        <f>+BM20-BM19</f>
        <v>-3.7499000000000005E-2</v>
      </c>
    </row>
    <row r="20" spans="1:66" s="247" customFormat="1" ht="19.5" thickBot="1" x14ac:dyDescent="0.35">
      <c r="A20" s="413" t="s">
        <v>93</v>
      </c>
      <c r="B20" s="414">
        <f>+VLOOKUP($A$1,data!$A$37:$AU$67,3)</f>
        <v>5</v>
      </c>
      <c r="C20" s="414">
        <f>+VLOOKUP($A$1,data!$A$37:$AU$67,4)</f>
        <v>7</v>
      </c>
      <c r="D20" s="414">
        <f>+VLOOKUP($A$1,data!$A$37:$AU$67,5)</f>
        <v>20</v>
      </c>
      <c r="E20" s="414">
        <f>+VLOOKUP($A$1,data!$A$37:$AU$67,6)</f>
        <v>8</v>
      </c>
      <c r="F20" s="414">
        <f>+VLOOKUP($A$1,data!$A$37:$AU$67,7)</f>
        <v>14</v>
      </c>
      <c r="G20" s="414">
        <f>+VLOOKUP($A$1,data!$A$37:$AU$67,8)</f>
        <v>24</v>
      </c>
      <c r="H20" s="414">
        <f>+VLOOKUP($A$1,data!$A$37:$AU$67,9)</f>
        <v>6</v>
      </c>
      <c r="I20" s="414">
        <f>+VLOOKUP($A$1,data!$A$37:$AU$67,10)</f>
        <v>12</v>
      </c>
      <c r="J20" s="414">
        <f>+VLOOKUP($A$1,data!$A$37:$AU$67,11)</f>
        <v>2</v>
      </c>
      <c r="K20" s="414">
        <f>+VLOOKUP($A$1,data!$A$37:$AU$67,12)</f>
        <v>3</v>
      </c>
      <c r="L20" s="414">
        <f>+VLOOKUP($A$1,data!$A$37:$AU$67,13)</f>
        <v>12</v>
      </c>
      <c r="M20" s="414">
        <f>+VLOOKUP($A$1,data!$A$37:$AU$67,14)</f>
        <v>13</v>
      </c>
      <c r="N20" s="414">
        <f>SUM(B20:M20)</f>
        <v>126</v>
      </c>
      <c r="O20" s="631">
        <f t="shared" si="0"/>
        <v>126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8.7942000000000006E-2</v>
      </c>
      <c r="AK20" s="420">
        <f>+VLOOKUP($A$1,data!$A$69:$AU$99,4)</f>
        <v>8.7984999999999994E-2</v>
      </c>
      <c r="AL20" s="420">
        <f>+VLOOKUP($A$1,data!$A$69:$AU$99,5)</f>
        <v>8.9039999999999994E-2</v>
      </c>
      <c r="AM20" s="420">
        <f>+VLOOKUP($A$1,data!$A$69:$AU$99,6)</f>
        <v>9.3789999999999998E-2</v>
      </c>
      <c r="AN20" s="420">
        <f>+VLOOKUP($A$1,data!$A$69:$AU$99,7)</f>
        <v>8.5854E-2</v>
      </c>
      <c r="AO20" s="420">
        <f>+VLOOKUP($A$1,data!$A$69:$AU$99,8)</f>
        <v>8.8598999999999997E-2</v>
      </c>
      <c r="AP20" s="420">
        <f>+VLOOKUP($A$1,data!$A$69:$AU$99,9)</f>
        <v>0.108864</v>
      </c>
      <c r="AQ20" s="420">
        <f>+VLOOKUP($A$1,data!$A$69:$AU$99,10)</f>
        <v>0.105974</v>
      </c>
      <c r="AR20" s="420">
        <f>+VLOOKUP($A$1,data!$A$69:$AU$99,11)</f>
        <v>9.7184000000000006E-2</v>
      </c>
      <c r="AS20" s="420">
        <f>+VLOOKUP($A$1,data!$A$69:$AU$99,12)</f>
        <v>9.3690999999999997E-2</v>
      </c>
      <c r="AT20" s="420">
        <f>+VLOOKUP($A$1,data!$A$69:$AU$99,13)</f>
        <v>9.1471999999999998E-2</v>
      </c>
      <c r="AU20" s="420">
        <f>+VLOOKUP($A$1,data!$A$69:$AU$99,14)</f>
        <v>9.0791999999999998E-2</v>
      </c>
      <c r="AV20" s="420">
        <f>SUM(AJ20:AU20)</f>
        <v>1.1211869999999999</v>
      </c>
      <c r="AW20" s="421">
        <f t="shared" si="1"/>
        <v>1.1211869999999999</v>
      </c>
      <c r="AX20" s="422"/>
      <c r="AY20" s="315" t="s">
        <v>93</v>
      </c>
      <c r="AZ20" s="316">
        <f>+VLOOKUP($A$1,data!$A$101:$AU$131,3)</f>
        <v>2.3102999999999999E-2</v>
      </c>
      <c r="BA20" s="316">
        <f>+VLOOKUP($A$1,data!$A$101:$AU$131,4)</f>
        <v>2.2945E-2</v>
      </c>
      <c r="BB20" s="316">
        <f>+VLOOKUP($A$1,data!$A$101:$AU$131,5)</f>
        <v>2.5294000000000001E-2</v>
      </c>
      <c r="BC20" s="316">
        <f>+VLOOKUP($A$1,data!$A$101:$AU$131,6)</f>
        <v>2.4093E-2</v>
      </c>
      <c r="BD20" s="316">
        <f>+VLOOKUP($A$1,data!$A$101:$AU$131,7)</f>
        <v>2.2696000000000001E-2</v>
      </c>
      <c r="BE20" s="316">
        <f>+VLOOKUP($A$1,data!$A$101:$AU$131,8)</f>
        <v>2.4229000000000001E-2</v>
      </c>
      <c r="BF20" s="316">
        <f>+VLOOKUP($A$1,data!$A$101:$AU$131,9)</f>
        <v>2.7747999999999998E-2</v>
      </c>
      <c r="BG20" s="316">
        <f>+VLOOKUP($A$1,data!$A$101:$AU$131,10)</f>
        <v>2.7274E-2</v>
      </c>
      <c r="BH20" s="316">
        <f>+VLOOKUP($A$1,data!$A$101:$AU$131,11)</f>
        <v>2.5062999999999998E-2</v>
      </c>
      <c r="BI20" s="316">
        <f>+VLOOKUP($A$1,data!$A$101:$AU$131,12)</f>
        <v>2.6126E-2</v>
      </c>
      <c r="BJ20" s="316">
        <f>+VLOOKUP($A$1,data!$A$101:$AU$131,13)</f>
        <v>2.6381999999999999E-2</v>
      </c>
      <c r="BK20" s="316">
        <f>+VLOOKUP($A$1,data!$A$101:$AU$131,14)</f>
        <v>2.8340000000000001E-2</v>
      </c>
      <c r="BL20" s="316">
        <f>SUM(AZ20:BK20)</f>
        <v>0.30329299999999998</v>
      </c>
      <c r="BM20" s="317">
        <f t="shared" si="2"/>
        <v>0.30329299999999998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49.472727272727269</v>
      </c>
      <c r="W21" s="671">
        <f>+VLOOKUP($A$1,data!$A$261:$AK$291,16)</f>
        <v>27</v>
      </c>
      <c r="X21" s="671">
        <f>+VLOOKUP($A$1,data!$A$261:$AK$291,36)</f>
        <v>130.4909090909091</v>
      </c>
      <c r="Y21" s="671">
        <f>+VLOOKUP($A$1,data!$A$261:$AK$291,17)</f>
        <v>72</v>
      </c>
      <c r="Z21" s="671">
        <f>+VLOOKUP($A$1,data!$A$261:$AK$291,37)</f>
        <v>180.52727272727273</v>
      </c>
      <c r="AA21" s="671">
        <f>+VLOOKUP($A$1,data!$A$261:$AK$291,18)</f>
        <v>92</v>
      </c>
      <c r="AB21" s="671">
        <f>+VLOOKUP($A$1,data!$A$261:$AK$291,34)</f>
        <v>221</v>
      </c>
      <c r="AC21" s="671">
        <f>+VLOOKUP($A$1,data!$A$261:$AK$291,15)</f>
        <v>117</v>
      </c>
      <c r="AD21" s="671">
        <f>+AA21-Z21</f>
        <v>-88.527272727272731</v>
      </c>
      <c r="AE21" s="684">
        <f>+AC21-AB21</f>
        <v>-104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5</v>
      </c>
      <c r="W22" s="672">
        <f>+VLOOKUP($A$1,data!$A$229:$AK$259,16)</f>
        <v>5</v>
      </c>
      <c r="X22" s="672">
        <f>+VLOOKUP($A$1,data!$A$229:$AK$259,36)</f>
        <v>9</v>
      </c>
      <c r="Y22" s="672">
        <f>+VLOOKUP($A$1,data!$A$229:$AK$259,17)</f>
        <v>6</v>
      </c>
      <c r="Z22" s="672">
        <f>+VLOOKUP($A$1,data!$A$229:$AK$259,37)</f>
        <v>17</v>
      </c>
      <c r="AA22" s="672">
        <f>+VLOOKUP($A$1,data!$A$229:$AK$259,18)</f>
        <v>6</v>
      </c>
      <c r="AB22" s="672">
        <f>+VLOOKUP($A$1,data!$A$229:$AK$259,34)</f>
        <v>31</v>
      </c>
      <c r="AC22" s="765">
        <f>+VLOOKUP($A$1,data!$A$229:$AK$259,15)</f>
        <v>9</v>
      </c>
      <c r="AD22" s="671">
        <f>+AA22-Z22</f>
        <v>-11</v>
      </c>
      <c r="AE22" s="685">
        <f>+AC22-AB22</f>
        <v>-22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54.472727272727269</v>
      </c>
      <c r="W23" s="689">
        <f t="shared" ref="W23:AC23" si="3">SUM(W21:W22)</f>
        <v>32</v>
      </c>
      <c r="X23" s="689">
        <f t="shared" si="3"/>
        <v>139.4909090909091</v>
      </c>
      <c r="Y23" s="689">
        <f t="shared" si="3"/>
        <v>78</v>
      </c>
      <c r="Z23" s="689">
        <f t="shared" si="3"/>
        <v>197.52727272727273</v>
      </c>
      <c r="AA23" s="689">
        <f t="shared" si="3"/>
        <v>98</v>
      </c>
      <c r="AB23" s="689">
        <f t="shared" si="3"/>
        <v>252</v>
      </c>
      <c r="AC23" s="764">
        <f t="shared" si="3"/>
        <v>126</v>
      </c>
      <c r="AD23" s="689">
        <f>+AA23-Z23</f>
        <v>-99.527272727272731</v>
      </c>
      <c r="AE23" s="686">
        <f>+AC23-AB23</f>
        <v>-126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6</v>
      </c>
      <c r="D39" s="406">
        <f t="shared" ref="D39:N41" si="4">+C39+C18</f>
        <v>20</v>
      </c>
      <c r="E39" s="406">
        <f t="shared" si="4"/>
        <v>34</v>
      </c>
      <c r="F39" s="406">
        <f t="shared" si="4"/>
        <v>43</v>
      </c>
      <c r="G39" s="406">
        <f t="shared" si="4"/>
        <v>55</v>
      </c>
      <c r="H39" s="406">
        <f t="shared" si="4"/>
        <v>88</v>
      </c>
      <c r="I39" s="406">
        <f t="shared" si="4"/>
        <v>97</v>
      </c>
      <c r="J39" s="406">
        <f t="shared" si="4"/>
        <v>109</v>
      </c>
      <c r="K39" s="406">
        <f t="shared" si="4"/>
        <v>126</v>
      </c>
      <c r="L39" s="406">
        <f t="shared" si="4"/>
        <v>134</v>
      </c>
      <c r="M39" s="406">
        <f t="shared" si="4"/>
        <v>151</v>
      </c>
      <c r="N39" s="406">
        <f t="shared" si="4"/>
        <v>160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8.7046999999999999E-2</v>
      </c>
      <c r="AL39" s="418">
        <f t="shared" ref="AL39:AV41" si="5">+AK39+AK18</f>
        <v>0.176817</v>
      </c>
      <c r="AM39" s="418">
        <f t="shared" si="5"/>
        <v>0.26234800000000003</v>
      </c>
      <c r="AN39" s="418">
        <f t="shared" si="5"/>
        <v>0.34910200000000002</v>
      </c>
      <c r="AO39" s="418">
        <f t="shared" si="5"/>
        <v>0.43237900000000001</v>
      </c>
      <c r="AP39" s="418">
        <f t="shared" si="5"/>
        <v>0.51834900000000006</v>
      </c>
      <c r="AQ39" s="418">
        <f t="shared" si="5"/>
        <v>0.62279600000000002</v>
      </c>
      <c r="AR39" s="418">
        <f t="shared" si="5"/>
        <v>0.73723099999999997</v>
      </c>
      <c r="AS39" s="418">
        <f t="shared" si="5"/>
        <v>0.83846899999999991</v>
      </c>
      <c r="AT39" s="418">
        <f t="shared" si="5"/>
        <v>0.93323599999999995</v>
      </c>
      <c r="AU39" s="418">
        <f t="shared" si="5"/>
        <v>1.018621</v>
      </c>
      <c r="AV39" s="418">
        <f t="shared" si="5"/>
        <v>1.104384</v>
      </c>
      <c r="AW39" s="158"/>
      <c r="AX39" s="158"/>
      <c r="AY39" s="308" t="s">
        <v>92</v>
      </c>
      <c r="AZ39" s="464">
        <f>+VLOOKUP($A$1,data!$A$133:$BK$163,26)</f>
        <v>23.34800598644247</v>
      </c>
      <c r="BA39" s="464">
        <f>+VLOOKUP($A$1,data!$A$133:$BK$163,27)</f>
        <v>20.313845225309983</v>
      </c>
      <c r="BB39" s="464">
        <f>+VLOOKUP($A$1,data!$A$133:$BK$163,28)</f>
        <v>24.720168954593451</v>
      </c>
      <c r="BC39" s="464">
        <f>+VLOOKUP($A$1,data!$A$133:$BK$163,29)</f>
        <v>22.801025016402026</v>
      </c>
      <c r="BD39" s="464">
        <f>+VLOOKUP($A$1,data!$A$133:$BK$163,30)</f>
        <v>24.205735649955887</v>
      </c>
      <c r="BE39" s="464">
        <f>+VLOOKUP($A$1,data!$A$133:$BK$163,31)</f>
        <v>23.453352448169387</v>
      </c>
      <c r="BF39" s="464">
        <f>+VLOOKUP($A$1,data!$A$133:$BK$163,32)</f>
        <v>23.751708327822598</v>
      </c>
      <c r="BG39" s="464">
        <f>+VLOOKUP($A$1,data!$A$133:$BK$163,33)</f>
        <v>23.302961107293029</v>
      </c>
      <c r="BH39" s="464">
        <f>+VLOOKUP($A$1,data!$A$133:$BK$163,34)</f>
        <v>28.718956292363231</v>
      </c>
      <c r="BI39" s="464">
        <f>+VLOOKUP($A$1,data!$A$133:$BK$163,35)</f>
        <v>22.176019350849657</v>
      </c>
      <c r="BJ39" s="464">
        <f>+VLOOKUP($A$1,data!$A$133:$BK$163,36)</f>
        <v>20.003792337897305</v>
      </c>
      <c r="BK39" s="464">
        <f>+VLOOKUP($A$1,data!$A$133:$BK$163,37)</f>
        <v>23.497235394243351</v>
      </c>
      <c r="BL39" s="464">
        <f>+VLOOKUP($A$1,data!$A$133:$BK$163,38)</f>
        <v>20.138011222890654</v>
      </c>
      <c r="BM39" s="464">
        <f>+VLOOKUP($A$1,data!$A$133:$BK$163,39)</f>
        <v>21.930706645945701</v>
      </c>
      <c r="BN39" s="464">
        <f>+VLOOKUP($A$1,data!$A$133:$BK$163,40)</f>
        <v>21.631079315480271</v>
      </c>
      <c r="BO39" s="464">
        <f>+VLOOKUP($A$1,data!$A$133:$BK$163,41)</f>
        <v>22.957638806134486</v>
      </c>
    </row>
    <row r="40" spans="1:67" ht="21.75" thickBot="1" x14ac:dyDescent="0.4">
      <c r="A40"/>
      <c r="B40" s="408" t="s">
        <v>94</v>
      </c>
      <c r="C40" s="409">
        <f>+B19</f>
        <v>12.218181818181819</v>
      </c>
      <c r="D40" s="409">
        <f t="shared" si="4"/>
        <v>32.072727272727271</v>
      </c>
      <c r="E40" s="409">
        <f t="shared" si="4"/>
        <v>54.472727272727269</v>
      </c>
      <c r="F40" s="409">
        <f t="shared" si="4"/>
        <v>73.309090909090912</v>
      </c>
      <c r="G40" s="409">
        <f t="shared" si="4"/>
        <v>106.90909090909091</v>
      </c>
      <c r="H40" s="409">
        <f t="shared" si="4"/>
        <v>139.4909090909091</v>
      </c>
      <c r="I40" s="409">
        <f t="shared" si="4"/>
        <v>151.70909090909092</v>
      </c>
      <c r="J40" s="409">
        <f t="shared" si="4"/>
        <v>171.05454545454546</v>
      </c>
      <c r="K40" s="409">
        <f t="shared" si="4"/>
        <v>197.52727272727273</v>
      </c>
      <c r="L40" s="409">
        <f t="shared" si="4"/>
        <v>216.36363636363637</v>
      </c>
      <c r="M40" s="409">
        <f t="shared" si="4"/>
        <v>237.23636363636365</v>
      </c>
      <c r="N40" s="409">
        <f t="shared" si="4"/>
        <v>252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8.9500999999999997E-2</v>
      </c>
      <c r="AL40" s="423">
        <f t="shared" si="5"/>
        <v>0.179399</v>
      </c>
      <c r="AM40" s="423">
        <f t="shared" si="5"/>
        <v>0.26692899999999997</v>
      </c>
      <c r="AN40" s="423">
        <f t="shared" si="5"/>
        <v>0.35952499999999998</v>
      </c>
      <c r="AO40" s="423">
        <f t="shared" si="5"/>
        <v>0.44790399999999997</v>
      </c>
      <c r="AP40" s="423">
        <f t="shared" si="5"/>
        <v>0.53511999999999993</v>
      </c>
      <c r="AQ40" s="423">
        <f t="shared" si="5"/>
        <v>0.63989399999999996</v>
      </c>
      <c r="AR40" s="423">
        <f t="shared" si="5"/>
        <v>0.75529499999999994</v>
      </c>
      <c r="AS40" s="423">
        <f t="shared" si="5"/>
        <v>0.8614639999999999</v>
      </c>
      <c r="AT40" s="423">
        <f t="shared" si="5"/>
        <v>0.96052599999999988</v>
      </c>
      <c r="AU40" s="423">
        <f t="shared" si="5"/>
        <v>1.0521919999999998</v>
      </c>
      <c r="AV40" s="423">
        <f t="shared" si="5"/>
        <v>1.1409189999999998</v>
      </c>
      <c r="AW40" s="158"/>
      <c r="AX40" s="158"/>
      <c r="AY40" s="311" t="s">
        <v>94</v>
      </c>
      <c r="AZ40" s="458">
        <f>+VLOOKUP($A$1,data!$A$133:$BK$163,22)</f>
        <v>22.99991226353335</v>
      </c>
      <c r="BA40" s="458">
        <f>+$AZ$40</f>
        <v>22.99991226353335</v>
      </c>
      <c r="BB40" s="458">
        <f t="shared" ref="BB40:BO40" si="6">+$AZ$40</f>
        <v>22.99991226353335</v>
      </c>
      <c r="BC40" s="458">
        <f t="shared" si="6"/>
        <v>22.99991226353335</v>
      </c>
      <c r="BD40" s="458">
        <f t="shared" si="6"/>
        <v>22.99991226353335</v>
      </c>
      <c r="BE40" s="458">
        <f t="shared" si="6"/>
        <v>22.99991226353335</v>
      </c>
      <c r="BF40" s="458">
        <f t="shared" si="6"/>
        <v>22.99991226353335</v>
      </c>
      <c r="BG40" s="458">
        <f t="shared" si="6"/>
        <v>22.99991226353335</v>
      </c>
      <c r="BH40" s="458">
        <f t="shared" si="6"/>
        <v>22.99991226353335</v>
      </c>
      <c r="BI40" s="458">
        <f t="shared" si="6"/>
        <v>22.99991226353335</v>
      </c>
      <c r="BJ40" s="458">
        <f t="shared" si="6"/>
        <v>22.99991226353335</v>
      </c>
      <c r="BK40" s="458">
        <f t="shared" si="6"/>
        <v>22.99991226353335</v>
      </c>
      <c r="BL40" s="458">
        <f t="shared" si="6"/>
        <v>22.99991226353335</v>
      </c>
      <c r="BM40" s="458">
        <f t="shared" si="6"/>
        <v>22.99991226353335</v>
      </c>
      <c r="BN40" s="458">
        <f t="shared" si="6"/>
        <v>22.99991226353335</v>
      </c>
      <c r="BO40" s="458">
        <f t="shared" si="6"/>
        <v>22.99991226353335</v>
      </c>
    </row>
    <row r="41" spans="1:67" ht="21.75" thickBot="1" x14ac:dyDescent="0.4">
      <c r="A41"/>
      <c r="B41" s="413" t="s">
        <v>93</v>
      </c>
      <c r="C41" s="414">
        <f>+B20</f>
        <v>5</v>
      </c>
      <c r="D41" s="414">
        <f t="shared" si="4"/>
        <v>12</v>
      </c>
      <c r="E41" s="414">
        <f t="shared" si="4"/>
        <v>32</v>
      </c>
      <c r="F41" s="414">
        <f t="shared" si="4"/>
        <v>40</v>
      </c>
      <c r="G41" s="414">
        <f t="shared" si="4"/>
        <v>54</v>
      </c>
      <c r="H41" s="414">
        <f t="shared" si="4"/>
        <v>78</v>
      </c>
      <c r="I41" s="414">
        <f t="shared" si="4"/>
        <v>84</v>
      </c>
      <c r="J41" s="414">
        <f t="shared" si="4"/>
        <v>96</v>
      </c>
      <c r="K41" s="414">
        <f t="shared" si="4"/>
        <v>98</v>
      </c>
      <c r="L41" s="414">
        <f t="shared" si="4"/>
        <v>101</v>
      </c>
      <c r="M41" s="414">
        <f t="shared" si="4"/>
        <v>113</v>
      </c>
      <c r="N41" s="414">
        <f t="shared" si="4"/>
        <v>126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8.7942000000000006E-2</v>
      </c>
      <c r="AL41" s="420">
        <f t="shared" si="5"/>
        <v>0.175927</v>
      </c>
      <c r="AM41" s="420">
        <f t="shared" si="5"/>
        <v>0.26496700000000001</v>
      </c>
      <c r="AN41" s="420">
        <f t="shared" si="5"/>
        <v>0.35875699999999999</v>
      </c>
      <c r="AO41" s="420">
        <f t="shared" si="5"/>
        <v>0.44461099999999998</v>
      </c>
      <c r="AP41" s="420">
        <f t="shared" si="5"/>
        <v>0.53320999999999996</v>
      </c>
      <c r="AQ41" s="420">
        <f t="shared" si="5"/>
        <v>0.64207399999999992</v>
      </c>
      <c r="AR41" s="420">
        <f t="shared" si="5"/>
        <v>0.74804799999999994</v>
      </c>
      <c r="AS41" s="420">
        <f t="shared" si="5"/>
        <v>0.84523199999999998</v>
      </c>
      <c r="AT41" s="420">
        <f t="shared" si="5"/>
        <v>0.93892299999999995</v>
      </c>
      <c r="AU41" s="420">
        <f t="shared" si="5"/>
        <v>1.0303949999999999</v>
      </c>
      <c r="AV41" s="420">
        <f t="shared" si="5"/>
        <v>1.1211869999999999</v>
      </c>
      <c r="AW41" s="158"/>
      <c r="AX41" s="158"/>
      <c r="AY41" s="315" t="s">
        <v>93</v>
      </c>
      <c r="AZ41" s="442">
        <f>+VLOOKUP($A$1,data!$A$133:$BK$163,3)</f>
        <v>20.800957980318184</v>
      </c>
      <c r="BA41" s="442">
        <f>+VLOOKUP($A$1,data!$A$133:$BK$163,4)</f>
        <v>20.681045904801394</v>
      </c>
      <c r="BB41" s="442">
        <f>+VLOOKUP($A$1,data!$A$133:$BK$163,5)</f>
        <v>22.119807608220377</v>
      </c>
      <c r="BC41" s="442">
        <f>+VLOOKUP($A$1,data!$A$133:$BK$163,6)</f>
        <v>21.209760854312592</v>
      </c>
      <c r="BD41" s="442">
        <f>+VLOOKUP($A$1,data!$A$133:$BK$163,7)</f>
        <v>20.435114503816791</v>
      </c>
      <c r="BE41" s="442">
        <f>+VLOOKUP($A$1,data!$A$133:$BK$163,8)</f>
        <v>20.905448348915396</v>
      </c>
      <c r="BF41" s="442">
        <f>+VLOOKUP($A$1,data!$A$133:$BK$163,9)</f>
        <v>21.470093043863535</v>
      </c>
      <c r="BG41" s="442">
        <f>+VLOOKUP($A$1,data!$A$133:$BK$163,10)</f>
        <v>21.069176339652408</v>
      </c>
      <c r="BH41" s="442">
        <f>+VLOOKUP($A$1,data!$A$133:$BK$163,11)</f>
        <v>20.282439623413836</v>
      </c>
      <c r="BI41" s="442">
        <f>+VLOOKUP($A$1,data!$A$133:$BK$163,12)</f>
        <v>20.461382647511158</v>
      </c>
      <c r="BJ41" s="442">
        <f>+VLOOKUP($A$1,data!$A$133:$BK$163,13)</f>
        <v>20.499754621298869</v>
      </c>
      <c r="BK41" s="442">
        <f>+VLOOKUP($A$1,data!$A$133:$BK$163,14)</f>
        <v>20.827364466940438</v>
      </c>
      <c r="BL41" s="442">
        <f>+VLOOKUP($A$1,data!$A$133:$BK$163,15)</f>
        <v>21.802553617624966</v>
      </c>
      <c r="BM41" s="442">
        <f>+VLOOKUP($A$1,data!$A$133:$BK$163,16)</f>
        <v>22.382285568847035</v>
      </c>
      <c r="BN41" s="442">
        <f>+VLOOKUP($A$1,data!$A$133:$BK$163,17)</f>
        <v>23.785144775493077</v>
      </c>
      <c r="BO41" s="442">
        <f>+VLOOKUP($A$1,data!$A$133:$BK$163,18)</f>
        <v>21.285332502393164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22.957638806134486</v>
      </c>
      <c r="BA43" s="826">
        <f>+VLOOKUP($A$1,data!$A$133:$BK$163,26)</f>
        <v>23.34800598644247</v>
      </c>
      <c r="BB43" s="473">
        <f>+AZ45-AZ43</f>
        <v>-1.6723063037413226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22.99991226353335</v>
      </c>
      <c r="BA44" s="830"/>
      <c r="BB44" s="472">
        <f>+AZ45-AZ44</f>
        <v>-1.7145797611401861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21.285332502393164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1018</v>
      </c>
      <c r="B47" s="817" t="str">
        <f>+VLOOKUP($A$1,data!$A$4:$AH$32,2,0)</f>
        <v>เด่นชัย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1018</v>
      </c>
      <c r="T47" s="817" t="str">
        <f>+VLOOKUP($A$1,data!$A$4:$AH$32,2,0)</f>
        <v>เด่นชัย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1018</v>
      </c>
      <c r="AJ47" s="817" t="str">
        <f>+VLOOKUP($A$1,data!$A$4:$AH$32,2,0)</f>
        <v>เด่นชัย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1.6610829599999999</v>
      </c>
      <c r="C64" s="632">
        <f>+VLOOKUP($A$1,data!$A$165:$AU$195,36)</f>
        <v>1.7732985700000004</v>
      </c>
      <c r="D64" s="632">
        <f>+VLOOKUP($A$1,data!$A$165:$AU$195,37)</f>
        <v>1.6419844099999998</v>
      </c>
      <c r="E64" s="632">
        <f>+VLOOKUP($A$1,data!$A$165:$AU$195,38)</f>
        <v>1.6436389200000001</v>
      </c>
      <c r="F64" s="632">
        <f>+VLOOKUP($A$1,data!$A$165:$AU$195,39)</f>
        <v>1.58896495</v>
      </c>
      <c r="G64" s="632">
        <f>+VLOOKUP($A$1,data!$A$165:$AU$195,40)</f>
        <v>1.6671736000000001</v>
      </c>
      <c r="H64" s="632">
        <f>+VLOOKUP($A$1,data!$A$165:$AU$195,41)</f>
        <v>1.9903363000000003</v>
      </c>
      <c r="I64" s="632">
        <f>+VLOOKUP($A$1,data!$A$165:$AU$195,42)</f>
        <v>2.15296631</v>
      </c>
      <c r="J64" s="632">
        <f>+VLOOKUP($A$1,data!$A$165:$AU$195,43)</f>
        <v>1.9378325700000001</v>
      </c>
      <c r="K64" s="632">
        <f>+VLOOKUP($A$1,data!$A$165:$AU$195,44)</f>
        <v>1.8284105400000004</v>
      </c>
      <c r="L64" s="632">
        <f>+VLOOKUP($A$1,data!$A$165:$AU$195,45)</f>
        <v>1.6113109499999998</v>
      </c>
      <c r="M64" s="632">
        <f>+VLOOKUP($A$1,data!$A$165:$AU$195,46)</f>
        <v>1.6306309800000001</v>
      </c>
      <c r="N64" s="632">
        <f>SUM(B64:M64)</f>
        <v>21.127631060000002</v>
      </c>
      <c r="O64" s="632">
        <f>SUM(B64:M64)</f>
        <v>21.127631060000002</v>
      </c>
      <c r="P64" s="635">
        <f>+O66-O64</f>
        <v>0.38980264999999648</v>
      </c>
      <c r="S64" s="605" t="s">
        <v>92</v>
      </c>
      <c r="T64" s="640">
        <f>+VLOOKUP($A$1,data!$A$197:$AU$227,35)</f>
        <v>0.87509977000000005</v>
      </c>
      <c r="U64" s="640">
        <f>+VLOOKUP($A$1,data!$A$197:$AU$227,36)</f>
        <v>0.91198968999999996</v>
      </c>
      <c r="V64" s="640">
        <f>+VLOOKUP($A$1,data!$A$197:$AU$227,37)</f>
        <v>0.88161666000000005</v>
      </c>
      <c r="W64" s="640">
        <f>+VLOOKUP($A$1,data!$A$197:$AU$227,38)</f>
        <v>0.91633474999999998</v>
      </c>
      <c r="X64" s="640">
        <f>+VLOOKUP($A$1,data!$A$197:$AU$227,39)</f>
        <v>0.91071155999999998</v>
      </c>
      <c r="Y64" s="640">
        <f>+VLOOKUP($A$1,data!$A$197:$AU$227,40)</f>
        <v>1.00893462</v>
      </c>
      <c r="Z64" s="640">
        <f>+VLOOKUP($A$1,data!$A$197:$AU$227,41)</f>
        <v>0.92622692000000018</v>
      </c>
      <c r="AA64" s="640">
        <f>+VLOOKUP($A$1,data!$A$197:$AU$227,42)</f>
        <v>0.87277386999999995</v>
      </c>
      <c r="AB64" s="640">
        <f>+VLOOKUP($A$1,data!$A$197:$AU$227,43)</f>
        <v>1.1960567100000001</v>
      </c>
      <c r="AC64" s="640">
        <f>+VLOOKUP($A$1,data!$A$197:$AU$227,44)</f>
        <v>0.95247354000000006</v>
      </c>
      <c r="AD64" s="640">
        <f>+VLOOKUP($A$1,data!$A$197:$AU$227,45)</f>
        <v>0.92228706999999988</v>
      </c>
      <c r="AE64" s="640">
        <f>+VLOOKUP($A$1,data!$A$197:$AU$227,46)</f>
        <v>1.02385715</v>
      </c>
      <c r="AF64" s="640">
        <f>SUM(T64:AE64)</f>
        <v>11.398362309999998</v>
      </c>
      <c r="AG64" s="640">
        <f>SUM(T64:AE64)</f>
        <v>11.398362309999998</v>
      </c>
      <c r="AH64" s="641">
        <f>+AG66-AG64</f>
        <v>-0.61558978999999781</v>
      </c>
      <c r="AI64" s="621" t="s">
        <v>92</v>
      </c>
      <c r="AJ64" s="648">
        <f>+B64-T64</f>
        <v>0.78598318999999983</v>
      </c>
      <c r="AK64" s="648">
        <f t="shared" ref="AK64:AU66" si="7">+C64-U64</f>
        <v>0.86130888000000039</v>
      </c>
      <c r="AL64" s="648">
        <f t="shared" si="7"/>
        <v>0.76036774999999979</v>
      </c>
      <c r="AM64" s="648">
        <f t="shared" si="7"/>
        <v>0.72730417000000014</v>
      </c>
      <c r="AN64" s="648">
        <f t="shared" si="7"/>
        <v>0.67825339000000007</v>
      </c>
      <c r="AO64" s="648">
        <f t="shared" si="7"/>
        <v>0.65823898000000014</v>
      </c>
      <c r="AP64" s="648">
        <f t="shared" si="7"/>
        <v>1.0641093800000001</v>
      </c>
      <c r="AQ64" s="648">
        <f t="shared" si="7"/>
        <v>1.28019244</v>
      </c>
      <c r="AR64" s="648">
        <f t="shared" si="7"/>
        <v>0.74177585999999995</v>
      </c>
      <c r="AS64" s="648">
        <f t="shared" si="7"/>
        <v>0.8759370000000003</v>
      </c>
      <c r="AT64" s="648">
        <f t="shared" si="7"/>
        <v>0.68902387999999992</v>
      </c>
      <c r="AU64" s="648">
        <f t="shared" si="7"/>
        <v>0.60677383000000007</v>
      </c>
      <c r="AV64" s="648">
        <f>SUM(AJ64:AU64)</f>
        <v>9.729268750000001</v>
      </c>
      <c r="AW64" s="648">
        <f>SUM(AJ64:AU64)</f>
        <v>9.729268750000001</v>
      </c>
      <c r="AX64" s="651">
        <f>+AW66-AW64</f>
        <v>1.0053924399999978</v>
      </c>
    </row>
    <row r="65" spans="1:50" ht="21.75" thickBot="1" x14ac:dyDescent="0.4">
      <c r="A65" s="538" t="s">
        <v>94</v>
      </c>
      <c r="B65" s="633">
        <f>+VLOOKUP($A$1,data!$A$165:$AU$195,19)</f>
        <v>1.6994089999999999</v>
      </c>
      <c r="C65" s="633">
        <f>+VLOOKUP($A$1,data!$A$165:$AU$195,20)</f>
        <v>1.708725</v>
      </c>
      <c r="D65" s="633">
        <f>+VLOOKUP($A$1,data!$A$165:$AU$195,21)</f>
        <v>1.7531650000000001</v>
      </c>
      <c r="E65" s="633">
        <f>+VLOOKUP($A$1,data!$A$165:$AU$195,22)</f>
        <v>1.7765919999999999</v>
      </c>
      <c r="F65" s="633">
        <f>+VLOOKUP($A$1,data!$A$165:$AU$195,23)</f>
        <v>1.7220340000000001</v>
      </c>
      <c r="G65" s="633">
        <f>+VLOOKUP($A$1,data!$A$165:$AU$195,24)</f>
        <v>1.6908719999999999</v>
      </c>
      <c r="H65" s="633">
        <f>+VLOOKUP($A$1,data!$A$165:$AU$195,25)</f>
        <v>1.9920659999999999</v>
      </c>
      <c r="I65" s="633">
        <f>+VLOOKUP($A$1,data!$A$165:$AU$195,26)</f>
        <v>2.1896789999999999</v>
      </c>
      <c r="J65" s="633">
        <f>+VLOOKUP($A$1,data!$A$165:$AU$195,27)</f>
        <v>2.0536660000000002</v>
      </c>
      <c r="K65" s="633">
        <f>+VLOOKUP($A$1,data!$A$165:$AU$195,28)</f>
        <v>1.904506</v>
      </c>
      <c r="L65" s="633">
        <f>+VLOOKUP($A$1,data!$A$165:$AU$195,29)</f>
        <v>1.73363</v>
      </c>
      <c r="M65" s="633">
        <f>+VLOOKUP($A$1,data!$A$165:$AU$195,30)</f>
        <v>1.689066</v>
      </c>
      <c r="N65" s="633">
        <f>SUM(B65:M65)</f>
        <v>21.913410000000002</v>
      </c>
      <c r="O65" s="636">
        <f t="shared" ref="O65:O66" si="8">SUM(B65:M65)</f>
        <v>21.913410000000002</v>
      </c>
      <c r="P65" s="637">
        <f>+O66-O65</f>
        <v>-0.39597629000000367</v>
      </c>
      <c r="S65" s="601" t="s">
        <v>94</v>
      </c>
      <c r="T65" s="642">
        <f>+VLOOKUP($A$1,data!$A$197:$AU$227,19)</f>
        <v>0.95426900000000003</v>
      </c>
      <c r="U65" s="642">
        <f>+VLOOKUP($A$1,data!$A$197:$AU$227,20)</f>
        <v>0.92037599999999997</v>
      </c>
      <c r="V65" s="642">
        <f>+VLOOKUP($A$1,data!$A$197:$AU$227,21)</f>
        <v>0.92571300000000001</v>
      </c>
      <c r="W65" s="642">
        <f>+VLOOKUP($A$1,data!$A$197:$AU$227,22)</f>
        <v>0.96977400000000002</v>
      </c>
      <c r="X65" s="642">
        <f>+VLOOKUP($A$1,data!$A$197:$AU$227,23)</f>
        <v>0.97790900000000003</v>
      </c>
      <c r="Y65" s="642">
        <f>+VLOOKUP($A$1,data!$A$197:$AU$227,24)</f>
        <v>1.0049729999999999</v>
      </c>
      <c r="Z65" s="642">
        <f>+VLOOKUP($A$1,data!$A$197:$AU$227,25)</f>
        <v>0.94953200000000004</v>
      </c>
      <c r="AA65" s="642">
        <f>+VLOOKUP($A$1,data!$A$197:$AU$227,26)</f>
        <v>0.95081700000000002</v>
      </c>
      <c r="AB65" s="642">
        <f>+VLOOKUP($A$1,data!$A$197:$AU$227,27)</f>
        <v>1.1044560000000001</v>
      </c>
      <c r="AC65" s="642">
        <f>+VLOOKUP($A$1,data!$A$197:$AU$227,28)</f>
        <v>0.98894400000000005</v>
      </c>
      <c r="AD65" s="642">
        <f>+VLOOKUP($A$1,data!$A$197:$AU$227,29)</f>
        <v>0.97464799999999996</v>
      </c>
      <c r="AE65" s="642">
        <f>+VLOOKUP($A$1,data!$A$197:$AU$227,30)</f>
        <v>1.0351999999999999</v>
      </c>
      <c r="AF65" s="642">
        <f>SUM(T65:AE65)</f>
        <v>11.756610999999999</v>
      </c>
      <c r="AG65" s="643">
        <f t="shared" ref="AG65:AG66" si="9">SUM(T65:AE65)</f>
        <v>11.756610999999999</v>
      </c>
      <c r="AH65" s="644">
        <f>+AG66-AG65</f>
        <v>-0.97383847999999951</v>
      </c>
      <c r="AI65" s="617" t="s">
        <v>94</v>
      </c>
      <c r="AJ65" s="649">
        <f>+B65-T65</f>
        <v>0.74513999999999991</v>
      </c>
      <c r="AK65" s="649">
        <f t="shared" si="7"/>
        <v>0.78834900000000008</v>
      </c>
      <c r="AL65" s="649">
        <f t="shared" si="7"/>
        <v>0.82745200000000008</v>
      </c>
      <c r="AM65" s="649">
        <f t="shared" si="7"/>
        <v>0.80681799999999992</v>
      </c>
      <c r="AN65" s="649">
        <f t="shared" si="7"/>
        <v>0.74412500000000004</v>
      </c>
      <c r="AO65" s="649">
        <f t="shared" si="7"/>
        <v>0.68589900000000004</v>
      </c>
      <c r="AP65" s="649">
        <f t="shared" si="7"/>
        <v>1.0425339999999998</v>
      </c>
      <c r="AQ65" s="649">
        <f t="shared" si="7"/>
        <v>1.2388619999999999</v>
      </c>
      <c r="AR65" s="649">
        <f t="shared" si="7"/>
        <v>0.94921000000000011</v>
      </c>
      <c r="AS65" s="649">
        <f t="shared" si="7"/>
        <v>0.91556199999999999</v>
      </c>
      <c r="AT65" s="649">
        <f t="shared" si="7"/>
        <v>0.75898200000000005</v>
      </c>
      <c r="AU65" s="649">
        <f t="shared" si="7"/>
        <v>0.65386600000000006</v>
      </c>
      <c r="AV65" s="649">
        <f>SUM(AJ65:AU65)</f>
        <v>10.156798999999999</v>
      </c>
      <c r="AW65" s="652">
        <f t="shared" ref="AW65:AW66" si="10">SUM(AJ65:AU65)</f>
        <v>10.156798999999999</v>
      </c>
      <c r="AX65" s="653">
        <f>+AW66-AW65</f>
        <v>0.57786218999999939</v>
      </c>
    </row>
    <row r="66" spans="1:50" ht="21.75" thickBot="1" x14ac:dyDescent="0.4">
      <c r="A66" s="546" t="s">
        <v>93</v>
      </c>
      <c r="B66" s="634">
        <f>+VLOOKUP($A$1,data!$A$165:$AU$195,3)</f>
        <v>1.7056017699999997</v>
      </c>
      <c r="C66" s="634">
        <f>+VLOOKUP($A$1,data!$A$165:$AU$195,4)</f>
        <v>1.6885916400000001</v>
      </c>
      <c r="D66" s="634">
        <f>+VLOOKUP($A$1,data!$A$165:$AU$195,5)</f>
        <v>1.7366860100000001</v>
      </c>
      <c r="E66" s="634">
        <f>+VLOOKUP($A$1,data!$A$165:$AU$195,6)</f>
        <v>1.7851330799999998</v>
      </c>
      <c r="F66" s="634">
        <f>+VLOOKUP($A$1,data!$A$165:$AU$195,7)</f>
        <v>1.63219899</v>
      </c>
      <c r="G66" s="634">
        <f>+VLOOKUP($A$1,data!$A$165:$AU$195,8)</f>
        <v>1.7058585000000002</v>
      </c>
      <c r="H66" s="634">
        <f>+VLOOKUP($A$1,data!$A$165:$AU$195,9)</f>
        <v>2.0680051399999999</v>
      </c>
      <c r="I66" s="634">
        <f>+VLOOKUP($A$1,data!$A$165:$AU$195,10)</f>
        <v>2.0189154500000002</v>
      </c>
      <c r="J66" s="634">
        <f>+VLOOKUP($A$1,data!$A$165:$AU$195,11)</f>
        <v>1.8525821999999998</v>
      </c>
      <c r="K66" s="634">
        <f>+VLOOKUP($A$1,data!$A$165:$AU$195,12)</f>
        <v>1.79656777</v>
      </c>
      <c r="L66" s="634">
        <f>+VLOOKUP($A$1,data!$A$165:$AU$195,13)</f>
        <v>1.7767175800000001</v>
      </c>
      <c r="M66" s="634">
        <f>+VLOOKUP($A$1,data!$A$165:$AU$195,14)</f>
        <v>1.75057558</v>
      </c>
      <c r="N66" s="634">
        <f>SUM(B66:M66)</f>
        <v>21.517433709999999</v>
      </c>
      <c r="O66" s="638">
        <f t="shared" si="8"/>
        <v>21.517433709999999</v>
      </c>
      <c r="P66" s="639"/>
      <c r="S66" s="608" t="s">
        <v>93</v>
      </c>
      <c r="T66" s="645">
        <f>+VLOOKUP($A$1,data!$A$197:$AU$227,3)</f>
        <v>0.85176074000000002</v>
      </c>
      <c r="U66" s="645">
        <f>+VLOOKUP($A$1,data!$A$197:$AU$227,4)</f>
        <v>0.86519737000000008</v>
      </c>
      <c r="V66" s="645">
        <f>+VLOOKUP($A$1,data!$A$197:$AU$227,5)</f>
        <v>1.0716020399999997</v>
      </c>
      <c r="W66" s="645">
        <f>+VLOOKUP($A$1,data!$A$197:$AU$227,6)</f>
        <v>0.75337530000000008</v>
      </c>
      <c r="X66" s="645">
        <f>+VLOOKUP($A$1,data!$A$197:$AU$227,7)</f>
        <v>0.81855750000000005</v>
      </c>
      <c r="Y66" s="645">
        <f>+VLOOKUP($A$1,data!$A$197:$AU$227,8)</f>
        <v>0.93661327000000005</v>
      </c>
      <c r="Z66" s="645">
        <f>+VLOOKUP($A$1,data!$A$197:$AU$227,9)</f>
        <v>0.85874838999999992</v>
      </c>
      <c r="AA66" s="645">
        <f>+VLOOKUP($A$1,data!$A$197:$AU$227,10)</f>
        <v>0.91677514000000004</v>
      </c>
      <c r="AB66" s="645">
        <f>+VLOOKUP($A$1,data!$A$197:$AU$227,11)</f>
        <v>0.90394242000000002</v>
      </c>
      <c r="AC66" s="645">
        <f>+VLOOKUP($A$1,data!$A$197:$AU$227,12)</f>
        <v>0.89560095000000006</v>
      </c>
      <c r="AD66" s="645">
        <f>+VLOOKUP($A$1,data!$A$197:$AU$227,13)</f>
        <v>0.89696705000000021</v>
      </c>
      <c r="AE66" s="645">
        <f>+VLOOKUP($A$1,data!$A$197:$AU$227,14)</f>
        <v>1.0136323500000002</v>
      </c>
      <c r="AF66" s="645">
        <f>SUM(T66:AE66)</f>
        <v>10.78277252</v>
      </c>
      <c r="AG66" s="646">
        <f t="shared" si="9"/>
        <v>10.78277252</v>
      </c>
      <c r="AH66" s="647"/>
      <c r="AI66" s="624" t="s">
        <v>93</v>
      </c>
      <c r="AJ66" s="650">
        <f>+B66-T66</f>
        <v>0.85384102999999967</v>
      </c>
      <c r="AK66" s="650">
        <f t="shared" si="7"/>
        <v>0.82339426999999998</v>
      </c>
      <c r="AL66" s="650">
        <f t="shared" si="7"/>
        <v>0.66508397000000041</v>
      </c>
      <c r="AM66" s="650">
        <f t="shared" si="7"/>
        <v>1.0317577799999997</v>
      </c>
      <c r="AN66" s="650">
        <f t="shared" si="7"/>
        <v>0.81364148999999997</v>
      </c>
      <c r="AO66" s="650">
        <f t="shared" si="7"/>
        <v>0.76924523000000011</v>
      </c>
      <c r="AP66" s="650">
        <f t="shared" si="7"/>
        <v>1.20925675</v>
      </c>
      <c r="AQ66" s="650">
        <f t="shared" si="7"/>
        <v>1.1021403100000002</v>
      </c>
      <c r="AR66" s="650">
        <f t="shared" si="7"/>
        <v>0.94863977999999982</v>
      </c>
      <c r="AS66" s="650">
        <f>+K66-AC66</f>
        <v>0.90096681999999995</v>
      </c>
      <c r="AT66" s="650">
        <f>+L66-AD66</f>
        <v>0.87975052999999992</v>
      </c>
      <c r="AU66" s="650">
        <f>+M66-AE66</f>
        <v>0.73694322999999984</v>
      </c>
      <c r="AV66" s="650">
        <f>SUM(AJ66:AU66)</f>
        <v>10.734661189999999</v>
      </c>
      <c r="AW66" s="654">
        <f t="shared" si="10"/>
        <v>10.734661189999999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1.6610829599999999</v>
      </c>
      <c r="D85" s="628">
        <f t="shared" ref="D85:N87" si="11">+C85+C64</f>
        <v>3.4343815300000005</v>
      </c>
      <c r="E85" s="628">
        <f t="shared" si="11"/>
        <v>5.0763659400000005</v>
      </c>
      <c r="F85" s="628">
        <f t="shared" si="11"/>
        <v>6.7200048600000004</v>
      </c>
      <c r="G85" s="628">
        <f t="shared" si="11"/>
        <v>8.3089698100000007</v>
      </c>
      <c r="H85" s="628">
        <f t="shared" si="11"/>
        <v>9.9761434100000006</v>
      </c>
      <c r="I85" s="628">
        <f t="shared" si="11"/>
        <v>11.966479710000002</v>
      </c>
      <c r="J85" s="628">
        <f t="shared" si="11"/>
        <v>14.119446020000002</v>
      </c>
      <c r="K85" s="628">
        <f t="shared" si="11"/>
        <v>16.057278590000003</v>
      </c>
      <c r="L85" s="628">
        <f t="shared" si="11"/>
        <v>17.885689130000003</v>
      </c>
      <c r="M85" s="628">
        <f t="shared" si="11"/>
        <v>19.497000080000003</v>
      </c>
      <c r="N85" s="628">
        <f t="shared" si="11"/>
        <v>21.127631060000002</v>
      </c>
      <c r="S85"/>
      <c r="T85" s="605" t="s">
        <v>92</v>
      </c>
      <c r="U85" s="640">
        <f>+T64</f>
        <v>0.87509977000000005</v>
      </c>
      <c r="V85" s="640">
        <f t="shared" ref="V85:AF87" si="12">+U85+U64</f>
        <v>1.78708946</v>
      </c>
      <c r="W85" s="640">
        <f t="shared" si="12"/>
        <v>2.66870612</v>
      </c>
      <c r="X85" s="640">
        <f t="shared" si="12"/>
        <v>3.5850408699999998</v>
      </c>
      <c r="Y85" s="640">
        <f t="shared" si="12"/>
        <v>4.4957524299999996</v>
      </c>
      <c r="Z85" s="640">
        <f t="shared" si="12"/>
        <v>5.5046870499999994</v>
      </c>
      <c r="AA85" s="640">
        <f t="shared" si="12"/>
        <v>6.4309139699999998</v>
      </c>
      <c r="AB85" s="640">
        <f t="shared" si="12"/>
        <v>7.3036878399999994</v>
      </c>
      <c r="AC85" s="640">
        <f t="shared" si="12"/>
        <v>8.4997445499999991</v>
      </c>
      <c r="AD85" s="640">
        <f t="shared" si="12"/>
        <v>9.4522180899999988</v>
      </c>
      <c r="AE85" s="640">
        <f t="shared" si="12"/>
        <v>10.374505159999998</v>
      </c>
      <c r="AF85" s="640">
        <f t="shared" si="12"/>
        <v>11.398362309999998</v>
      </c>
      <c r="AG85" s="158"/>
      <c r="AH85" s="158"/>
      <c r="AI85"/>
      <c r="AJ85" s="621" t="s">
        <v>92</v>
      </c>
      <c r="AK85" s="648">
        <f>+AJ64</f>
        <v>0.78598318999999983</v>
      </c>
      <c r="AL85" s="648">
        <f t="shared" ref="AL85:AV87" si="13">+AK85+AK64</f>
        <v>1.6472920700000002</v>
      </c>
      <c r="AM85" s="648">
        <f t="shared" si="13"/>
        <v>2.4076598200000001</v>
      </c>
      <c r="AN85" s="648">
        <f t="shared" si="13"/>
        <v>3.1349639900000001</v>
      </c>
      <c r="AO85" s="648">
        <f t="shared" si="13"/>
        <v>3.8132173800000002</v>
      </c>
      <c r="AP85" s="648">
        <f t="shared" si="13"/>
        <v>4.4714563600000004</v>
      </c>
      <c r="AQ85" s="648">
        <f t="shared" si="13"/>
        <v>5.5355657400000009</v>
      </c>
      <c r="AR85" s="648">
        <f t="shared" si="13"/>
        <v>6.8157581800000013</v>
      </c>
      <c r="AS85" s="648">
        <f t="shared" si="13"/>
        <v>7.5575340400000011</v>
      </c>
      <c r="AT85" s="648">
        <f t="shared" si="13"/>
        <v>8.4334710400000006</v>
      </c>
      <c r="AU85" s="648">
        <f t="shared" si="13"/>
        <v>9.1224949200000012</v>
      </c>
      <c r="AV85" s="648">
        <f t="shared" si="13"/>
        <v>9.729268750000001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1.6994089999999999</v>
      </c>
      <c r="D86" s="633">
        <f t="shared" si="11"/>
        <v>3.408134</v>
      </c>
      <c r="E86" s="633">
        <f t="shared" si="11"/>
        <v>5.1612989999999996</v>
      </c>
      <c r="F86" s="633">
        <f t="shared" si="11"/>
        <v>6.9378909999999996</v>
      </c>
      <c r="G86" s="633">
        <f t="shared" si="11"/>
        <v>8.6599249999999994</v>
      </c>
      <c r="H86" s="633">
        <f t="shared" si="11"/>
        <v>10.350797</v>
      </c>
      <c r="I86" s="633">
        <f t="shared" si="11"/>
        <v>12.342862999999999</v>
      </c>
      <c r="J86" s="633">
        <f t="shared" si="11"/>
        <v>14.532541999999999</v>
      </c>
      <c r="K86" s="633">
        <f t="shared" si="11"/>
        <v>16.586207999999999</v>
      </c>
      <c r="L86" s="633">
        <f t="shared" si="11"/>
        <v>18.490714000000001</v>
      </c>
      <c r="M86" s="633">
        <f t="shared" si="11"/>
        <v>20.224344000000002</v>
      </c>
      <c r="N86" s="633">
        <f t="shared" si="11"/>
        <v>21.913410000000002</v>
      </c>
      <c r="S86"/>
      <c r="T86" s="601" t="s">
        <v>94</v>
      </c>
      <c r="U86" s="642">
        <f>+T65</f>
        <v>0.95426900000000003</v>
      </c>
      <c r="V86" s="642">
        <f t="shared" si="12"/>
        <v>1.8746450000000001</v>
      </c>
      <c r="W86" s="642">
        <f t="shared" si="12"/>
        <v>2.8003580000000001</v>
      </c>
      <c r="X86" s="642">
        <f t="shared" si="12"/>
        <v>3.7701320000000003</v>
      </c>
      <c r="Y86" s="642">
        <f t="shared" si="12"/>
        <v>4.7480410000000006</v>
      </c>
      <c r="Z86" s="642">
        <f t="shared" si="12"/>
        <v>5.7530140000000003</v>
      </c>
      <c r="AA86" s="642">
        <f t="shared" si="12"/>
        <v>6.7025459999999999</v>
      </c>
      <c r="AB86" s="642">
        <f t="shared" si="12"/>
        <v>7.6533629999999997</v>
      </c>
      <c r="AC86" s="642">
        <f t="shared" si="12"/>
        <v>8.7578189999999996</v>
      </c>
      <c r="AD86" s="642">
        <f t="shared" si="12"/>
        <v>9.7467629999999996</v>
      </c>
      <c r="AE86" s="642">
        <f t="shared" si="12"/>
        <v>10.721411</v>
      </c>
      <c r="AF86" s="642">
        <f t="shared" si="12"/>
        <v>11.756610999999999</v>
      </c>
      <c r="AG86" s="158"/>
      <c r="AH86" s="158"/>
      <c r="AI86"/>
      <c r="AJ86" s="617" t="s">
        <v>94</v>
      </c>
      <c r="AK86" s="649">
        <f>+AJ65</f>
        <v>0.74513999999999991</v>
      </c>
      <c r="AL86" s="649">
        <f t="shared" si="13"/>
        <v>1.5334889999999999</v>
      </c>
      <c r="AM86" s="649">
        <f t="shared" si="13"/>
        <v>2.360941</v>
      </c>
      <c r="AN86" s="649">
        <f t="shared" si="13"/>
        <v>3.1677589999999998</v>
      </c>
      <c r="AO86" s="649">
        <f t="shared" si="13"/>
        <v>3.9118839999999997</v>
      </c>
      <c r="AP86" s="649">
        <f t="shared" si="13"/>
        <v>4.5977829999999997</v>
      </c>
      <c r="AQ86" s="649">
        <f t="shared" si="13"/>
        <v>5.6403169999999996</v>
      </c>
      <c r="AR86" s="649">
        <f t="shared" si="13"/>
        <v>6.8791789999999997</v>
      </c>
      <c r="AS86" s="649">
        <f t="shared" si="13"/>
        <v>7.8283889999999996</v>
      </c>
      <c r="AT86" s="649">
        <f t="shared" si="13"/>
        <v>8.7439509999999991</v>
      </c>
      <c r="AU86" s="649">
        <f t="shared" si="13"/>
        <v>9.5029329999999987</v>
      </c>
      <c r="AV86" s="649">
        <f t="shared" si="13"/>
        <v>10.156798999999999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1.7056017699999997</v>
      </c>
      <c r="D87" s="629">
        <f t="shared" si="11"/>
        <v>3.3941934099999997</v>
      </c>
      <c r="E87" s="629">
        <f t="shared" si="11"/>
        <v>5.1308794199999994</v>
      </c>
      <c r="F87" s="629">
        <f t="shared" si="11"/>
        <v>6.916012499999999</v>
      </c>
      <c r="G87" s="629">
        <f t="shared" si="11"/>
        <v>8.5482114899999999</v>
      </c>
      <c r="H87" s="629">
        <f t="shared" si="11"/>
        <v>10.25406999</v>
      </c>
      <c r="I87" s="629">
        <f t="shared" si="11"/>
        <v>12.32207513</v>
      </c>
      <c r="J87" s="629">
        <f t="shared" si="11"/>
        <v>14.34099058</v>
      </c>
      <c r="K87" s="629">
        <f t="shared" si="11"/>
        <v>16.19357278</v>
      </c>
      <c r="L87" s="629">
        <f t="shared" si="11"/>
        <v>17.99014055</v>
      </c>
      <c r="M87" s="629">
        <f t="shared" si="11"/>
        <v>19.766858129999999</v>
      </c>
      <c r="N87" s="629">
        <f t="shared" si="11"/>
        <v>21.517433709999999</v>
      </c>
      <c r="S87"/>
      <c r="T87" s="608" t="s">
        <v>93</v>
      </c>
      <c r="U87" s="645">
        <f>+T66</f>
        <v>0.85176074000000002</v>
      </c>
      <c r="V87" s="645">
        <f t="shared" si="12"/>
        <v>1.7169581100000002</v>
      </c>
      <c r="W87" s="645">
        <f t="shared" si="12"/>
        <v>2.7885601499999999</v>
      </c>
      <c r="X87" s="645">
        <f t="shared" si="12"/>
        <v>3.54193545</v>
      </c>
      <c r="Y87" s="645">
        <f t="shared" si="12"/>
        <v>4.3604929500000003</v>
      </c>
      <c r="Z87" s="645">
        <f t="shared" si="12"/>
        <v>5.2971062199999999</v>
      </c>
      <c r="AA87" s="645">
        <f t="shared" si="12"/>
        <v>6.1558546099999996</v>
      </c>
      <c r="AB87" s="645">
        <f t="shared" si="12"/>
        <v>7.0726297499999999</v>
      </c>
      <c r="AC87" s="645">
        <f t="shared" si="12"/>
        <v>7.9765721699999999</v>
      </c>
      <c r="AD87" s="645">
        <f t="shared" si="12"/>
        <v>8.8721731199999994</v>
      </c>
      <c r="AE87" s="645">
        <f t="shared" si="12"/>
        <v>9.76914017</v>
      </c>
      <c r="AF87" s="645">
        <f t="shared" si="12"/>
        <v>10.78277252</v>
      </c>
      <c r="AG87" s="158"/>
      <c r="AH87" s="158"/>
      <c r="AI87"/>
      <c r="AJ87" s="624" t="s">
        <v>93</v>
      </c>
      <c r="AK87" s="650">
        <f>+AJ66</f>
        <v>0.85384102999999967</v>
      </c>
      <c r="AL87" s="650">
        <f t="shared" si="13"/>
        <v>1.6772352999999995</v>
      </c>
      <c r="AM87" s="650">
        <f t="shared" si="13"/>
        <v>2.34231927</v>
      </c>
      <c r="AN87" s="650">
        <f t="shared" si="13"/>
        <v>3.3740770499999995</v>
      </c>
      <c r="AO87" s="650">
        <f t="shared" si="13"/>
        <v>4.1877185399999997</v>
      </c>
      <c r="AP87" s="650">
        <f t="shared" si="13"/>
        <v>4.9569637699999998</v>
      </c>
      <c r="AQ87" s="650">
        <f t="shared" si="13"/>
        <v>6.1662205199999995</v>
      </c>
      <c r="AR87" s="650">
        <f t="shared" si="13"/>
        <v>7.2683608299999998</v>
      </c>
      <c r="AS87" s="650">
        <f t="shared" si="13"/>
        <v>8.2170006099999995</v>
      </c>
      <c r="AT87" s="650">
        <f t="shared" si="13"/>
        <v>9.1179674300000002</v>
      </c>
      <c r="AU87" s="650">
        <f t="shared" si="13"/>
        <v>9.9977179599999992</v>
      </c>
      <c r="AV87" s="650">
        <f t="shared" si="13"/>
        <v>10.734661189999999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 AH18:AH22">
    <cfRule type="cellIs" dxfId="182" priority="15" operator="lessThan">
      <formula>0</formula>
    </cfRule>
  </conditionalFormatting>
  <conditionalFormatting sqref="O41">
    <cfRule type="cellIs" dxfId="181" priority="14" operator="lessThan">
      <formula>0</formula>
    </cfRule>
  </conditionalFormatting>
  <conditionalFormatting sqref="AX18:AX22">
    <cfRule type="cellIs" dxfId="180" priority="13" operator="lessThan">
      <formula>0</formula>
    </cfRule>
  </conditionalFormatting>
  <conditionalFormatting sqref="BN21:BN22">
    <cfRule type="cellIs" dxfId="179" priority="12" operator="lessThan">
      <formula>0</formula>
    </cfRule>
  </conditionalFormatting>
  <conditionalFormatting sqref="BB43:BB46">
    <cfRule type="cellIs" dxfId="178" priority="11" operator="greaterThan">
      <formula>0</formula>
    </cfRule>
  </conditionalFormatting>
  <conditionalFormatting sqref="AX18:AX20">
    <cfRule type="cellIs" dxfId="177" priority="10" operator="lessThan">
      <formula>0</formula>
    </cfRule>
  </conditionalFormatting>
  <conditionalFormatting sqref="BN18:BN20">
    <cfRule type="cellIs" dxfId="176" priority="9" operator="greaterThan">
      <formula>0</formula>
    </cfRule>
  </conditionalFormatting>
  <conditionalFormatting sqref="P18:P20">
    <cfRule type="cellIs" dxfId="175" priority="8" operator="lessThan">
      <formula>0</formula>
    </cfRule>
  </conditionalFormatting>
  <conditionalFormatting sqref="P67:P68">
    <cfRule type="cellIs" dxfId="174" priority="7" operator="lessThan">
      <formula>0</formula>
    </cfRule>
  </conditionalFormatting>
  <conditionalFormatting sqref="P64:P66">
    <cfRule type="cellIs" dxfId="173" priority="6" operator="lessThan">
      <formula>0</formula>
    </cfRule>
  </conditionalFormatting>
  <conditionalFormatting sqref="AH67:AH68">
    <cfRule type="cellIs" dxfId="172" priority="5" operator="lessThan">
      <formula>0</formula>
    </cfRule>
  </conditionalFormatting>
  <conditionalFormatting sqref="AH64:AH66">
    <cfRule type="cellIs" dxfId="171" priority="4" operator="greaterThan">
      <formula>0</formula>
    </cfRule>
  </conditionalFormatting>
  <conditionalFormatting sqref="AX67:AX68">
    <cfRule type="cellIs" dxfId="170" priority="3" operator="lessThan">
      <formula>0</formula>
    </cfRule>
  </conditionalFormatting>
  <conditionalFormatting sqref="AX64:AX66">
    <cfRule type="cellIs" dxfId="169" priority="2" operator="lessThan">
      <formula>0</formula>
    </cfRule>
  </conditionalFormatting>
  <conditionalFormatting sqref="S21:T23 V21:AG23">
    <cfRule type="cellIs" dxfId="168" priority="1" operator="lessThan">
      <formula>0</formula>
    </cfRule>
  </conditionalFormatting>
  <pageMargins left="0.39370078740157483" right="0.19685039370078741" top="0.74803149606299213" bottom="0.23" header="0.31496062992125984" footer="0.31496062992125984"/>
  <pageSetup paperSize="9" scale="80" pageOrder="overThenDown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4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1019</v>
      </c>
      <c r="B3" s="807" t="str">
        <f>+VLOOKUP($A3,data!$A$4:$AH$32,2,0)</f>
        <v>ร้องกวาง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3074</v>
      </c>
      <c r="C9" s="180">
        <f>+VLOOKUP($A$3,data!$A$4:$AH$32,8,0)/10^6</f>
        <v>0.432145</v>
      </c>
      <c r="D9" s="181">
        <f>+VLOOKUP($A$3,data!$A$4:$AH$32,9,0)</f>
        <v>0.39177991532415252</v>
      </c>
      <c r="E9" s="180">
        <f>+VLOOKUP($A$3,data!$A$4:$AH$32,10,0)/10^6</f>
        <v>5.8158949699999996</v>
      </c>
      <c r="F9" s="182">
        <f>+E9/C9</f>
        <v>13.458202617177104</v>
      </c>
      <c r="G9" s="179">
        <f>+VLOOKUP($A$3,data!$A$4:$AH$32,23,0)</f>
        <v>3143</v>
      </c>
      <c r="H9" s="180">
        <f>+VLOOKUP($A$3,data!$A$4:$AH$32,24,0)/10^6</f>
        <v>0.42145500000000002</v>
      </c>
      <c r="I9" s="181">
        <f>+VLOOKUP($A$3,data!$A$4:$AH$32,25,0)</f>
        <v>0.37145608263687063</v>
      </c>
      <c r="J9" s="180">
        <f>+VLOOKUP($A$3,data!$A$4:$AH$32,26,0)/10^6</f>
        <v>5.6132434899999994</v>
      </c>
      <c r="K9" s="182">
        <f>+J9/H9</f>
        <v>13.318725581616066</v>
      </c>
    </row>
    <row r="10" spans="1:12" ht="26.25" x14ac:dyDescent="0.4">
      <c r="A10" s="187" t="s">
        <v>4</v>
      </c>
      <c r="B10" s="189">
        <f>+B9/B20</f>
        <v>0.83714596949891062</v>
      </c>
      <c r="C10" s="190"/>
      <c r="D10" s="190"/>
      <c r="E10" s="190"/>
      <c r="F10" s="191"/>
      <c r="G10" s="189">
        <f>+G9/G20</f>
        <v>0.83858057630736393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472</v>
      </c>
      <c r="C13" s="180">
        <f>+VLOOKUP($A$3,data!$A$4:$AH$32,12,0)/10^6</f>
        <v>0.21665899999999999</v>
      </c>
      <c r="D13" s="181">
        <f>+VLOOKUP($A$3,data!$A$4:$AH$32,13,0)</f>
        <v>1.2302306764142239</v>
      </c>
      <c r="E13" s="180">
        <f>+VLOOKUP($A$3,data!$A$4:$AH$32,14,0)/10^6</f>
        <v>4.5827382500000002</v>
      </c>
      <c r="F13" s="182">
        <f>+E13/C13</f>
        <v>21.151848065393086</v>
      </c>
      <c r="G13" s="179">
        <f>+VLOOKUP($A$3,data!$A$4:$AH$32,27,0)</f>
        <v>488</v>
      </c>
      <c r="H13" s="180">
        <f>+VLOOKUP($A$3,data!$A$4:$AH$32,28,0)/10^6</f>
        <v>0.22703200000000001</v>
      </c>
      <c r="I13" s="181">
        <f>+VLOOKUP($A$3,data!$A$4:$AH$32,29,0)</f>
        <v>1.2958447488584475</v>
      </c>
      <c r="J13" s="180">
        <f>+VLOOKUP($A$3,data!$A$4:$AH$32,30,0)/10^6</f>
        <v>4.7694001500000001</v>
      </c>
      <c r="K13" s="182">
        <f>+J13/H13</f>
        <v>21.007611922548364</v>
      </c>
    </row>
    <row r="14" spans="1:12" ht="26.25" x14ac:dyDescent="0.4">
      <c r="A14" s="187" t="s">
        <v>29</v>
      </c>
      <c r="B14" s="189">
        <f>+B13/B20</f>
        <v>0.12854030501089325</v>
      </c>
      <c r="C14" s="190"/>
      <c r="D14" s="190"/>
      <c r="E14" s="190"/>
      <c r="F14" s="191"/>
      <c r="G14" s="189">
        <f>+G13/G20</f>
        <v>0.13020277481323372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126</v>
      </c>
      <c r="C17" s="180">
        <f>+VLOOKUP($A$3,data!$A$4:$AH$32,16,0)/10^6</f>
        <v>5.0944999999999997E-2</v>
      </c>
      <c r="D17" s="181">
        <f>+VLOOKUP($A$3,data!$A$4:$AH$32,17,0)</f>
        <v>1.0990184446122317</v>
      </c>
      <c r="E17" s="180">
        <f>+VLOOKUP($A$3,data!$A$4:$AH$32,18,0)/10^6</f>
        <v>1.3550912500000001</v>
      </c>
      <c r="F17" s="182">
        <f>+E17/C17</f>
        <v>26.599101972715676</v>
      </c>
      <c r="G17" s="179">
        <f>+VLOOKUP($A$3,data!$A$4:$AH$32,31,0)</f>
        <v>117</v>
      </c>
      <c r="H17" s="180">
        <f>+VLOOKUP($A$3,data!$A$4:$AH$32,32,0)/10^6</f>
        <v>5.4866999999999999E-2</v>
      </c>
      <c r="I17" s="181">
        <f>+VLOOKUP($A$3,data!$A$4:$AH$32,33,0)</f>
        <v>1.2372061559276171</v>
      </c>
      <c r="J17" s="180">
        <f>+VLOOKUP($A$3,data!$A$4:$AH$32,34,0)/10^6</f>
        <v>1.4770583000000002</v>
      </c>
      <c r="K17" s="182">
        <f>+J17/H17</f>
        <v>26.920704612973193</v>
      </c>
    </row>
    <row r="18" spans="1:11" ht="26.25" x14ac:dyDescent="0.4">
      <c r="A18" s="187" t="s">
        <v>30</v>
      </c>
      <c r="B18" s="189">
        <f>+B17/B20</f>
        <v>3.4313725490196081E-2</v>
      </c>
      <c r="C18" s="190"/>
      <c r="D18" s="190"/>
      <c r="E18" s="190"/>
      <c r="F18" s="191"/>
      <c r="G18" s="189">
        <f>+G17/G20</f>
        <v>3.1216648879402349E-2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3672</v>
      </c>
      <c r="C20" s="180">
        <f>+VLOOKUP($A$3,data!$A$4:$AH$32,4,0)/10^6</f>
        <v>0.69974899999999995</v>
      </c>
      <c r="D20" s="181">
        <f>+VLOOKUP($A$3,data!$A$4:$AH$32,5,0)</f>
        <v>0.52791423597554876</v>
      </c>
      <c r="E20" s="180">
        <f>+VLOOKUP($A$3,data!$A$4:$AH$32,6,0)/10^6</f>
        <v>11.753724469999998</v>
      </c>
      <c r="F20" s="182">
        <f>+E20/C20</f>
        <v>16.797057902190641</v>
      </c>
      <c r="G20" s="179">
        <f>+VLOOKUP($A$3,data!$A$4:$AH$32,19,0)</f>
        <v>3748</v>
      </c>
      <c r="H20" s="180">
        <f>+VLOOKUP($A$3,data!$A$4:$AH$32,20,0)/10^6</f>
        <v>0.70335400000000003</v>
      </c>
      <c r="I20" s="181">
        <f>+VLOOKUP($A$3,data!$A$4:$AH$32,21,0)</f>
        <v>0.51940626961562597</v>
      </c>
      <c r="J20" s="180">
        <f>+VLOOKUP($A$3,data!$A$4:$AH$32,22,0)/10^6</f>
        <v>11.859701939999999</v>
      </c>
      <c r="K20" s="182">
        <f>+J20/H20</f>
        <v>16.861639999203813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ร้องกวาง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="69" zoomScaleNormal="100" zoomScalePageLayoutView="69" workbookViewId="0"/>
  </sheetViews>
  <sheetFormatPr defaultRowHeight="21" x14ac:dyDescent="0.35"/>
  <cols>
    <col min="1" max="1" width="9" style="158" bestFit="1" customWidth="1"/>
    <col min="2" max="2" width="6.75" style="158" bestFit="1" customWidth="1"/>
    <col min="3" max="3" width="5.75" style="158" bestFit="1" customWidth="1"/>
    <col min="4" max="4" width="5.875" style="158" bestFit="1" customWidth="1"/>
    <col min="5" max="6" width="5.75" style="158" bestFit="1" customWidth="1"/>
    <col min="7" max="7" width="6" style="158" bestFit="1" customWidth="1"/>
    <col min="8" max="9" width="5.875" style="158" bestFit="1" customWidth="1"/>
    <col min="10" max="10" width="6" style="158" bestFit="1" customWidth="1"/>
    <col min="11" max="12" width="7" style="158" bestFit="1" customWidth="1"/>
    <col min="13" max="14" width="6.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7" width="6.75" bestFit="1" customWidth="1"/>
    <col min="48" max="48" width="6.875" bestFit="1" customWidth="1"/>
    <col min="49" max="49" width="8.375" bestFit="1" customWidth="1"/>
    <col min="50" max="50" width="7" bestFit="1" customWidth="1"/>
    <col min="51" max="51" width="7.375" customWidth="1"/>
    <col min="52" max="65" width="7.375" bestFit="1" customWidth="1"/>
    <col min="66" max="66" width="7.25" bestFit="1" customWidth="1"/>
    <col min="67" max="67" width="5.875" customWidth="1"/>
    <col min="68" max="68" width="1.75" customWidth="1"/>
    <col min="69" max="69" width="9.125" customWidth="1"/>
  </cols>
  <sheetData>
    <row r="1" spans="1:66" ht="27" thickBot="1" x14ac:dyDescent="0.25">
      <c r="A1" s="248">
        <v>1019</v>
      </c>
      <c r="B1" s="817" t="str">
        <f>+VLOOKUP($A$1,data!$A$4:$AH$32,2,0)</f>
        <v>ร้องกวาง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1019</v>
      </c>
      <c r="T1" s="817" t="str">
        <f>+VLOOKUP($A$1,data!$A$4:$AH$32,2,0)</f>
        <v>ร้องกวาง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1019</v>
      </c>
      <c r="AJ1" s="817" t="str">
        <f>+VLOOKUP($A$1,data!$A$4:$AH$32,2,0)</f>
        <v>ร้องกวาง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1019</v>
      </c>
      <c r="AZ1" s="817" t="str">
        <f>+VLOOKUP($A$1,data!$A$4:$AH$32,2,0)</f>
        <v>ร้องกวาง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5</v>
      </c>
      <c r="C18" s="406">
        <f>+VLOOKUP($A$1,data!$A$37:$AU$67,36)</f>
        <v>6</v>
      </c>
      <c r="D18" s="406">
        <f>+VLOOKUP($A$1,data!$A$37:$AU$67,37)</f>
        <v>5</v>
      </c>
      <c r="E18" s="406">
        <f>+VLOOKUP($A$1,data!$A$37:$AU$67,38)</f>
        <v>3</v>
      </c>
      <c r="F18" s="406">
        <f>+VLOOKUP($A$1,data!$A$37:$AU$67,39)</f>
        <v>8</v>
      </c>
      <c r="G18" s="406">
        <f>+VLOOKUP($A$1,data!$A$37:$AU$67,40)</f>
        <v>27</v>
      </c>
      <c r="H18" s="406">
        <f>+VLOOKUP($A$1,data!$A$37:$AU$67,41)</f>
        <v>23</v>
      </c>
      <c r="I18" s="406">
        <f>+VLOOKUP($A$1,data!$A$37:$AU$67,42)</f>
        <v>22</v>
      </c>
      <c r="J18" s="406">
        <f>+VLOOKUP($A$1,data!$A$37:$AU$67,43)</f>
        <v>12</v>
      </c>
      <c r="K18" s="406">
        <f>+VLOOKUP($A$1,data!$A$37:$AU$67,44)</f>
        <v>8</v>
      </c>
      <c r="L18" s="406">
        <f>+VLOOKUP($A$1,data!$A$37:$AU$67,45)</f>
        <v>5</v>
      </c>
      <c r="M18" s="406">
        <f>+VLOOKUP($A$1,data!$A$37:$AU$67,46)</f>
        <v>3</v>
      </c>
      <c r="N18" s="406">
        <f>SUM(B18:M18)</f>
        <v>127</v>
      </c>
      <c r="O18" s="406">
        <f>SUM(B18:M18)</f>
        <v>127</v>
      </c>
      <c r="P18" s="407">
        <f>+O20-O18</f>
        <v>-24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5.4497999999999998E-2</v>
      </c>
      <c r="AK18" s="418">
        <f>+VLOOKUP($A$1,data!$A$69:$AU$99,36)</f>
        <v>5.4977999999999999E-2</v>
      </c>
      <c r="AL18" s="418">
        <f>+VLOOKUP($A$1,data!$A$69:$AU$99,37)</f>
        <v>5.8288E-2</v>
      </c>
      <c r="AM18" s="418">
        <f>+VLOOKUP($A$1,data!$A$69:$AU$99,38)</f>
        <v>5.3741999999999998E-2</v>
      </c>
      <c r="AN18" s="418">
        <f>+VLOOKUP($A$1,data!$A$69:$AU$99,39)</f>
        <v>5.3290999999999998E-2</v>
      </c>
      <c r="AO18" s="418">
        <f>+VLOOKUP($A$1,data!$A$69:$AU$99,40)</f>
        <v>5.6047E-2</v>
      </c>
      <c r="AP18" s="418">
        <f>+VLOOKUP($A$1,data!$A$69:$AU$99,41)</f>
        <v>6.5326999999999996E-2</v>
      </c>
      <c r="AQ18" s="418">
        <f>+VLOOKUP($A$1,data!$A$69:$AU$99,42)</f>
        <v>7.7482999999999996E-2</v>
      </c>
      <c r="AR18" s="418">
        <f>+VLOOKUP($A$1,data!$A$69:$AU$99,43)</f>
        <v>6.1814000000000001E-2</v>
      </c>
      <c r="AS18" s="418">
        <f>+VLOOKUP($A$1,data!$A$69:$AU$99,44)</f>
        <v>5.7622E-2</v>
      </c>
      <c r="AT18" s="418">
        <f>+VLOOKUP($A$1,data!$A$69:$AU$99,45)</f>
        <v>4.9442E-2</v>
      </c>
      <c r="AU18" s="418">
        <f>+VLOOKUP($A$1,data!$A$69:$AU$99,46)</f>
        <v>5.8529999999999999E-2</v>
      </c>
      <c r="AV18" s="418">
        <f>SUM(AJ18:AU18)</f>
        <v>0.70106199999999985</v>
      </c>
      <c r="AW18" s="418">
        <f>SUM(AJ18:AU18)</f>
        <v>0.70106199999999985</v>
      </c>
      <c r="AX18" s="419">
        <f>+AW20-AW18</f>
        <v>2.8880000000002237E-3</v>
      </c>
      <c r="AY18" s="308" t="s">
        <v>92</v>
      </c>
      <c r="AZ18" s="724">
        <f>+VLOOKUP($A$1,data!$A$101:$AU$131,35)</f>
        <v>2.0126000000000002E-2</v>
      </c>
      <c r="BA18" s="724">
        <f>+VLOOKUP($A$1,data!$A$101:$AU$131,36)</f>
        <v>2.1226999999999999E-2</v>
      </c>
      <c r="BB18" s="724">
        <f>+VLOOKUP($A$1,data!$A$101:$AU$131,37)</f>
        <v>2.0448000000000001E-2</v>
      </c>
      <c r="BC18" s="724">
        <f>+VLOOKUP($A$1,data!$A$101:$AU$131,38)</f>
        <v>1.6896000000000001E-2</v>
      </c>
      <c r="BD18" s="724">
        <f>+VLOOKUP($A$1,data!$A$101:$AU$131,39)</f>
        <v>1.6900999999999999E-2</v>
      </c>
      <c r="BE18" s="724">
        <f>+VLOOKUP($A$1,data!$A$101:$AU$131,40)</f>
        <v>1.8565000000000002E-2</v>
      </c>
      <c r="BF18" s="724">
        <f>+VLOOKUP($A$1,data!$A$101:$AU$131,41)</f>
        <v>2.2334E-2</v>
      </c>
      <c r="BG18" s="724">
        <f>+VLOOKUP($A$1,data!$A$101:$AU$131,42)</f>
        <v>1.6147999999999999E-2</v>
      </c>
      <c r="BH18" s="724">
        <f>+VLOOKUP($A$1,data!$A$101:$AU$131,43)</f>
        <v>1.6146000000000001E-2</v>
      </c>
      <c r="BI18" s="724">
        <f>+VLOOKUP($A$1,data!$A$101:$AU$131,44)</f>
        <v>1.9275E-2</v>
      </c>
      <c r="BJ18" s="724">
        <f>+VLOOKUP($A$1,data!$A$101:$AU$131,45)</f>
        <v>1.7881000000000001E-2</v>
      </c>
      <c r="BK18" s="724">
        <f>+VLOOKUP($A$1,data!$A$101:$AU$131,46)</f>
        <v>1.6247000000000001E-2</v>
      </c>
      <c r="BL18" s="724">
        <f>SUM(AZ18:BK18)</f>
        <v>0.22219400000000003</v>
      </c>
      <c r="BM18" s="724">
        <f>SUM(AZ18:BK18)</f>
        <v>0.22219400000000003</v>
      </c>
      <c r="BN18" s="725">
        <f>+BM20-BM18</f>
        <v>-4.787380000000005E-2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11.803278688524591</v>
      </c>
      <c r="C19" s="409">
        <f>+VLOOKUP($A$1,data!$A$37:$AU$67,20)</f>
        <v>7.3770491803278695</v>
      </c>
      <c r="D19" s="409">
        <f>+VLOOKUP($A$1,data!$A$37:$AU$67,21)</f>
        <v>6.1967213114754101</v>
      </c>
      <c r="E19" s="409">
        <f>+VLOOKUP($A$1,data!$A$37:$AU$67,22)</f>
        <v>4.1311475409836067</v>
      </c>
      <c r="F19" s="409">
        <f>+VLOOKUP($A$1,data!$A$37:$AU$67,23)</f>
        <v>5.3114754098360653</v>
      </c>
      <c r="G19" s="409">
        <f>+VLOOKUP($A$1,data!$A$37:$AU$67,24)</f>
        <v>17.114754098360653</v>
      </c>
      <c r="H19" s="409">
        <f>+VLOOKUP($A$1,data!$A$37:$AU$67,25)</f>
        <v>11.803278688524591</v>
      </c>
      <c r="I19" s="409">
        <f>+VLOOKUP($A$1,data!$A$37:$AU$67,26)</f>
        <v>15.639344262295085</v>
      </c>
      <c r="J19" s="409">
        <f>+VLOOKUP($A$1,data!$A$37:$AU$67,27)</f>
        <v>9.1475409836065591</v>
      </c>
      <c r="K19" s="409">
        <f>+VLOOKUP($A$1,data!$A$37:$AU$67,28)</f>
        <v>8.8524590163934427</v>
      </c>
      <c r="L19" s="409">
        <f>+VLOOKUP($A$1,data!$A$37:$AU$67,29)</f>
        <v>5.9016393442622954</v>
      </c>
      <c r="M19" s="409">
        <f>+VLOOKUP($A$1,data!$A$37:$AU$67,30)</f>
        <v>4.721311475409836</v>
      </c>
      <c r="N19" s="409">
        <f>SUM(B19:M19)</f>
        <v>108</v>
      </c>
      <c r="O19" s="630">
        <f t="shared" ref="O19:O20" si="0">SUM(B19:M19)</f>
        <v>108</v>
      </c>
      <c r="P19" s="412">
        <f>+O20-O19</f>
        <v>-5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5.7237999999999997E-2</v>
      </c>
      <c r="AK19" s="423">
        <f>+VLOOKUP($A$1,data!$A$69:$AU$99,20)</f>
        <v>5.6757000000000002E-2</v>
      </c>
      <c r="AL19" s="423">
        <f>+VLOOKUP($A$1,data!$A$69:$AU$99,21)</f>
        <v>5.8178000000000001E-2</v>
      </c>
      <c r="AM19" s="423">
        <f>+VLOOKUP($A$1,data!$A$69:$AU$99,22)</f>
        <v>5.8956000000000001E-2</v>
      </c>
      <c r="AN19" s="423">
        <f>+VLOOKUP($A$1,data!$A$69:$AU$99,23)</f>
        <v>5.2217E-2</v>
      </c>
      <c r="AO19" s="423">
        <f>+VLOOKUP($A$1,data!$A$69:$AU$99,24)</f>
        <v>5.6793000000000003E-2</v>
      </c>
      <c r="AP19" s="423">
        <f>+VLOOKUP($A$1,data!$A$69:$AU$99,25)</f>
        <v>6.6399E-2</v>
      </c>
      <c r="AQ19" s="423">
        <f>+VLOOKUP($A$1,data!$A$69:$AU$99,26)</f>
        <v>6.9336999999999996E-2</v>
      </c>
      <c r="AR19" s="423">
        <f>+VLOOKUP($A$1,data!$A$69:$AU$99,27)</f>
        <v>6.2893000000000004E-2</v>
      </c>
      <c r="AS19" s="423">
        <f>+VLOOKUP($A$1,data!$A$69:$AU$99,28)</f>
        <v>5.7016999999999998E-2</v>
      </c>
      <c r="AT19" s="423">
        <f>+VLOOKUP($A$1,data!$A$69:$AU$99,29)</f>
        <v>5.5386999999999999E-2</v>
      </c>
      <c r="AU19" s="423">
        <f>+VLOOKUP($A$1,data!$A$69:$AU$99,30)</f>
        <v>6.1108000000000003E-2</v>
      </c>
      <c r="AV19" s="423">
        <f>SUM(AJ19:AU19)</f>
        <v>0.71227999999999991</v>
      </c>
      <c r="AW19" s="424">
        <f t="shared" ref="AW19:AW20" si="1">SUM(AJ19:AU19)</f>
        <v>0.71227999999999991</v>
      </c>
      <c r="AX19" s="425">
        <f>+AW20-AW19</f>
        <v>-8.3299999999998375E-3</v>
      </c>
      <c r="AY19" s="311" t="s">
        <v>94</v>
      </c>
      <c r="AZ19" s="727">
        <f>+VLOOKUP($A$1,data!$A$101:$AU$131,19)</f>
        <v>1.9133000000000001E-2</v>
      </c>
      <c r="BA19" s="727">
        <f>+VLOOKUP($A$1,data!$A$101:$AU$131,20)</f>
        <v>1.9075999999999999E-2</v>
      </c>
      <c r="BB19" s="727">
        <f>+VLOOKUP($A$1,data!$A$101:$AU$131,21)</f>
        <v>1.7861999999999999E-2</v>
      </c>
      <c r="BC19" s="727">
        <f>+VLOOKUP($A$1,data!$A$101:$AU$131,22)</f>
        <v>1.7167999999999999E-2</v>
      </c>
      <c r="BD19" s="727">
        <f>+VLOOKUP($A$1,data!$A$101:$AU$131,23)</f>
        <v>1.6840999999999998E-2</v>
      </c>
      <c r="BE19" s="727">
        <f>+VLOOKUP($A$1,data!$A$101:$AU$131,24)</f>
        <v>1.9997000000000001E-2</v>
      </c>
      <c r="BF19" s="727">
        <f>+VLOOKUP($A$1,data!$A$101:$AU$131,25)</f>
        <v>1.6188000000000001E-2</v>
      </c>
      <c r="BG19" s="727">
        <f>+VLOOKUP($A$1,data!$A$101:$AU$131,26)</f>
        <v>1.3721000000000001E-2</v>
      </c>
      <c r="BH19" s="727">
        <f>+VLOOKUP($A$1,data!$A$101:$AU$131,27)</f>
        <v>1.4612999999999999E-2</v>
      </c>
      <c r="BI19" s="727">
        <f>+VLOOKUP($A$1,data!$A$101:$AU$131,28)</f>
        <v>1.6629000000000001E-2</v>
      </c>
      <c r="BJ19" s="727">
        <f>+VLOOKUP($A$1,data!$A$101:$AU$131,29)</f>
        <v>1.5629000000000001E-2</v>
      </c>
      <c r="BK19" s="727">
        <f>+VLOOKUP($A$1,data!$A$101:$AU$131,30)</f>
        <v>1.4045999999999999E-2</v>
      </c>
      <c r="BL19" s="727">
        <f>SUM(AZ19:BK19)</f>
        <v>0.200903</v>
      </c>
      <c r="BM19" s="728">
        <f t="shared" ref="BM19:BM20" si="2">SUM(AZ19:BK19)</f>
        <v>0.200903</v>
      </c>
      <c r="BN19" s="729">
        <f>+BM20-BM19</f>
        <v>-2.6582800000000018E-2</v>
      </c>
    </row>
    <row r="20" spans="1:66" s="247" customFormat="1" ht="19.5" thickBot="1" x14ac:dyDescent="0.35">
      <c r="A20" s="413" t="s">
        <v>93</v>
      </c>
      <c r="B20" s="414">
        <f>+VLOOKUP($A$1,data!$A$37:$AU$67,3)</f>
        <v>7</v>
      </c>
      <c r="C20" s="414">
        <f>+VLOOKUP($A$1,data!$A$37:$AU$67,4)</f>
        <v>3</v>
      </c>
      <c r="D20" s="414">
        <f>+VLOOKUP($A$1,data!$A$37:$AU$67,5)</f>
        <v>5</v>
      </c>
      <c r="E20" s="414">
        <f>+VLOOKUP($A$1,data!$A$37:$AU$67,6)</f>
        <v>6</v>
      </c>
      <c r="F20" s="414">
        <f>+VLOOKUP($A$1,data!$A$37:$AU$67,7)</f>
        <v>11</v>
      </c>
      <c r="G20" s="414">
        <f>+VLOOKUP($A$1,data!$A$37:$AU$67,8)</f>
        <v>27</v>
      </c>
      <c r="H20" s="414">
        <f>+VLOOKUP($A$1,data!$A$37:$AU$67,9)</f>
        <v>14</v>
      </c>
      <c r="I20" s="414">
        <f>+VLOOKUP($A$1,data!$A$37:$AU$67,10)</f>
        <v>6</v>
      </c>
      <c r="J20" s="414">
        <f>+VLOOKUP($A$1,data!$A$37:$AU$67,11)</f>
        <v>11</v>
      </c>
      <c r="K20" s="414">
        <f>+VLOOKUP($A$1,data!$A$37:$AU$67,12)</f>
        <v>4</v>
      </c>
      <c r="L20" s="414">
        <f>+VLOOKUP($A$1,data!$A$37:$AU$67,13)</f>
        <v>3</v>
      </c>
      <c r="M20" s="414">
        <f>+VLOOKUP($A$1,data!$A$37:$AU$67,14)</f>
        <v>6</v>
      </c>
      <c r="N20" s="414">
        <f>SUM(B20:M20)</f>
        <v>103</v>
      </c>
      <c r="O20" s="631">
        <f t="shared" si="0"/>
        <v>103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5.5336999999999997E-2</v>
      </c>
      <c r="AK20" s="420">
        <f>+VLOOKUP($A$1,data!$A$69:$AU$99,4)</f>
        <v>5.6029000000000002E-2</v>
      </c>
      <c r="AL20" s="420">
        <f>+VLOOKUP($A$1,data!$A$69:$AU$99,5)</f>
        <v>5.6563000000000002E-2</v>
      </c>
      <c r="AM20" s="420">
        <f>+VLOOKUP($A$1,data!$A$69:$AU$99,6)</f>
        <v>5.8418999999999999E-2</v>
      </c>
      <c r="AN20" s="420">
        <f>+VLOOKUP($A$1,data!$A$69:$AU$99,7)</f>
        <v>5.5750000000000001E-2</v>
      </c>
      <c r="AO20" s="420">
        <f>+VLOOKUP($A$1,data!$A$69:$AU$99,8)</f>
        <v>5.6078000000000003E-2</v>
      </c>
      <c r="AP20" s="420">
        <f>+VLOOKUP($A$1,data!$A$69:$AU$99,9)</f>
        <v>6.5298999999999996E-2</v>
      </c>
      <c r="AQ20" s="420">
        <f>+VLOOKUP($A$1,data!$A$69:$AU$99,10)</f>
        <v>6.5780000000000005E-2</v>
      </c>
      <c r="AR20" s="420">
        <f>+VLOOKUP($A$1,data!$A$69:$AU$99,11)</f>
        <v>6.0471999999999998E-2</v>
      </c>
      <c r="AS20" s="420">
        <f>+VLOOKUP($A$1,data!$A$69:$AU$99,12)</f>
        <v>5.7937000000000002E-2</v>
      </c>
      <c r="AT20" s="420">
        <f>+VLOOKUP($A$1,data!$A$69:$AU$99,13)</f>
        <v>5.7443000000000001E-2</v>
      </c>
      <c r="AU20" s="420">
        <f>+VLOOKUP($A$1,data!$A$69:$AU$99,14)</f>
        <v>5.8842999999999999E-2</v>
      </c>
      <c r="AV20" s="420">
        <f>SUM(AJ20:AU20)</f>
        <v>0.70395000000000008</v>
      </c>
      <c r="AW20" s="421">
        <f t="shared" si="1"/>
        <v>0.70395000000000008</v>
      </c>
      <c r="AX20" s="422"/>
      <c r="AY20" s="315" t="s">
        <v>93</v>
      </c>
      <c r="AZ20" s="730">
        <f>+VLOOKUP($A$1,data!$A$101:$AU$131,3)</f>
        <v>1.3301380000000005E-2</v>
      </c>
      <c r="BA20" s="730">
        <f>+VLOOKUP($A$1,data!$A$101:$AU$131,4)</f>
        <v>9.4727799999999984E-3</v>
      </c>
      <c r="BB20" s="730">
        <f>+VLOOKUP($A$1,data!$A$101:$AU$131,5)</f>
        <v>1.1817709999999992E-2</v>
      </c>
      <c r="BC20" s="730">
        <f>+VLOOKUP($A$1,data!$A$101:$AU$131,6)</f>
        <v>1.2001240000000005E-2</v>
      </c>
      <c r="BD20" s="730">
        <f>+VLOOKUP($A$1,data!$A$101:$AU$131,7)</f>
        <v>1.1642089999999997E-2</v>
      </c>
      <c r="BE20" s="730">
        <f>+VLOOKUP($A$1,data!$A$101:$AU$131,8)</f>
        <v>2.2228000000000001E-2</v>
      </c>
      <c r="BF20" s="730">
        <f>+VLOOKUP($A$1,data!$A$101:$AU$131,9)</f>
        <v>1.4808999999999999E-2</v>
      </c>
      <c r="BG20" s="730">
        <f>+VLOOKUP($A$1,data!$A$101:$AU$131,10)</f>
        <v>1.6775000000000002E-2</v>
      </c>
      <c r="BH20" s="730">
        <f>+VLOOKUP($A$1,data!$A$101:$AU$131,11)</f>
        <v>1.1346E-2</v>
      </c>
      <c r="BI20" s="730">
        <f>+VLOOKUP($A$1,data!$A$101:$AU$131,12)</f>
        <v>1.6874E-2</v>
      </c>
      <c r="BJ20" s="730">
        <f>+VLOOKUP($A$1,data!$A$101:$AU$131,13)</f>
        <v>1.6924999999999999E-2</v>
      </c>
      <c r="BK20" s="730">
        <f>+VLOOKUP($A$1,data!$A$101:$AU$131,14)</f>
        <v>1.7128000000000001E-2</v>
      </c>
      <c r="BL20" s="730">
        <f>SUM(AZ20:BK20)</f>
        <v>0.17432019999999998</v>
      </c>
      <c r="BM20" s="731">
        <f t="shared" si="2"/>
        <v>0.17432019999999998</v>
      </c>
      <c r="BN20" s="732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25.377049180327869</v>
      </c>
      <c r="W21" s="671">
        <f>+VLOOKUP($A$1,data!$A$261:$AK$291,16)</f>
        <v>15</v>
      </c>
      <c r="X21" s="671">
        <f>+VLOOKUP($A$1,data!$A$261:$AK$291,36)</f>
        <v>50.93442622950819</v>
      </c>
      <c r="Y21" s="671">
        <f>+VLOOKUP($A$1,data!$A$261:$AK$291,17)</f>
        <v>59</v>
      </c>
      <c r="Z21" s="671">
        <f>+VLOOKUP($A$1,data!$A$261:$AK$291,37)</f>
        <v>86.524590163934434</v>
      </c>
      <c r="AA21" s="671">
        <f>+VLOOKUP($A$1,data!$A$261:$AK$291,18)</f>
        <v>89</v>
      </c>
      <c r="AB21" s="671">
        <f>+VLOOKUP($A$1,data!$A$261:$AK$291,34)</f>
        <v>105</v>
      </c>
      <c r="AC21" s="671">
        <f>+VLOOKUP($A$1,data!$A$261:$AK$291,15)</f>
        <v>102</v>
      </c>
      <c r="AD21" s="671">
        <f>+AA21-Z21</f>
        <v>2.4754098360655661</v>
      </c>
      <c r="AE21" s="684">
        <f>+AC21-AB21</f>
        <v>-3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0</v>
      </c>
      <c r="W22" s="672">
        <f>+VLOOKUP($A$1,data!$A$229:$AK$259,16)</f>
        <v>0</v>
      </c>
      <c r="X22" s="672">
        <f>+VLOOKUP($A$1,data!$A$229:$AK$259,36)</f>
        <v>1</v>
      </c>
      <c r="Y22" s="672">
        <f>+VLOOKUP($A$1,data!$A$229:$AK$259,17)</f>
        <v>0</v>
      </c>
      <c r="Z22" s="672">
        <f>+VLOOKUP($A$1,data!$A$229:$AK$259,37)</f>
        <v>2</v>
      </c>
      <c r="AA22" s="672">
        <f>+VLOOKUP($A$1,data!$A$229:$AK$259,18)</f>
        <v>1</v>
      </c>
      <c r="AB22" s="672">
        <f>+VLOOKUP($A$1,data!$A$229:$AK$259,34)</f>
        <v>3</v>
      </c>
      <c r="AC22" s="765">
        <f>+VLOOKUP($A$1,data!$A$229:$AK$259,15)</f>
        <v>1</v>
      </c>
      <c r="AD22" s="671">
        <f>+AA22-Z22</f>
        <v>-1</v>
      </c>
      <c r="AE22" s="685">
        <f>+AC22-AB22</f>
        <v>-2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25.377049180327869</v>
      </c>
      <c r="W23" s="689">
        <f t="shared" ref="W23:AC23" si="3">SUM(W21:W22)</f>
        <v>15</v>
      </c>
      <c r="X23" s="689">
        <f t="shared" si="3"/>
        <v>51.93442622950819</v>
      </c>
      <c r="Y23" s="689">
        <f t="shared" si="3"/>
        <v>59</v>
      </c>
      <c r="Z23" s="689">
        <f t="shared" si="3"/>
        <v>88.524590163934434</v>
      </c>
      <c r="AA23" s="689">
        <f t="shared" si="3"/>
        <v>90</v>
      </c>
      <c r="AB23" s="689">
        <f t="shared" si="3"/>
        <v>108</v>
      </c>
      <c r="AC23" s="764">
        <f t="shared" si="3"/>
        <v>103</v>
      </c>
      <c r="AD23" s="689">
        <f>+AA23-Z23</f>
        <v>1.4754098360655661</v>
      </c>
      <c r="AE23" s="686">
        <f>+AC23-AB23</f>
        <v>-5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5</v>
      </c>
      <c r="D39" s="406">
        <f t="shared" ref="D39:N41" si="4">+C39+C18</f>
        <v>11</v>
      </c>
      <c r="E39" s="406">
        <f t="shared" si="4"/>
        <v>16</v>
      </c>
      <c r="F39" s="406">
        <f t="shared" si="4"/>
        <v>19</v>
      </c>
      <c r="G39" s="406">
        <f t="shared" si="4"/>
        <v>27</v>
      </c>
      <c r="H39" s="406">
        <f t="shared" si="4"/>
        <v>54</v>
      </c>
      <c r="I39" s="406">
        <f t="shared" si="4"/>
        <v>77</v>
      </c>
      <c r="J39" s="406">
        <f t="shared" si="4"/>
        <v>99</v>
      </c>
      <c r="K39" s="406">
        <f t="shared" si="4"/>
        <v>111</v>
      </c>
      <c r="L39" s="406">
        <f t="shared" si="4"/>
        <v>119</v>
      </c>
      <c r="M39" s="406">
        <f t="shared" si="4"/>
        <v>124</v>
      </c>
      <c r="N39" s="406">
        <f t="shared" si="4"/>
        <v>127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5.4497999999999998E-2</v>
      </c>
      <c r="AL39" s="418">
        <f t="shared" ref="AL39:AV41" si="5">+AK39+AK18</f>
        <v>0.10947599999999999</v>
      </c>
      <c r="AM39" s="418">
        <f t="shared" si="5"/>
        <v>0.167764</v>
      </c>
      <c r="AN39" s="418">
        <f t="shared" si="5"/>
        <v>0.22150599999999998</v>
      </c>
      <c r="AO39" s="418">
        <f t="shared" si="5"/>
        <v>0.27479699999999996</v>
      </c>
      <c r="AP39" s="418">
        <f t="shared" si="5"/>
        <v>0.33084399999999997</v>
      </c>
      <c r="AQ39" s="418">
        <f t="shared" si="5"/>
        <v>0.39617099999999994</v>
      </c>
      <c r="AR39" s="418">
        <f t="shared" si="5"/>
        <v>0.47365399999999991</v>
      </c>
      <c r="AS39" s="418">
        <f t="shared" si="5"/>
        <v>0.53546799999999994</v>
      </c>
      <c r="AT39" s="418">
        <f t="shared" si="5"/>
        <v>0.5930899999999999</v>
      </c>
      <c r="AU39" s="418">
        <f t="shared" si="5"/>
        <v>0.64253199999999988</v>
      </c>
      <c r="AV39" s="418">
        <f t="shared" si="5"/>
        <v>0.70106199999999985</v>
      </c>
      <c r="AW39" s="158"/>
      <c r="AX39" s="158"/>
      <c r="AY39" s="308" t="s">
        <v>92</v>
      </c>
      <c r="AZ39" s="714">
        <f>+VLOOKUP($A$1,data!$A$133:$BK$163,26)</f>
        <v>26.9698756432247</v>
      </c>
      <c r="BA39" s="714">
        <f>+VLOOKUP($A$1,data!$A$133:$BK$163,27)</f>
        <v>27.849280382046942</v>
      </c>
      <c r="BB39" s="714">
        <f>+VLOOKUP($A$1,data!$A$133:$BK$163,28)</f>
        <v>25.961758208273022</v>
      </c>
      <c r="BC39" s="714">
        <f>+VLOOKUP($A$1,data!$A$133:$BK$163,29)</f>
        <v>26.915991237200959</v>
      </c>
      <c r="BD39" s="714">
        <f>+VLOOKUP($A$1,data!$A$133:$BK$163,30)</f>
        <v>23.915751330540143</v>
      </c>
      <c r="BE39" s="714">
        <f>+VLOOKUP($A$1,data!$A$133:$BK$163,31)</f>
        <v>24.071726652518834</v>
      </c>
      <c r="BF39" s="714">
        <f>+VLOOKUP($A$1,data!$A$133:$BK$163,32)</f>
        <v>24.86239637878159</v>
      </c>
      <c r="BG39" s="714">
        <f>+VLOOKUP($A$1,data!$A$133:$BK$163,33)</f>
        <v>25.646711012564673</v>
      </c>
      <c r="BH39" s="714">
        <f>+VLOOKUP($A$1,data!$A$133:$BK$163,34)</f>
        <v>25.449821666647676</v>
      </c>
      <c r="BI39" s="714">
        <f>+VLOOKUP($A$1,data!$A$133:$BK$163,35)</f>
        <v>17.242373442388391</v>
      </c>
      <c r="BJ39" s="714">
        <f>+VLOOKUP($A$1,data!$A$133:$BK$163,36)</f>
        <v>20.704778025698239</v>
      </c>
      <c r="BK39" s="714">
        <f>+VLOOKUP($A$1,data!$A$133:$BK$163,37)</f>
        <v>23.95799179309865</v>
      </c>
      <c r="BL39" s="714">
        <f>+VLOOKUP($A$1,data!$A$133:$BK$163,38)</f>
        <v>25.065997373109482</v>
      </c>
      <c r="BM39" s="714">
        <f>+VLOOKUP($A$1,data!$A$133:$BK$163,39)</f>
        <v>26.560016636216449</v>
      </c>
      <c r="BN39" s="714">
        <f>+VLOOKUP($A$1,data!$A$133:$BK$163,40)</f>
        <v>21.727269080064726</v>
      </c>
      <c r="BO39" s="714">
        <f>+VLOOKUP($A$1,data!$A$133:$BK$163,41)</f>
        <v>24.059311811470387</v>
      </c>
    </row>
    <row r="40" spans="1:67" ht="21.75" thickBot="1" x14ac:dyDescent="0.4">
      <c r="A40"/>
      <c r="B40" s="408" t="s">
        <v>94</v>
      </c>
      <c r="C40" s="409">
        <f>+B19</f>
        <v>11.803278688524591</v>
      </c>
      <c r="D40" s="409">
        <f t="shared" si="4"/>
        <v>19.180327868852459</v>
      </c>
      <c r="E40" s="409">
        <f t="shared" si="4"/>
        <v>25.377049180327869</v>
      </c>
      <c r="F40" s="409">
        <f t="shared" si="4"/>
        <v>29.508196721311478</v>
      </c>
      <c r="G40" s="409">
        <f t="shared" si="4"/>
        <v>34.819672131147541</v>
      </c>
      <c r="H40" s="409">
        <f t="shared" si="4"/>
        <v>51.93442622950819</v>
      </c>
      <c r="I40" s="409">
        <f t="shared" si="4"/>
        <v>63.737704918032783</v>
      </c>
      <c r="J40" s="409">
        <f t="shared" si="4"/>
        <v>79.377049180327873</v>
      </c>
      <c r="K40" s="409">
        <f t="shared" si="4"/>
        <v>88.524590163934434</v>
      </c>
      <c r="L40" s="409">
        <f t="shared" si="4"/>
        <v>97.377049180327873</v>
      </c>
      <c r="M40" s="409">
        <f t="shared" si="4"/>
        <v>103.27868852459017</v>
      </c>
      <c r="N40" s="409">
        <f t="shared" si="4"/>
        <v>108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5.7237999999999997E-2</v>
      </c>
      <c r="AL40" s="423">
        <f t="shared" si="5"/>
        <v>0.113995</v>
      </c>
      <c r="AM40" s="423">
        <f t="shared" si="5"/>
        <v>0.17217299999999999</v>
      </c>
      <c r="AN40" s="423">
        <f t="shared" si="5"/>
        <v>0.231129</v>
      </c>
      <c r="AO40" s="423">
        <f t="shared" si="5"/>
        <v>0.28334599999999999</v>
      </c>
      <c r="AP40" s="423">
        <f t="shared" si="5"/>
        <v>0.34013899999999997</v>
      </c>
      <c r="AQ40" s="423">
        <f t="shared" si="5"/>
        <v>0.40653799999999995</v>
      </c>
      <c r="AR40" s="423">
        <f t="shared" si="5"/>
        <v>0.47587499999999994</v>
      </c>
      <c r="AS40" s="423">
        <f t="shared" si="5"/>
        <v>0.53876799999999991</v>
      </c>
      <c r="AT40" s="423">
        <f t="shared" si="5"/>
        <v>0.5957849999999999</v>
      </c>
      <c r="AU40" s="423">
        <f t="shared" si="5"/>
        <v>0.65117199999999986</v>
      </c>
      <c r="AV40" s="423">
        <f t="shared" si="5"/>
        <v>0.71227999999999991</v>
      </c>
      <c r="AW40" s="158"/>
      <c r="AX40" s="158"/>
      <c r="AY40" s="311" t="s">
        <v>94</v>
      </c>
      <c r="AZ40" s="715">
        <f>+VLOOKUP($A$1,data!$A$133:$BK$163,22)</f>
        <v>22.000372325280885</v>
      </c>
      <c r="BA40" s="715">
        <f>+$AZ$40</f>
        <v>22.000372325280885</v>
      </c>
      <c r="BB40" s="715">
        <f t="shared" ref="BB40:BO40" si="6">+$AZ$40</f>
        <v>22.000372325280885</v>
      </c>
      <c r="BC40" s="715">
        <f t="shared" si="6"/>
        <v>22.000372325280885</v>
      </c>
      <c r="BD40" s="715">
        <f t="shared" si="6"/>
        <v>22.000372325280885</v>
      </c>
      <c r="BE40" s="715">
        <f t="shared" si="6"/>
        <v>22.000372325280885</v>
      </c>
      <c r="BF40" s="715">
        <f t="shared" si="6"/>
        <v>22.000372325280885</v>
      </c>
      <c r="BG40" s="715">
        <f t="shared" si="6"/>
        <v>22.000372325280885</v>
      </c>
      <c r="BH40" s="715">
        <f t="shared" si="6"/>
        <v>22.000372325280885</v>
      </c>
      <c r="BI40" s="715">
        <f t="shared" si="6"/>
        <v>22.000372325280885</v>
      </c>
      <c r="BJ40" s="715">
        <f t="shared" si="6"/>
        <v>22.000372325280885</v>
      </c>
      <c r="BK40" s="715">
        <f t="shared" si="6"/>
        <v>22.000372325280885</v>
      </c>
      <c r="BL40" s="715">
        <f t="shared" si="6"/>
        <v>22.000372325280885</v>
      </c>
      <c r="BM40" s="715">
        <f t="shared" si="6"/>
        <v>22.000372325280885</v>
      </c>
      <c r="BN40" s="715">
        <f t="shared" si="6"/>
        <v>22.000372325280885</v>
      </c>
      <c r="BO40" s="715">
        <f t="shared" si="6"/>
        <v>22.000372325280885</v>
      </c>
    </row>
    <row r="41" spans="1:67" ht="21.75" thickBot="1" x14ac:dyDescent="0.4">
      <c r="A41"/>
      <c r="B41" s="413" t="s">
        <v>93</v>
      </c>
      <c r="C41" s="414">
        <f>+B20</f>
        <v>7</v>
      </c>
      <c r="D41" s="414">
        <f t="shared" si="4"/>
        <v>10</v>
      </c>
      <c r="E41" s="414">
        <f t="shared" si="4"/>
        <v>15</v>
      </c>
      <c r="F41" s="414">
        <f t="shared" si="4"/>
        <v>21</v>
      </c>
      <c r="G41" s="414">
        <f t="shared" si="4"/>
        <v>32</v>
      </c>
      <c r="H41" s="414">
        <f t="shared" si="4"/>
        <v>59</v>
      </c>
      <c r="I41" s="414">
        <f t="shared" si="4"/>
        <v>73</v>
      </c>
      <c r="J41" s="414">
        <f t="shared" si="4"/>
        <v>79</v>
      </c>
      <c r="K41" s="414">
        <f t="shared" si="4"/>
        <v>90</v>
      </c>
      <c r="L41" s="414">
        <f t="shared" si="4"/>
        <v>94</v>
      </c>
      <c r="M41" s="414">
        <f t="shared" si="4"/>
        <v>97</v>
      </c>
      <c r="N41" s="414">
        <f t="shared" si="4"/>
        <v>103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5.5336999999999997E-2</v>
      </c>
      <c r="AL41" s="420">
        <f t="shared" si="5"/>
        <v>0.11136599999999999</v>
      </c>
      <c r="AM41" s="420">
        <f t="shared" si="5"/>
        <v>0.16792899999999999</v>
      </c>
      <c r="AN41" s="420">
        <f t="shared" si="5"/>
        <v>0.22634799999999999</v>
      </c>
      <c r="AO41" s="420">
        <f t="shared" si="5"/>
        <v>0.28209800000000002</v>
      </c>
      <c r="AP41" s="420">
        <f t="shared" si="5"/>
        <v>0.33817600000000003</v>
      </c>
      <c r="AQ41" s="420">
        <f t="shared" si="5"/>
        <v>0.40347500000000003</v>
      </c>
      <c r="AR41" s="420">
        <f t="shared" si="5"/>
        <v>0.46925500000000003</v>
      </c>
      <c r="AS41" s="420">
        <f t="shared" si="5"/>
        <v>0.52972700000000006</v>
      </c>
      <c r="AT41" s="420">
        <f t="shared" si="5"/>
        <v>0.58766400000000008</v>
      </c>
      <c r="AU41" s="420">
        <f t="shared" si="5"/>
        <v>0.6451070000000001</v>
      </c>
      <c r="AV41" s="420">
        <f t="shared" si="5"/>
        <v>0.70395000000000008</v>
      </c>
      <c r="AW41" s="158"/>
      <c r="AX41" s="158"/>
      <c r="AY41" s="315" t="s">
        <v>93</v>
      </c>
      <c r="AZ41" s="716">
        <f>+VLOOKUP($A$1,data!$A$133:$BK$163,3)</f>
        <v>19.376101810414177</v>
      </c>
      <c r="BA41" s="716">
        <f>+VLOOKUP($A$1,data!$A$133:$BK$163,4)</f>
        <v>14.461866532482018</v>
      </c>
      <c r="BB41" s="716">
        <f>+VLOOKUP($A$1,data!$A$133:$BK$163,5)</f>
        <v>17.277174462077944</v>
      </c>
      <c r="BC41" s="716">
        <f>+VLOOKUP($A$1,data!$A$133:$BK$163,6)</f>
        <v>17.078114747174375</v>
      </c>
      <c r="BD41" s="716">
        <f>+VLOOKUP($A$1,data!$A$133:$BK$163,7)</f>
        <v>17.042316243171005</v>
      </c>
      <c r="BE41" s="716">
        <f>+VLOOKUP($A$1,data!$A$133:$BK$163,8)</f>
        <v>17.275157959932681</v>
      </c>
      <c r="BF41" s="716">
        <f>+VLOOKUP($A$1,data!$A$133:$BK$163,9)</f>
        <v>28.386075141113071</v>
      </c>
      <c r="BG41" s="716">
        <f>+VLOOKUP($A$1,data!$A$133:$BK$163,10)</f>
        <v>19.218800905344832</v>
      </c>
      <c r="BH41" s="716">
        <f>+VLOOKUP($A$1,data!$A$133:$BK$163,11)</f>
        <v>18.474762344369868</v>
      </c>
      <c r="BI41" s="716">
        <f>+VLOOKUP($A$1,data!$A$133:$BK$163,12)</f>
        <v>20.314865273993341</v>
      </c>
      <c r="BJ41" s="716">
        <f>+VLOOKUP($A$1,data!$A$133:$BK$163,13)</f>
        <v>15.79826784371606</v>
      </c>
      <c r="BK41" s="716">
        <f>+VLOOKUP($A$1,data!$A$133:$BK$163,14)</f>
        <v>18.889985337256864</v>
      </c>
      <c r="BL41" s="716">
        <f>+VLOOKUP($A$1,data!$A$133:$BK$163,15)</f>
        <v>22.555506543155417</v>
      </c>
      <c r="BM41" s="716">
        <f>+VLOOKUP($A$1,data!$A$133:$BK$163,16)</f>
        <v>22.758444492254736</v>
      </c>
      <c r="BN41" s="716">
        <f>+VLOOKUP($A$1,data!$A$133:$BK$163,17)</f>
        <v>22.545444972423688</v>
      </c>
      <c r="BO41" s="716">
        <f>+VLOOKUP($A$1,data!$A$133:$BK$163,18)</f>
        <v>19.845869087999564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24.059311811470387</v>
      </c>
      <c r="BA43" s="826">
        <f>+VLOOKUP($A$1,data!$A$133:$BK$163,26)</f>
        <v>26.9698756432247</v>
      </c>
      <c r="BB43" s="473">
        <f>+AZ45-AZ43</f>
        <v>-4.2134427234708234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22.000372325280885</v>
      </c>
      <c r="BA44" s="830"/>
      <c r="BB44" s="472">
        <f>+AZ45-AZ44</f>
        <v>-2.1545032372813218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19.845869087999564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1019</v>
      </c>
      <c r="B47" s="817" t="str">
        <f>+VLOOKUP($A$1,data!$A$4:$AH$32,2,0)</f>
        <v>ร้องกวาง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1019</v>
      </c>
      <c r="T47" s="817" t="str">
        <f>+VLOOKUP($A$1,data!$A$4:$AH$32,2,0)</f>
        <v>ร้องกวาง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1019</v>
      </c>
      <c r="AJ47" s="817" t="str">
        <f>+VLOOKUP($A$1,data!$A$4:$AH$32,2,0)</f>
        <v>ร้องกวาง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1.0360903000000001</v>
      </c>
      <c r="C64" s="632">
        <f>+VLOOKUP($A$1,data!$A$165:$AU$195,36)</f>
        <v>1.0424068599999998</v>
      </c>
      <c r="D64" s="632">
        <f>+VLOOKUP($A$1,data!$A$165:$AU$195,37)</f>
        <v>1.1125242300000002</v>
      </c>
      <c r="E64" s="632">
        <f>+VLOOKUP($A$1,data!$A$165:$AU$195,38)</f>
        <v>1.0100822</v>
      </c>
      <c r="F64" s="632">
        <f>+VLOOKUP($A$1,data!$A$165:$AU$195,39)</f>
        <v>1.00976829</v>
      </c>
      <c r="G64" s="632">
        <f>+VLOOKUP($A$1,data!$A$165:$AU$195,40)</f>
        <v>1.0836684599999999</v>
      </c>
      <c r="H64" s="632">
        <f>+VLOOKUP($A$1,data!$A$165:$AU$195,41)</f>
        <v>1.2415762100000003</v>
      </c>
      <c r="I64" s="632">
        <f>+VLOOKUP($A$1,data!$A$165:$AU$195,42)</f>
        <v>1.46313541</v>
      </c>
      <c r="J64" s="632">
        <f>+VLOOKUP($A$1,data!$A$165:$AU$195,43)</f>
        <v>1.17295353</v>
      </c>
      <c r="K64" s="632">
        <f>+VLOOKUP($A$1,data!$A$165:$AU$195,44)</f>
        <v>1.08237932</v>
      </c>
      <c r="L64" s="632">
        <f>+VLOOKUP($A$1,data!$A$165:$AU$195,45)</f>
        <v>0.90714958000000012</v>
      </c>
      <c r="M64" s="632">
        <f>+VLOOKUP($A$1,data!$A$165:$AU$195,46)</f>
        <v>1.1045703899999999</v>
      </c>
      <c r="N64" s="632">
        <f>SUM(B64:M64)</f>
        <v>13.266304779999999</v>
      </c>
      <c r="O64" s="632">
        <f>SUM(B64:M64)</f>
        <v>13.266304779999999</v>
      </c>
      <c r="P64" s="635">
        <f>+O66-O64</f>
        <v>0.13754941000000009</v>
      </c>
      <c r="S64" s="605" t="s">
        <v>92</v>
      </c>
      <c r="T64" s="640">
        <f>+VLOOKUP($A$1,data!$A$197:$AU$227,35)</f>
        <v>0.79316649999999989</v>
      </c>
      <c r="U64" s="640">
        <f>+VLOOKUP($A$1,data!$A$197:$AU$227,36)</f>
        <v>0.77064106999999993</v>
      </c>
      <c r="V64" s="640">
        <f>+VLOOKUP($A$1,data!$A$197:$AU$227,37)</f>
        <v>0.75784607999999987</v>
      </c>
      <c r="W64" s="640">
        <f>+VLOOKUP($A$1,data!$A$197:$AU$227,38)</f>
        <v>0.78710417999999993</v>
      </c>
      <c r="X64" s="640">
        <f>+VLOOKUP($A$1,data!$A$197:$AU$227,39)</f>
        <v>0.77729893999999988</v>
      </c>
      <c r="Y64" s="640">
        <f>+VLOOKUP($A$1,data!$A$197:$AU$227,40)</f>
        <v>0.8042871100000003</v>
      </c>
      <c r="Z64" s="640">
        <f>+VLOOKUP($A$1,data!$A$197:$AU$227,41)</f>
        <v>0.75454593999999997</v>
      </c>
      <c r="AA64" s="640">
        <f>+VLOOKUP($A$1,data!$A$197:$AU$227,42)</f>
        <v>0.74853261999999998</v>
      </c>
      <c r="AB64" s="640">
        <f>+VLOOKUP($A$1,data!$A$197:$AU$227,43)</f>
        <v>0.75059227000000006</v>
      </c>
      <c r="AC64" s="640">
        <f>+VLOOKUP($A$1,data!$A$197:$AU$227,44)</f>
        <v>0.90134040999999976</v>
      </c>
      <c r="AD64" s="640">
        <f>+VLOOKUP($A$1,data!$A$197:$AU$227,45)</f>
        <v>0.7926093999999998</v>
      </c>
      <c r="AE64" s="640">
        <f>+VLOOKUP($A$1,data!$A$197:$AU$227,46)</f>
        <v>0.76784814000000001</v>
      </c>
      <c r="AF64" s="640">
        <f>SUM(T64:AE64)</f>
        <v>9.4058126599999987</v>
      </c>
      <c r="AG64" s="640">
        <f>SUM(T64:AE64)</f>
        <v>9.4058126599999987</v>
      </c>
      <c r="AH64" s="641">
        <f>+AG66-AG64</f>
        <v>-0.22555345999999687</v>
      </c>
      <c r="AI64" s="621" t="s">
        <v>92</v>
      </c>
      <c r="AJ64" s="648">
        <f>+B64-T64</f>
        <v>0.24292380000000025</v>
      </c>
      <c r="AK64" s="648">
        <f t="shared" ref="AK64:AU66" si="7">+C64-U64</f>
        <v>0.2717657899999999</v>
      </c>
      <c r="AL64" s="648">
        <f t="shared" si="7"/>
        <v>0.35467815000000036</v>
      </c>
      <c r="AM64" s="648">
        <f t="shared" si="7"/>
        <v>0.22297802000000011</v>
      </c>
      <c r="AN64" s="648">
        <f t="shared" si="7"/>
        <v>0.23246935000000013</v>
      </c>
      <c r="AO64" s="648">
        <f t="shared" si="7"/>
        <v>0.27938134999999964</v>
      </c>
      <c r="AP64" s="648">
        <f t="shared" si="7"/>
        <v>0.48703027000000032</v>
      </c>
      <c r="AQ64" s="648">
        <f t="shared" si="7"/>
        <v>0.71460279000000004</v>
      </c>
      <c r="AR64" s="648">
        <f t="shared" si="7"/>
        <v>0.42236125999999996</v>
      </c>
      <c r="AS64" s="648">
        <f t="shared" si="7"/>
        <v>0.18103891000000027</v>
      </c>
      <c r="AT64" s="648">
        <f t="shared" si="7"/>
        <v>0.11454018000000032</v>
      </c>
      <c r="AU64" s="648">
        <f t="shared" si="7"/>
        <v>0.33672224999999989</v>
      </c>
      <c r="AV64" s="648">
        <f>SUM(AJ64:AU64)</f>
        <v>3.8604921200000004</v>
      </c>
      <c r="AW64" s="648">
        <f>SUM(AJ64:AU64)</f>
        <v>3.8604921200000004</v>
      </c>
      <c r="AX64" s="651">
        <f>+AW66-AW64</f>
        <v>0.3631028699999983</v>
      </c>
    </row>
    <row r="65" spans="1:50" ht="21.75" thickBot="1" x14ac:dyDescent="0.4">
      <c r="A65" s="538" t="s">
        <v>94</v>
      </c>
      <c r="B65" s="633">
        <f>+VLOOKUP($A$1,data!$A$165:$AU$195,19)</f>
        <v>1.101672</v>
      </c>
      <c r="C65" s="633">
        <f>+VLOOKUP($A$1,data!$A$165:$AU$195,20)</f>
        <v>1.0858129999999999</v>
      </c>
      <c r="D65" s="633">
        <f>+VLOOKUP($A$1,data!$A$165:$AU$195,21)</f>
        <v>1.1140490000000001</v>
      </c>
      <c r="E65" s="633">
        <f>+VLOOKUP($A$1,data!$A$165:$AU$195,22)</f>
        <v>1.097458</v>
      </c>
      <c r="F65" s="633">
        <f>+VLOOKUP($A$1,data!$A$165:$AU$195,23)</f>
        <v>1.0101279999999999</v>
      </c>
      <c r="G65" s="633">
        <f>+VLOOKUP($A$1,data!$A$165:$AU$195,24)</f>
        <v>1.0970949999999999</v>
      </c>
      <c r="H65" s="633">
        <f>+VLOOKUP($A$1,data!$A$165:$AU$195,25)</f>
        <v>1.2503439999999999</v>
      </c>
      <c r="I65" s="633">
        <f>+VLOOKUP($A$1,data!$A$165:$AU$195,26)</f>
        <v>1.2999639999999999</v>
      </c>
      <c r="J65" s="633">
        <f>+VLOOKUP($A$1,data!$A$165:$AU$195,27)</f>
        <v>1.18912</v>
      </c>
      <c r="K65" s="633">
        <f>+VLOOKUP($A$1,data!$A$165:$AU$195,28)</f>
        <v>1.0795589999999999</v>
      </c>
      <c r="L65" s="633">
        <f>+VLOOKUP($A$1,data!$A$165:$AU$195,29)</f>
        <v>1.0354730000000001</v>
      </c>
      <c r="M65" s="633">
        <f>+VLOOKUP($A$1,data!$A$165:$AU$195,30)</f>
        <v>1.1716409999999999</v>
      </c>
      <c r="N65" s="633">
        <f>SUM(B65:M65)</f>
        <v>13.532315999999996</v>
      </c>
      <c r="O65" s="636">
        <f t="shared" ref="O65:O66" si="8">SUM(B65:M65)</f>
        <v>13.532315999999996</v>
      </c>
      <c r="P65" s="637">
        <f>+O66-O65</f>
        <v>-0.12846180999999746</v>
      </c>
      <c r="S65" s="601" t="s">
        <v>94</v>
      </c>
      <c r="T65" s="642">
        <f>+VLOOKUP($A$1,data!$A$197:$AU$227,19)</f>
        <v>0.80578499999999997</v>
      </c>
      <c r="U65" s="642">
        <f>+VLOOKUP($A$1,data!$A$197:$AU$227,20)</f>
        <v>0.75143300000000002</v>
      </c>
      <c r="V65" s="642">
        <f>+VLOOKUP($A$1,data!$A$197:$AU$227,21)</f>
        <v>0.73522600000000005</v>
      </c>
      <c r="W65" s="642">
        <f>+VLOOKUP($A$1,data!$A$197:$AU$227,22)</f>
        <v>0.76570300000000002</v>
      </c>
      <c r="X65" s="642">
        <f>+VLOOKUP($A$1,data!$A$197:$AU$227,23)</f>
        <v>0.75089600000000001</v>
      </c>
      <c r="Y65" s="642">
        <f>+VLOOKUP($A$1,data!$A$197:$AU$227,24)</f>
        <v>0.79281599999999997</v>
      </c>
      <c r="Z65" s="642">
        <f>+VLOOKUP($A$1,data!$A$197:$AU$227,25)</f>
        <v>0.72643199999999997</v>
      </c>
      <c r="AA65" s="642">
        <f>+VLOOKUP($A$1,data!$A$197:$AU$227,26)</f>
        <v>0.746861</v>
      </c>
      <c r="AB65" s="642">
        <f>+VLOOKUP($A$1,data!$A$197:$AU$227,27)</f>
        <v>0.78935500000000003</v>
      </c>
      <c r="AC65" s="642">
        <f>+VLOOKUP($A$1,data!$A$197:$AU$227,28)</f>
        <v>0.81464099999999995</v>
      </c>
      <c r="AD65" s="642">
        <f>+VLOOKUP($A$1,data!$A$197:$AU$227,29)</f>
        <v>0.81114900000000001</v>
      </c>
      <c r="AE65" s="642">
        <f>+VLOOKUP($A$1,data!$A$197:$AU$227,30)</f>
        <v>0.83150400000000002</v>
      </c>
      <c r="AF65" s="642">
        <f>SUM(T65:AE65)</f>
        <v>9.3218010000000007</v>
      </c>
      <c r="AG65" s="643">
        <f t="shared" ref="AG65:AG66" si="9">SUM(T65:AE65)</f>
        <v>9.3218010000000007</v>
      </c>
      <c r="AH65" s="644">
        <f>+AG66-AG65</f>
        <v>-0.14154179999999883</v>
      </c>
      <c r="AI65" s="617" t="s">
        <v>94</v>
      </c>
      <c r="AJ65" s="649">
        <f>+B65-T65</f>
        <v>0.29588700000000001</v>
      </c>
      <c r="AK65" s="649">
        <f t="shared" si="7"/>
        <v>0.3343799999999999</v>
      </c>
      <c r="AL65" s="649">
        <f t="shared" si="7"/>
        <v>0.37882300000000002</v>
      </c>
      <c r="AM65" s="649">
        <f t="shared" si="7"/>
        <v>0.33175500000000002</v>
      </c>
      <c r="AN65" s="649">
        <f t="shared" si="7"/>
        <v>0.25923199999999991</v>
      </c>
      <c r="AO65" s="649">
        <f t="shared" si="7"/>
        <v>0.30427899999999997</v>
      </c>
      <c r="AP65" s="649">
        <f t="shared" si="7"/>
        <v>0.52391199999999993</v>
      </c>
      <c r="AQ65" s="649">
        <f t="shared" si="7"/>
        <v>0.5531029999999999</v>
      </c>
      <c r="AR65" s="649">
        <f t="shared" si="7"/>
        <v>0.39976499999999993</v>
      </c>
      <c r="AS65" s="649">
        <f t="shared" si="7"/>
        <v>0.26491799999999999</v>
      </c>
      <c r="AT65" s="649">
        <f t="shared" si="7"/>
        <v>0.22432400000000008</v>
      </c>
      <c r="AU65" s="649">
        <f t="shared" si="7"/>
        <v>0.34013699999999991</v>
      </c>
      <c r="AV65" s="649">
        <f>SUM(AJ65:AU65)</f>
        <v>4.2105150000000009</v>
      </c>
      <c r="AW65" s="652">
        <f t="shared" ref="AW65:AW66" si="10">SUM(AJ65:AU65)</f>
        <v>4.2105150000000009</v>
      </c>
      <c r="AX65" s="653">
        <f>+AW66-AW65</f>
        <v>1.3079989999997821E-2</v>
      </c>
    </row>
    <row r="66" spans="1:50" ht="21.75" thickBot="1" x14ac:dyDescent="0.4">
      <c r="A66" s="546" t="s">
        <v>93</v>
      </c>
      <c r="B66" s="634">
        <f>+VLOOKUP($A$1,data!$A$165:$AU$195,3)</f>
        <v>1.0657702900000001</v>
      </c>
      <c r="C66" s="634">
        <f>+VLOOKUP($A$1,data!$A$165:$AU$195,4)</f>
        <v>1.05765672</v>
      </c>
      <c r="D66" s="634">
        <f>+VLOOKUP($A$1,data!$A$165:$AU$195,5)</f>
        <v>1.07138658</v>
      </c>
      <c r="E66" s="634">
        <f>+VLOOKUP($A$1,data!$A$165:$AU$195,6)</f>
        <v>1.0999972600000001</v>
      </c>
      <c r="F66" s="634">
        <f>+VLOOKUP($A$1,data!$A$165:$AU$195,7)</f>
        <v>1.0663239199999999</v>
      </c>
      <c r="G66" s="634">
        <f>+VLOOKUP($A$1,data!$A$165:$AU$195,8)</f>
        <v>1.0860890299999999</v>
      </c>
      <c r="H66" s="634">
        <f>+VLOOKUP($A$1,data!$A$165:$AU$195,9)</f>
        <v>1.2427711099999998</v>
      </c>
      <c r="I66" s="634">
        <f>+VLOOKUP($A$1,data!$A$165:$AU$195,10)</f>
        <v>1.2327057800000001</v>
      </c>
      <c r="J66" s="634">
        <f>+VLOOKUP($A$1,data!$A$165:$AU$195,11)</f>
        <v>1.1599712200000001</v>
      </c>
      <c r="K66" s="634">
        <f>+VLOOKUP($A$1,data!$A$165:$AU$195,12)</f>
        <v>1.0996330599999997</v>
      </c>
      <c r="L66" s="634">
        <f>+VLOOKUP($A$1,data!$A$165:$AU$195,13)</f>
        <v>1.0905798800000002</v>
      </c>
      <c r="M66" s="634">
        <f>+VLOOKUP($A$1,data!$A$165:$AU$195,14)</f>
        <v>1.1309693399999998</v>
      </c>
      <c r="N66" s="634">
        <f>SUM(B66:M66)</f>
        <v>13.403854189999999</v>
      </c>
      <c r="O66" s="638">
        <f t="shared" si="8"/>
        <v>13.403854189999999</v>
      </c>
      <c r="P66" s="639"/>
      <c r="S66" s="608" t="s">
        <v>93</v>
      </c>
      <c r="T66" s="645">
        <f>+VLOOKUP($A$1,data!$A$197:$AU$227,3)</f>
        <v>0.70688289999999998</v>
      </c>
      <c r="U66" s="645">
        <f>+VLOOKUP($A$1,data!$A$197:$AU$227,4)</f>
        <v>0.68525875000000014</v>
      </c>
      <c r="V66" s="645">
        <f>+VLOOKUP($A$1,data!$A$197:$AU$227,5)</f>
        <v>0.85658551999999999</v>
      </c>
      <c r="W66" s="645">
        <f>+VLOOKUP($A$1,data!$A$197:$AU$227,6)</f>
        <v>0.68531368999999998</v>
      </c>
      <c r="X66" s="645">
        <f>+VLOOKUP($A$1,data!$A$197:$AU$227,7)</f>
        <v>0.78173285999999997</v>
      </c>
      <c r="Y66" s="645">
        <f>+VLOOKUP($A$1,data!$A$197:$AU$227,8)</f>
        <v>0.80723135000000001</v>
      </c>
      <c r="Z66" s="645">
        <f>+VLOOKUP($A$1,data!$A$197:$AU$227,9)</f>
        <v>0.75279233000000023</v>
      </c>
      <c r="AA66" s="645">
        <f>+VLOOKUP($A$1,data!$A$197:$AU$227,10)</f>
        <v>0.79103981000000001</v>
      </c>
      <c r="AB66" s="645">
        <f>+VLOOKUP($A$1,data!$A$197:$AU$227,11)</f>
        <v>0.73198802999999979</v>
      </c>
      <c r="AC66" s="645">
        <f>+VLOOKUP($A$1,data!$A$197:$AU$227,12)</f>
        <v>0.77149024000000022</v>
      </c>
      <c r="AD66" s="645">
        <f>+VLOOKUP($A$1,data!$A$197:$AU$227,13)</f>
        <v>0.75800312000000014</v>
      </c>
      <c r="AE66" s="645">
        <f>+VLOOKUP($A$1,data!$A$197:$AU$227,14)</f>
        <v>0.85194060000000005</v>
      </c>
      <c r="AF66" s="645">
        <f>SUM(T66:AE66)</f>
        <v>9.1802592000000018</v>
      </c>
      <c r="AG66" s="646">
        <f t="shared" si="9"/>
        <v>9.1802592000000018</v>
      </c>
      <c r="AH66" s="647"/>
      <c r="AI66" s="624" t="s">
        <v>93</v>
      </c>
      <c r="AJ66" s="650">
        <f>+B66-T66</f>
        <v>0.35888739000000014</v>
      </c>
      <c r="AK66" s="650">
        <f t="shared" si="7"/>
        <v>0.37239796999999986</v>
      </c>
      <c r="AL66" s="650">
        <f t="shared" si="7"/>
        <v>0.21480105999999999</v>
      </c>
      <c r="AM66" s="650">
        <f t="shared" si="7"/>
        <v>0.41468357000000011</v>
      </c>
      <c r="AN66" s="650">
        <f t="shared" si="7"/>
        <v>0.2845910599999999</v>
      </c>
      <c r="AO66" s="650">
        <f t="shared" si="7"/>
        <v>0.27885767999999989</v>
      </c>
      <c r="AP66" s="650">
        <f t="shared" si="7"/>
        <v>0.48997877999999961</v>
      </c>
      <c r="AQ66" s="650">
        <f t="shared" si="7"/>
        <v>0.44166597000000007</v>
      </c>
      <c r="AR66" s="650">
        <f t="shared" si="7"/>
        <v>0.42798319000000029</v>
      </c>
      <c r="AS66" s="650">
        <f>+K66-AC66</f>
        <v>0.3281428199999995</v>
      </c>
      <c r="AT66" s="650">
        <f>+L66-AD66</f>
        <v>0.33257676000000003</v>
      </c>
      <c r="AU66" s="650">
        <f>+M66-AE66</f>
        <v>0.27902873999999978</v>
      </c>
      <c r="AV66" s="650">
        <f>SUM(AJ66:AU66)</f>
        <v>4.2235949899999987</v>
      </c>
      <c r="AW66" s="654">
        <f t="shared" si="10"/>
        <v>4.2235949899999987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1.0360903000000001</v>
      </c>
      <c r="D85" s="628">
        <f t="shared" ref="D85:N87" si="11">+C85+C64</f>
        <v>2.07849716</v>
      </c>
      <c r="E85" s="628">
        <f t="shared" si="11"/>
        <v>3.1910213900000004</v>
      </c>
      <c r="F85" s="628">
        <f t="shared" si="11"/>
        <v>4.2011035900000007</v>
      </c>
      <c r="G85" s="628">
        <f t="shared" si="11"/>
        <v>5.2108718800000009</v>
      </c>
      <c r="H85" s="628">
        <f t="shared" si="11"/>
        <v>6.2945403400000011</v>
      </c>
      <c r="I85" s="628">
        <f t="shared" si="11"/>
        <v>7.5361165500000009</v>
      </c>
      <c r="J85" s="628">
        <f t="shared" si="11"/>
        <v>8.9992519600000005</v>
      </c>
      <c r="K85" s="628">
        <f t="shared" si="11"/>
        <v>10.17220549</v>
      </c>
      <c r="L85" s="628">
        <f t="shared" si="11"/>
        <v>11.254584809999999</v>
      </c>
      <c r="M85" s="628">
        <f t="shared" si="11"/>
        <v>12.161734389999999</v>
      </c>
      <c r="N85" s="628">
        <f t="shared" si="11"/>
        <v>13.266304779999999</v>
      </c>
      <c r="S85"/>
      <c r="T85" s="605" t="s">
        <v>92</v>
      </c>
      <c r="U85" s="640">
        <f>+T64</f>
        <v>0.79316649999999989</v>
      </c>
      <c r="V85" s="640">
        <f t="shared" ref="V85:AF87" si="12">+U85+U64</f>
        <v>1.5638075699999998</v>
      </c>
      <c r="W85" s="640">
        <f t="shared" si="12"/>
        <v>2.3216536499999996</v>
      </c>
      <c r="X85" s="640">
        <f t="shared" si="12"/>
        <v>3.1087578299999996</v>
      </c>
      <c r="Y85" s="640">
        <f t="shared" si="12"/>
        <v>3.8860567699999997</v>
      </c>
      <c r="Z85" s="640">
        <f t="shared" si="12"/>
        <v>4.6903438800000004</v>
      </c>
      <c r="AA85" s="640">
        <f t="shared" si="12"/>
        <v>5.4448898200000002</v>
      </c>
      <c r="AB85" s="640">
        <f t="shared" si="12"/>
        <v>6.19342244</v>
      </c>
      <c r="AC85" s="640">
        <f t="shared" si="12"/>
        <v>6.9440147100000003</v>
      </c>
      <c r="AD85" s="640">
        <f t="shared" si="12"/>
        <v>7.8453551199999998</v>
      </c>
      <c r="AE85" s="640">
        <f t="shared" si="12"/>
        <v>8.6379645199999988</v>
      </c>
      <c r="AF85" s="640">
        <f t="shared" si="12"/>
        <v>9.4058126599999987</v>
      </c>
      <c r="AG85" s="158"/>
      <c r="AH85" s="158"/>
      <c r="AI85"/>
      <c r="AJ85" s="621" t="s">
        <v>92</v>
      </c>
      <c r="AK85" s="648">
        <f>+AJ64</f>
        <v>0.24292380000000025</v>
      </c>
      <c r="AL85" s="648">
        <f t="shared" ref="AL85:AV87" si="13">+AK85+AK64</f>
        <v>0.51468959000000014</v>
      </c>
      <c r="AM85" s="648">
        <f t="shared" si="13"/>
        <v>0.8693677400000005</v>
      </c>
      <c r="AN85" s="648">
        <f t="shared" si="13"/>
        <v>1.0923457600000006</v>
      </c>
      <c r="AO85" s="648">
        <f t="shared" si="13"/>
        <v>1.3248151100000007</v>
      </c>
      <c r="AP85" s="648">
        <f t="shared" si="13"/>
        <v>1.6041964600000003</v>
      </c>
      <c r="AQ85" s="648">
        <f t="shared" si="13"/>
        <v>2.0912267300000007</v>
      </c>
      <c r="AR85" s="648">
        <f t="shared" si="13"/>
        <v>2.8058295200000005</v>
      </c>
      <c r="AS85" s="648">
        <f t="shared" si="13"/>
        <v>3.2281907800000003</v>
      </c>
      <c r="AT85" s="648">
        <f t="shared" si="13"/>
        <v>3.4092296900000005</v>
      </c>
      <c r="AU85" s="648">
        <f t="shared" si="13"/>
        <v>3.5237698700000006</v>
      </c>
      <c r="AV85" s="648">
        <f t="shared" si="13"/>
        <v>3.8604921200000004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1.101672</v>
      </c>
      <c r="D86" s="633">
        <f t="shared" si="11"/>
        <v>2.1874849999999997</v>
      </c>
      <c r="E86" s="633">
        <f t="shared" si="11"/>
        <v>3.3015339999999997</v>
      </c>
      <c r="F86" s="633">
        <f t="shared" si="11"/>
        <v>4.3989919999999998</v>
      </c>
      <c r="G86" s="633">
        <f t="shared" si="11"/>
        <v>5.4091199999999997</v>
      </c>
      <c r="H86" s="633">
        <f t="shared" si="11"/>
        <v>6.5062149999999992</v>
      </c>
      <c r="I86" s="633">
        <f t="shared" si="11"/>
        <v>7.7565589999999993</v>
      </c>
      <c r="J86" s="633">
        <f t="shared" si="11"/>
        <v>9.0565229999999985</v>
      </c>
      <c r="K86" s="633">
        <f t="shared" si="11"/>
        <v>10.245642999999998</v>
      </c>
      <c r="L86" s="633">
        <f t="shared" si="11"/>
        <v>11.325201999999997</v>
      </c>
      <c r="M86" s="633">
        <f t="shared" si="11"/>
        <v>12.360674999999997</v>
      </c>
      <c r="N86" s="633">
        <f t="shared" si="11"/>
        <v>13.532315999999996</v>
      </c>
      <c r="S86"/>
      <c r="T86" s="601" t="s">
        <v>94</v>
      </c>
      <c r="U86" s="642">
        <f>+T65</f>
        <v>0.80578499999999997</v>
      </c>
      <c r="V86" s="642">
        <f t="shared" si="12"/>
        <v>1.557218</v>
      </c>
      <c r="W86" s="642">
        <f t="shared" si="12"/>
        <v>2.2924440000000001</v>
      </c>
      <c r="X86" s="642">
        <f t="shared" si="12"/>
        <v>3.0581469999999999</v>
      </c>
      <c r="Y86" s="642">
        <f t="shared" si="12"/>
        <v>3.809043</v>
      </c>
      <c r="Z86" s="642">
        <f t="shared" si="12"/>
        <v>4.6018590000000001</v>
      </c>
      <c r="AA86" s="642">
        <f t="shared" si="12"/>
        <v>5.3282910000000001</v>
      </c>
      <c r="AB86" s="642">
        <f t="shared" si="12"/>
        <v>6.0751520000000001</v>
      </c>
      <c r="AC86" s="642">
        <f t="shared" si="12"/>
        <v>6.8645069999999997</v>
      </c>
      <c r="AD86" s="642">
        <f t="shared" si="12"/>
        <v>7.6791479999999996</v>
      </c>
      <c r="AE86" s="642">
        <f t="shared" si="12"/>
        <v>8.490297</v>
      </c>
      <c r="AF86" s="642">
        <f t="shared" si="12"/>
        <v>9.3218010000000007</v>
      </c>
      <c r="AG86" s="158"/>
      <c r="AH86" s="158"/>
      <c r="AI86"/>
      <c r="AJ86" s="617" t="s">
        <v>94</v>
      </c>
      <c r="AK86" s="649">
        <f>+AJ65</f>
        <v>0.29588700000000001</v>
      </c>
      <c r="AL86" s="649">
        <f t="shared" si="13"/>
        <v>0.63026699999999991</v>
      </c>
      <c r="AM86" s="649">
        <f t="shared" si="13"/>
        <v>1.00909</v>
      </c>
      <c r="AN86" s="649">
        <f t="shared" si="13"/>
        <v>1.3408450000000001</v>
      </c>
      <c r="AO86" s="649">
        <f t="shared" si="13"/>
        <v>1.600077</v>
      </c>
      <c r="AP86" s="649">
        <f t="shared" si="13"/>
        <v>1.9043559999999999</v>
      </c>
      <c r="AQ86" s="649">
        <f t="shared" si="13"/>
        <v>2.4282680000000001</v>
      </c>
      <c r="AR86" s="649">
        <f t="shared" si="13"/>
        <v>2.9813710000000002</v>
      </c>
      <c r="AS86" s="649">
        <f t="shared" si="13"/>
        <v>3.3811360000000001</v>
      </c>
      <c r="AT86" s="649">
        <f t="shared" si="13"/>
        <v>3.6460540000000004</v>
      </c>
      <c r="AU86" s="649">
        <f t="shared" si="13"/>
        <v>3.8703780000000005</v>
      </c>
      <c r="AV86" s="649">
        <f t="shared" si="13"/>
        <v>4.2105150000000009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1.0657702900000001</v>
      </c>
      <c r="D87" s="629">
        <f t="shared" si="11"/>
        <v>2.1234270100000003</v>
      </c>
      <c r="E87" s="629">
        <f t="shared" si="11"/>
        <v>3.1948135900000003</v>
      </c>
      <c r="F87" s="629">
        <f t="shared" si="11"/>
        <v>4.2948108500000002</v>
      </c>
      <c r="G87" s="629">
        <f t="shared" si="11"/>
        <v>5.3611347699999996</v>
      </c>
      <c r="H87" s="629">
        <f t="shared" si="11"/>
        <v>6.4472237999999997</v>
      </c>
      <c r="I87" s="629">
        <f t="shared" si="11"/>
        <v>7.6899949099999994</v>
      </c>
      <c r="J87" s="629">
        <f t="shared" si="11"/>
        <v>8.9227006899999992</v>
      </c>
      <c r="K87" s="629">
        <f t="shared" si="11"/>
        <v>10.082671909999998</v>
      </c>
      <c r="L87" s="629">
        <f t="shared" si="11"/>
        <v>11.182304969999999</v>
      </c>
      <c r="M87" s="629">
        <f t="shared" si="11"/>
        <v>12.272884849999999</v>
      </c>
      <c r="N87" s="629">
        <f t="shared" si="11"/>
        <v>13.403854189999999</v>
      </c>
      <c r="S87"/>
      <c r="T87" s="608" t="s">
        <v>93</v>
      </c>
      <c r="U87" s="645">
        <f>+T66</f>
        <v>0.70688289999999998</v>
      </c>
      <c r="V87" s="645">
        <f t="shared" si="12"/>
        <v>1.3921416500000001</v>
      </c>
      <c r="W87" s="645">
        <f t="shared" si="12"/>
        <v>2.24872717</v>
      </c>
      <c r="X87" s="645">
        <f t="shared" si="12"/>
        <v>2.9340408600000001</v>
      </c>
      <c r="Y87" s="645">
        <f t="shared" si="12"/>
        <v>3.7157737200000001</v>
      </c>
      <c r="Z87" s="645">
        <f t="shared" si="12"/>
        <v>4.52300507</v>
      </c>
      <c r="AA87" s="645">
        <f t="shared" si="12"/>
        <v>5.2757974000000001</v>
      </c>
      <c r="AB87" s="645">
        <f t="shared" si="12"/>
        <v>6.0668372100000001</v>
      </c>
      <c r="AC87" s="645">
        <f t="shared" si="12"/>
        <v>6.7988252400000002</v>
      </c>
      <c r="AD87" s="645">
        <f t="shared" si="12"/>
        <v>7.5703154800000005</v>
      </c>
      <c r="AE87" s="645">
        <f t="shared" si="12"/>
        <v>8.3283186000000011</v>
      </c>
      <c r="AF87" s="645">
        <f t="shared" si="12"/>
        <v>9.1802592000000018</v>
      </c>
      <c r="AG87" s="158"/>
      <c r="AH87" s="158"/>
      <c r="AI87"/>
      <c r="AJ87" s="624" t="s">
        <v>93</v>
      </c>
      <c r="AK87" s="650">
        <f>+AJ66</f>
        <v>0.35888739000000014</v>
      </c>
      <c r="AL87" s="650">
        <f t="shared" si="13"/>
        <v>0.73128536</v>
      </c>
      <c r="AM87" s="650">
        <f t="shared" si="13"/>
        <v>0.94608641999999998</v>
      </c>
      <c r="AN87" s="650">
        <f t="shared" si="13"/>
        <v>1.3607699900000001</v>
      </c>
      <c r="AO87" s="650">
        <f t="shared" si="13"/>
        <v>1.64536105</v>
      </c>
      <c r="AP87" s="650">
        <f t="shared" si="13"/>
        <v>1.9242187299999998</v>
      </c>
      <c r="AQ87" s="650">
        <f t="shared" si="13"/>
        <v>2.4141975099999993</v>
      </c>
      <c r="AR87" s="650">
        <f t="shared" si="13"/>
        <v>2.8558634799999991</v>
      </c>
      <c r="AS87" s="650">
        <f t="shared" si="13"/>
        <v>3.2838466699999995</v>
      </c>
      <c r="AT87" s="650">
        <f t="shared" si="13"/>
        <v>3.6119894899999991</v>
      </c>
      <c r="AU87" s="650">
        <f t="shared" si="13"/>
        <v>3.9445662499999994</v>
      </c>
      <c r="AV87" s="650">
        <f t="shared" si="13"/>
        <v>4.2235949899999987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 AH18:AH22">
    <cfRule type="cellIs" dxfId="167" priority="15" operator="lessThan">
      <formula>0</formula>
    </cfRule>
  </conditionalFormatting>
  <conditionalFormatting sqref="O41">
    <cfRule type="cellIs" dxfId="166" priority="14" operator="lessThan">
      <formula>0</formula>
    </cfRule>
  </conditionalFormatting>
  <conditionalFormatting sqref="AX18:AX22">
    <cfRule type="cellIs" dxfId="165" priority="13" operator="lessThan">
      <formula>0</formula>
    </cfRule>
  </conditionalFormatting>
  <conditionalFormatting sqref="BN21:BN22">
    <cfRule type="cellIs" dxfId="164" priority="12" operator="lessThan">
      <formula>0</formula>
    </cfRule>
  </conditionalFormatting>
  <conditionalFormatting sqref="BB43:BB46">
    <cfRule type="cellIs" dxfId="163" priority="11" operator="greaterThan">
      <formula>0</formula>
    </cfRule>
  </conditionalFormatting>
  <conditionalFormatting sqref="AX18:AX20">
    <cfRule type="cellIs" dxfId="162" priority="10" operator="lessThan">
      <formula>0</formula>
    </cfRule>
  </conditionalFormatting>
  <conditionalFormatting sqref="BN18:BN20">
    <cfRule type="cellIs" dxfId="161" priority="9" operator="greaterThan">
      <formula>0</formula>
    </cfRule>
  </conditionalFormatting>
  <conditionalFormatting sqref="P18:P20">
    <cfRule type="cellIs" dxfId="160" priority="8" operator="lessThan">
      <formula>0</formula>
    </cfRule>
  </conditionalFormatting>
  <conditionalFormatting sqref="P67:P68">
    <cfRule type="cellIs" dxfId="159" priority="7" operator="lessThan">
      <formula>0</formula>
    </cfRule>
  </conditionalFormatting>
  <conditionalFormatting sqref="P64:P66">
    <cfRule type="cellIs" dxfId="158" priority="6" operator="lessThan">
      <formula>0</formula>
    </cfRule>
  </conditionalFormatting>
  <conditionalFormatting sqref="AH67:AH68">
    <cfRule type="cellIs" dxfId="157" priority="5" operator="lessThan">
      <formula>0</formula>
    </cfRule>
  </conditionalFormatting>
  <conditionalFormatting sqref="AH64:AH66">
    <cfRule type="cellIs" dxfId="156" priority="4" operator="greaterThan">
      <formula>0</formula>
    </cfRule>
  </conditionalFormatting>
  <conditionalFormatting sqref="AX67:AX68">
    <cfRule type="cellIs" dxfId="155" priority="3" operator="lessThan">
      <formula>0</formula>
    </cfRule>
  </conditionalFormatting>
  <conditionalFormatting sqref="AX64:AX66">
    <cfRule type="cellIs" dxfId="154" priority="2" operator="lessThan">
      <formula>0</formula>
    </cfRule>
  </conditionalFormatting>
  <conditionalFormatting sqref="S21:T23 V21:AG23">
    <cfRule type="cellIs" dxfId="153" priority="1" operator="lessThan">
      <formula>0</formula>
    </cfRule>
  </conditionalFormatting>
  <pageMargins left="0.23622047244094491" right="0.19685039370078741" top="0.74803149606299213" bottom="0.31496062992125984" header="0.31496062992125984" footer="0.31496062992125984"/>
  <pageSetup paperSize="9" scale="80" pageOrder="overThenDown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43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1020</v>
      </c>
      <c r="B3" s="807" t="str">
        <f>+VLOOKUP($A3,data!$A$4:$AH$32,2,0)</f>
        <v>น่าน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10969</v>
      </c>
      <c r="C9" s="180">
        <f>+VLOOKUP($A$3,data!$A$4:$AH$32,8,0)/10^6</f>
        <v>1.785839</v>
      </c>
      <c r="D9" s="181">
        <f>+VLOOKUP($A$3,data!$A$4:$AH$32,9,0)</f>
        <v>0.45433276897029401</v>
      </c>
      <c r="E9" s="180">
        <f>+VLOOKUP($A$3,data!$A$4:$AH$32,10,0)/10^6</f>
        <v>24.2649157</v>
      </c>
      <c r="F9" s="182">
        <f>+E9/C9</f>
        <v>13.587403847715276</v>
      </c>
      <c r="G9" s="179">
        <f>+VLOOKUP($A$3,data!$A$4:$AH$32,23,0)</f>
        <v>11274</v>
      </c>
      <c r="H9" s="180">
        <f>+VLOOKUP($A$3,data!$A$4:$AH$32,24,0)/10^6</f>
        <v>1.8423039999999999</v>
      </c>
      <c r="I9" s="181">
        <f>+VLOOKUP($A$3,data!$A$4:$AH$32,25,0)</f>
        <v>0.4538423970847531</v>
      </c>
      <c r="J9" s="180">
        <f>+VLOOKUP($A$3,data!$A$4:$AH$32,26,0)/10^6</f>
        <v>25.156192100000002</v>
      </c>
      <c r="K9" s="182">
        <f>+J9/H9</f>
        <v>13.654745416608769</v>
      </c>
    </row>
    <row r="10" spans="1:12" ht="26.25" x14ac:dyDescent="0.4">
      <c r="A10" s="187" t="s">
        <v>4</v>
      </c>
      <c r="B10" s="189">
        <f>+B9/B20</f>
        <v>0.75001709401709404</v>
      </c>
      <c r="C10" s="190"/>
      <c r="D10" s="190"/>
      <c r="E10" s="190"/>
      <c r="F10" s="191"/>
      <c r="G10" s="189">
        <f>+G9/G20</f>
        <v>0.75557938475973463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2506</v>
      </c>
      <c r="C13" s="180">
        <f>+VLOOKUP($A$3,data!$A$4:$AH$32,12,0)/10^6</f>
        <v>1.0000739999999999</v>
      </c>
      <c r="D13" s="181">
        <f>+VLOOKUP($A$3,data!$A$4:$AH$32,13,0)</f>
        <v>1.094876630219096</v>
      </c>
      <c r="E13" s="180">
        <f>+VLOOKUP($A$3,data!$A$4:$AH$32,14,0)/10^6</f>
        <v>21.250562139999996</v>
      </c>
      <c r="F13" s="182">
        <f>+E13/C13</f>
        <v>21.248989714761105</v>
      </c>
      <c r="G13" s="179">
        <f>+VLOOKUP($A$3,data!$A$4:$AH$32,27,0)</f>
        <v>2496</v>
      </c>
      <c r="H13" s="180">
        <f>+VLOOKUP($A$3,data!$A$4:$AH$32,28,0)/10^6</f>
        <v>1.0446200000000001</v>
      </c>
      <c r="I13" s="181">
        <f>+VLOOKUP($A$3,data!$A$4:$AH$32,29,0)</f>
        <v>1.1443313085724616</v>
      </c>
      <c r="J13" s="180">
        <f>+VLOOKUP($A$3,data!$A$4:$AH$32,30,0)/10^6</f>
        <v>22.201448099999997</v>
      </c>
      <c r="K13" s="182">
        <f>+J13/H13</f>
        <v>21.253133292489128</v>
      </c>
    </row>
    <row r="14" spans="1:12" ht="26.25" x14ac:dyDescent="0.4">
      <c r="A14" s="187" t="s">
        <v>29</v>
      </c>
      <c r="B14" s="189">
        <f>+B13/B20</f>
        <v>0.17135042735042735</v>
      </c>
      <c r="C14" s="190"/>
      <c r="D14" s="190"/>
      <c r="E14" s="190"/>
      <c r="F14" s="191"/>
      <c r="G14" s="189">
        <f>+G13/G20</f>
        <v>0.1672810133369077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1150</v>
      </c>
      <c r="C17" s="180">
        <f>+VLOOKUP($A$3,data!$A$4:$AH$32,16,0)/10^6</f>
        <v>0.62355000000000005</v>
      </c>
      <c r="D17" s="181">
        <f>+VLOOKUP($A$3,data!$A$4:$AH$32,17,0)</f>
        <v>1.4861732617516847</v>
      </c>
      <c r="E17" s="180">
        <f>+VLOOKUP($A$3,data!$A$4:$AH$32,18,0)/10^6</f>
        <v>16.632452180000001</v>
      </c>
      <c r="F17" s="182">
        <f>+E17/C17</f>
        <v>26.673806719589447</v>
      </c>
      <c r="G17" s="179">
        <f>+VLOOKUP($A$3,data!$A$4:$AH$32,31,0)</f>
        <v>1151</v>
      </c>
      <c r="H17" s="180">
        <f>+VLOOKUP($A$3,data!$A$4:$AH$32,32,0)/10^6</f>
        <v>0.61412999999999995</v>
      </c>
      <c r="I17" s="181">
        <f>+VLOOKUP($A$3,data!$A$4:$AH$32,33,0)</f>
        <v>1.4624493222124983</v>
      </c>
      <c r="J17" s="180">
        <f>+VLOOKUP($A$3,data!$A$4:$AH$32,34,0)/10^6</f>
        <v>16.352926249999999</v>
      </c>
      <c r="K17" s="182">
        <f>+J17/H17</f>
        <v>26.62779256834872</v>
      </c>
    </row>
    <row r="18" spans="1:11" ht="26.25" x14ac:dyDescent="0.4">
      <c r="A18" s="187" t="s">
        <v>30</v>
      </c>
      <c r="B18" s="189">
        <f>+B17/B20</f>
        <v>7.8632478632478631E-2</v>
      </c>
      <c r="C18" s="190"/>
      <c r="D18" s="190"/>
      <c r="E18" s="190"/>
      <c r="F18" s="191"/>
      <c r="G18" s="189">
        <f>+G17/G20</f>
        <v>7.7139601903357682E-2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14625</v>
      </c>
      <c r="C20" s="180">
        <f>+VLOOKUP($A$3,data!$A$4:$AH$32,4,0)/10^6</f>
        <v>3.4094630000000001</v>
      </c>
      <c r="D20" s="181">
        <f>+VLOOKUP($A$3,data!$A$4:$AH$32,5,0)</f>
        <v>0.64773556067872862</v>
      </c>
      <c r="E20" s="180">
        <f>+VLOOKUP($A$3,data!$A$4:$AH$32,6,0)/10^6</f>
        <v>62.147930019999997</v>
      </c>
      <c r="F20" s="182">
        <f>+E20/C20</f>
        <v>18.228069939459672</v>
      </c>
      <c r="G20" s="179">
        <f>+VLOOKUP($A$3,data!$A$4:$AH$32,19,0)</f>
        <v>14921</v>
      </c>
      <c r="H20" s="180">
        <f>+VLOOKUP($A$3,data!$A$4:$AH$32,20,0)/10^6</f>
        <v>3.5010539999999999</v>
      </c>
      <c r="I20" s="181">
        <f>+VLOOKUP($A$3,data!$A$4:$AH$32,21,0)</f>
        <v>0.64928780661499275</v>
      </c>
      <c r="J20" s="180">
        <f>+VLOOKUP($A$3,data!$A$4:$AH$32,22,0)/10^6</f>
        <v>63.710566450000002</v>
      </c>
      <c r="K20" s="182">
        <f>+J20/H20</f>
        <v>18.197538926848885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น่าน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BreakPreview" zoomScale="48" zoomScaleNormal="100" zoomScaleSheetLayoutView="48" zoomScalePageLayoutView="85" workbookViewId="0"/>
  </sheetViews>
  <sheetFormatPr defaultRowHeight="21" x14ac:dyDescent="0.35"/>
  <cols>
    <col min="1" max="1" width="9" style="158" bestFit="1" customWidth="1"/>
    <col min="2" max="4" width="6.375" style="158" bestFit="1" customWidth="1"/>
    <col min="5" max="7" width="6.625" style="158" bestFit="1" customWidth="1"/>
    <col min="8" max="9" width="7.625" style="158" bestFit="1" customWidth="1"/>
    <col min="10" max="11" width="7.375" style="158" bestFit="1" customWidth="1"/>
    <col min="12" max="12" width="7.625" style="158" bestFit="1" customWidth="1"/>
    <col min="13" max="14" width="7.375" style="158" bestFit="1" customWidth="1"/>
    <col min="15" max="15" width="8" style="158" bestFit="1" customWidth="1"/>
    <col min="16" max="16" width="6.25" style="158" customWidth="1"/>
    <col min="17" max="18" width="2" style="299" customWidth="1"/>
    <col min="19" max="19" width="9.125" style="158" customWidth="1"/>
    <col min="20" max="24" width="7.375" style="158" customWidth="1"/>
    <col min="25" max="33" width="7.375" customWidth="1"/>
    <col min="34" max="34" width="9" bestFit="1" customWidth="1"/>
    <col min="35" max="35" width="12.25" style="158" bestFit="1" customWidth="1"/>
    <col min="36" max="36" width="7" style="158" bestFit="1" customWidth="1"/>
    <col min="37" max="37" width="6.75" style="158" bestFit="1" customWidth="1"/>
    <col min="38" max="40" width="7.25" style="158" bestFit="1" customWidth="1"/>
    <col min="41" max="46" width="7.25" bestFit="1" customWidth="1"/>
    <col min="47" max="47" width="7.875" bestFit="1" customWidth="1"/>
    <col min="48" max="48" width="7.625" bestFit="1" customWidth="1"/>
    <col min="49" max="49" width="7.875" bestFit="1" customWidth="1"/>
    <col min="50" max="50" width="7.375" bestFit="1" customWidth="1"/>
    <col min="51" max="51" width="9.125" customWidth="1"/>
    <col min="52" max="63" width="7" bestFit="1" customWidth="1"/>
    <col min="64" max="65" width="7.375" bestFit="1" customWidth="1"/>
    <col min="66" max="67" width="7" bestFit="1" customWidth="1"/>
  </cols>
  <sheetData>
    <row r="1" spans="1:66" ht="27" thickBot="1" x14ac:dyDescent="0.25">
      <c r="A1" s="248">
        <v>1003</v>
      </c>
      <c r="B1" s="817" t="str">
        <f>+VLOOKUP($A$1,data!$A$4:$AH$32,2,0)</f>
        <v>กปภ.ข.9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1003</v>
      </c>
      <c r="T1" s="817" t="str">
        <f>+VLOOKUP($A$1,data!$A$4:$AH$32,2,0)</f>
        <v>กปภ.ข.9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1003</v>
      </c>
      <c r="AJ1" s="817" t="str">
        <f>+VLOOKUP($A$1,data!$A$4:$AH$32,2,0)</f>
        <v>กปภ.ข.9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1003</v>
      </c>
      <c r="AZ1" s="817" t="str">
        <f>+VLOOKUP($A$1,data!$A$4:$AH$32,2,0)</f>
        <v>กปภ.ข.9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ht="37.5" customHeight="1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03" t="s">
        <v>89</v>
      </c>
      <c r="P16" s="403" t="s">
        <v>90</v>
      </c>
      <c r="Q16" s="300"/>
      <c r="R16" s="661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321" t="s">
        <v>89</v>
      </c>
      <c r="AX16" s="321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319" t="s">
        <v>89</v>
      </c>
      <c r="BN16" s="319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04" t="s">
        <v>154</v>
      </c>
      <c r="P17" s="404" t="s">
        <v>91</v>
      </c>
      <c r="Q17" s="300"/>
      <c r="R17" s="661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322" t="str">
        <f>+O17</f>
        <v>12 เดือน</v>
      </c>
      <c r="AX17" s="322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320" t="str">
        <f>+O17</f>
        <v>12 เดือน</v>
      </c>
      <c r="BN17" s="320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1185</v>
      </c>
      <c r="C18" s="406">
        <f>+VLOOKUP($A$1,data!$A$37:$AU$67,36)</f>
        <v>1513</v>
      </c>
      <c r="D18" s="406">
        <f>+VLOOKUP($A$1,data!$A$37:$AU$67,37)</f>
        <v>1477</v>
      </c>
      <c r="E18" s="406">
        <f>+VLOOKUP($A$1,data!$A$37:$AU$67,38)</f>
        <v>1184</v>
      </c>
      <c r="F18" s="406">
        <f>+VLOOKUP($A$1,data!$A$37:$AU$67,39)</f>
        <v>1682</v>
      </c>
      <c r="G18" s="406">
        <f>+VLOOKUP($A$1,data!$A$37:$AU$67,40)</f>
        <v>2017</v>
      </c>
      <c r="H18" s="406">
        <f>+VLOOKUP($A$1,data!$A$37:$AU$67,41)</f>
        <v>1778</v>
      </c>
      <c r="I18" s="406">
        <f>+VLOOKUP($A$1,data!$A$37:$AU$67,42)</f>
        <v>2307</v>
      </c>
      <c r="J18" s="406">
        <f>+VLOOKUP($A$1,data!$A$37:$AU$67,43)</f>
        <v>2464</v>
      </c>
      <c r="K18" s="406">
        <f>+VLOOKUP($A$1,data!$A$37:$AU$67,44)</f>
        <v>1659</v>
      </c>
      <c r="L18" s="406">
        <f>+VLOOKUP($A$1,data!$A$37:$AU$67,45)</f>
        <v>1975</v>
      </c>
      <c r="M18" s="406">
        <f>+VLOOKUP($A$1,data!$A$37:$AU$67,46)</f>
        <v>2284</v>
      </c>
      <c r="N18" s="406">
        <f>SUM(B18:M18)</f>
        <v>21525</v>
      </c>
      <c r="O18" s="406">
        <f>SUM(B18:M18)</f>
        <v>21525</v>
      </c>
      <c r="P18" s="407">
        <f>+O20-O18</f>
        <v>-2492</v>
      </c>
      <c r="Q18" s="301"/>
      <c r="R18" s="666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7.0824943599999983</v>
      </c>
      <c r="AK18" s="418">
        <f>+VLOOKUP($A$1,data!$A$69:$AU$99,36)</f>
        <v>7.3622788699999999</v>
      </c>
      <c r="AL18" s="418">
        <f>+VLOOKUP($A$1,data!$A$69:$AU$99,37)</f>
        <v>7.1881295800000018</v>
      </c>
      <c r="AM18" s="418">
        <f>+VLOOKUP($A$1,data!$A$69:$AU$99,38)</f>
        <v>7.5210051199999999</v>
      </c>
      <c r="AN18" s="418">
        <f>+VLOOKUP($A$1,data!$A$69:$AU$99,39)</f>
        <v>7.2293043900000002</v>
      </c>
      <c r="AO18" s="418">
        <f>+VLOOKUP($A$1,data!$A$69:$AU$99,40)</f>
        <v>7.1041087400000018</v>
      </c>
      <c r="AP18" s="418">
        <f>+VLOOKUP($A$1,data!$A$69:$AU$99,41)</f>
        <v>8.2387351800000008</v>
      </c>
      <c r="AQ18" s="418">
        <f>+VLOOKUP($A$1,data!$A$69:$AU$99,42)</f>
        <v>8.5919689999999989</v>
      </c>
      <c r="AR18" s="418">
        <f>+VLOOKUP($A$1,data!$A$69:$AU$99,43)</f>
        <v>8.0822814399999992</v>
      </c>
      <c r="AS18" s="418">
        <f>+VLOOKUP($A$1,data!$A$69:$AU$99,44)</f>
        <v>7.6276452000000008</v>
      </c>
      <c r="AT18" s="418">
        <f>+VLOOKUP($A$1,data!$A$69:$AU$99,45)</f>
        <v>7.0697757300000008</v>
      </c>
      <c r="AU18" s="418">
        <f>+VLOOKUP($A$1,data!$A$69:$AU$99,46)</f>
        <v>7.5762410600000001</v>
      </c>
      <c r="AV18" s="418">
        <f>SUM(AJ18:AU18)</f>
        <v>90.673968670000008</v>
      </c>
      <c r="AW18" s="418">
        <f>SUM(AJ18:AU18)</f>
        <v>90.673968670000008</v>
      </c>
      <c r="AX18" s="419">
        <f>+AW20-AW18</f>
        <v>1.7042811900000032</v>
      </c>
      <c r="AY18" s="308" t="s">
        <v>92</v>
      </c>
      <c r="AZ18" s="309">
        <f>+VLOOKUP($A$1,data!$A$101:$AU$131,35)</f>
        <v>2.5384900300000002</v>
      </c>
      <c r="BA18" s="309">
        <f>+VLOOKUP($A$1,data!$A$101:$AU$131,36)</f>
        <v>2.6864176400000002</v>
      </c>
      <c r="BB18" s="309">
        <f>+VLOOKUP($A$1,data!$A$101:$AU$131,37)</f>
        <v>3.1146800100000003</v>
      </c>
      <c r="BC18" s="309">
        <f>+VLOOKUP($A$1,data!$A$101:$AU$131,38)</f>
        <v>2.8815286500000004</v>
      </c>
      <c r="BD18" s="309">
        <f>+VLOOKUP($A$1,data!$A$101:$AU$131,39)</f>
        <v>2.7582014000000004</v>
      </c>
      <c r="BE18" s="309">
        <f>+VLOOKUP($A$1,data!$A$101:$AU$131,40)</f>
        <v>3.3347606899999995</v>
      </c>
      <c r="BF18" s="309">
        <f>+VLOOKUP($A$1,data!$A$101:$AU$131,41)</f>
        <v>2.35960284</v>
      </c>
      <c r="BG18" s="309">
        <f>+VLOOKUP($A$1,data!$A$101:$AU$131,42)</f>
        <v>2.2448120099999995</v>
      </c>
      <c r="BH18" s="309">
        <f>+VLOOKUP($A$1,data!$A$101:$AU$131,43)</f>
        <v>1.8430651400000007</v>
      </c>
      <c r="BI18" s="309">
        <f>+VLOOKUP($A$1,data!$A$101:$AU$131,44)</f>
        <v>2.4753562299999987</v>
      </c>
      <c r="BJ18" s="309">
        <f>+VLOOKUP($A$1,data!$A$101:$AU$131,45)</f>
        <v>3.1764354199999998</v>
      </c>
      <c r="BK18" s="309">
        <f>+VLOOKUP($A$1,data!$A$101:$AU$131,46)</f>
        <v>2.38212907</v>
      </c>
      <c r="BL18" s="309">
        <f>SUM(AZ18:BK18)</f>
        <v>31.795479130000004</v>
      </c>
      <c r="BM18" s="309">
        <f>SUM(AZ18:BK18)</f>
        <v>31.795479130000004</v>
      </c>
      <c r="BN18" s="310">
        <f>+BM20-BM18</f>
        <v>0.39641318999999697</v>
      </c>
    </row>
    <row r="19" spans="1:66" s="247" customFormat="1" ht="19.5" thickBot="1" x14ac:dyDescent="0.35">
      <c r="A19" s="408" t="s">
        <v>94</v>
      </c>
      <c r="B19" s="409">
        <f>+VLOOKUP($A$1,data!$A$37:$AU$67,19)</f>
        <v>1493.5236963601665</v>
      </c>
      <c r="C19" s="409">
        <f>+VLOOKUP($A$1,data!$A$37:$AU$67,20)</f>
        <v>1600.5476583531117</v>
      </c>
      <c r="D19" s="409">
        <f>+VLOOKUP($A$1,data!$A$37:$AU$67,21)</f>
        <v>1513.7758102981145</v>
      </c>
      <c r="E19" s="409">
        <f>+VLOOKUP($A$1,data!$A$37:$AU$67,22)</f>
        <v>1467.2750300223981</v>
      </c>
      <c r="F19" s="409">
        <f>+VLOOKUP($A$1,data!$A$37:$AU$67,23)</f>
        <v>1939.4170583833165</v>
      </c>
      <c r="G19" s="409">
        <f>+VLOOKUP($A$1,data!$A$37:$AU$67,24)</f>
        <v>2069.4107403808753</v>
      </c>
      <c r="H19" s="409">
        <f>+VLOOKUP($A$1,data!$A$37:$AU$67,25)</f>
        <v>1886.6372465131287</v>
      </c>
      <c r="I19" s="409">
        <f>+VLOOKUP($A$1,data!$A$37:$AU$67,26)</f>
        <v>2039.3220987639236</v>
      </c>
      <c r="J19" s="409">
        <f>+VLOOKUP($A$1,data!$A$37:$AU$67,27)</f>
        <v>2111.5110146156389</v>
      </c>
      <c r="K19" s="409">
        <f>+VLOOKUP($A$1,data!$A$37:$AU$67,28)</f>
        <v>1720.1958038670077</v>
      </c>
      <c r="L19" s="409">
        <f>+VLOOKUP($A$1,data!$A$37:$AU$67,29)</f>
        <v>1779.0919029958891</v>
      </c>
      <c r="M19" s="409">
        <f>+VLOOKUP($A$1,data!$A$37:$AU$67,30)</f>
        <v>1879.2919394464295</v>
      </c>
      <c r="N19" s="410">
        <f>SUM(B19:M19)</f>
        <v>21500</v>
      </c>
      <c r="O19" s="411">
        <f t="shared" ref="O19:O20" si="0">SUM(B19:M19)</f>
        <v>21500</v>
      </c>
      <c r="P19" s="412">
        <f>+O20-O19</f>
        <v>-2467</v>
      </c>
      <c r="Q19" s="302"/>
      <c r="R19" s="663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7.4998030000000018</v>
      </c>
      <c r="AK19" s="423">
        <f>+VLOOKUP($A$1,data!$A$69:$AU$99,20)</f>
        <v>7.7783630000000024</v>
      </c>
      <c r="AL19" s="423">
        <f>+VLOOKUP($A$1,data!$A$69:$AU$99,21)</f>
        <v>7.6294730000000008</v>
      </c>
      <c r="AM19" s="423">
        <f>+VLOOKUP($A$1,data!$A$69:$AU$99,22)</f>
        <v>7.9942579999999994</v>
      </c>
      <c r="AN19" s="423">
        <f>+VLOOKUP($A$1,data!$A$69:$AU$99,23)</f>
        <v>7.6729049999999992</v>
      </c>
      <c r="AO19" s="423">
        <f>+VLOOKUP($A$1,data!$A$69:$AU$99,24)</f>
        <v>7.5427600000000004</v>
      </c>
      <c r="AP19" s="423">
        <f>+VLOOKUP($A$1,data!$A$69:$AU$99,25)</f>
        <v>8.5503929999999997</v>
      </c>
      <c r="AQ19" s="423">
        <f>+VLOOKUP($A$1,data!$A$69:$AU$99,26)</f>
        <v>8.890566999999999</v>
      </c>
      <c r="AR19" s="423">
        <f>+VLOOKUP($A$1,data!$A$69:$AU$99,27)</f>
        <v>8.5878019999999999</v>
      </c>
      <c r="AS19" s="423">
        <f>+VLOOKUP($A$1,data!$A$69:$AU$99,28)</f>
        <v>8.1682380000000006</v>
      </c>
      <c r="AT19" s="423">
        <f>+VLOOKUP($A$1,data!$A$69:$AU$99,29)</f>
        <v>7.8897239999999984</v>
      </c>
      <c r="AU19" s="423">
        <f>+VLOOKUP($A$1,data!$A$69:$AU$99,30)</f>
        <v>8.0757110000000001</v>
      </c>
      <c r="AV19" s="423">
        <f>SUM(AJ19:AU19)</f>
        <v>96.279996999999995</v>
      </c>
      <c r="AW19" s="424">
        <f t="shared" ref="AW19:AW20" si="1">SUM(AJ19:AU19)</f>
        <v>96.279996999999995</v>
      </c>
      <c r="AX19" s="425">
        <f>+AW20-AW19</f>
        <v>-3.9017471399999835</v>
      </c>
      <c r="AY19" s="311" t="s">
        <v>94</v>
      </c>
      <c r="AZ19" s="312">
        <f>+VLOOKUP($A$1,data!$A$101:$AU$131,19)</f>
        <v>2.9085429999999999</v>
      </c>
      <c r="BA19" s="312">
        <f>+VLOOKUP($A$1,data!$A$101:$AU$131,20)</f>
        <v>2.7817490000000005</v>
      </c>
      <c r="BB19" s="312">
        <f>+VLOOKUP($A$1,data!$A$101:$AU$131,21)</f>
        <v>2.9731150000000004</v>
      </c>
      <c r="BC19" s="312">
        <f>+VLOOKUP($A$1,data!$A$101:$AU$131,22)</f>
        <v>2.6604210000000004</v>
      </c>
      <c r="BD19" s="312">
        <f>+VLOOKUP($A$1,data!$A$101:$AU$131,23)</f>
        <v>2.50393</v>
      </c>
      <c r="BE19" s="312">
        <f>+VLOOKUP($A$1,data!$A$101:$AU$131,24)</f>
        <v>3.259592</v>
      </c>
      <c r="BF19" s="312">
        <f>+VLOOKUP($A$1,data!$A$101:$AU$131,25)</f>
        <v>2.4915959999999995</v>
      </c>
      <c r="BG19" s="312">
        <f>+VLOOKUP($A$1,data!$A$101:$AU$131,26)</f>
        <v>2.4706530000000004</v>
      </c>
      <c r="BH19" s="312">
        <f>+VLOOKUP($A$1,data!$A$101:$AU$131,27)</f>
        <v>2.1621509999999997</v>
      </c>
      <c r="BI19" s="312">
        <f>+VLOOKUP($A$1,data!$A$101:$AU$131,28)</f>
        <v>2.5641410000000002</v>
      </c>
      <c r="BJ19" s="312">
        <f>+VLOOKUP($A$1,data!$A$101:$AU$131,29)</f>
        <v>2.8568630000000006</v>
      </c>
      <c r="BK19" s="312">
        <f>+VLOOKUP($A$1,data!$A$101:$AU$131,30)</f>
        <v>2.4611509999999996</v>
      </c>
      <c r="BL19" s="312">
        <f>SUM(AZ19:BK19)</f>
        <v>32.093904999999999</v>
      </c>
      <c r="BM19" s="313">
        <f t="shared" ref="BM19:BM20" si="2">SUM(AZ19:BK19)</f>
        <v>32.093904999999999</v>
      </c>
      <c r="BN19" s="314">
        <f>+BM20-BM19</f>
        <v>9.7987320000001432E-2</v>
      </c>
    </row>
    <row r="20" spans="1:66" s="247" customFormat="1" ht="19.5" thickBot="1" x14ac:dyDescent="0.35">
      <c r="A20" s="413" t="s">
        <v>93</v>
      </c>
      <c r="B20" s="414">
        <f>+VLOOKUP($A$1,data!$A$37:$AU$67,3)</f>
        <v>1846</v>
      </c>
      <c r="C20" s="414">
        <f>+VLOOKUP($A$1,data!$A$37:$AU$67,4)</f>
        <v>1511</v>
      </c>
      <c r="D20" s="414">
        <f>+VLOOKUP($A$1,data!$A$37:$AU$67,5)</f>
        <v>1450</v>
      </c>
      <c r="E20" s="414">
        <f>+VLOOKUP($A$1,data!$A$37:$AU$67,6)</f>
        <v>1282</v>
      </c>
      <c r="F20" s="414">
        <f>+VLOOKUP($A$1,data!$A$37:$AU$67,7)</f>
        <v>1405</v>
      </c>
      <c r="G20" s="414">
        <f>+VLOOKUP($A$1,data!$A$37:$AU$67,8)</f>
        <v>1879</v>
      </c>
      <c r="H20" s="414">
        <f>+VLOOKUP($A$1,data!$A$37:$AU$67,9)</f>
        <v>1201</v>
      </c>
      <c r="I20" s="414">
        <f>+VLOOKUP($A$1,data!$A$37:$AU$67,10)</f>
        <v>1390</v>
      </c>
      <c r="J20" s="414">
        <f>+VLOOKUP($A$1,data!$A$37:$AU$67,11)</f>
        <v>1480</v>
      </c>
      <c r="K20" s="414">
        <f>+VLOOKUP($A$1,data!$A$37:$AU$67,12)</f>
        <v>1319</v>
      </c>
      <c r="L20" s="414">
        <f>+VLOOKUP($A$1,data!$A$37:$AU$67,13)</f>
        <v>1868</v>
      </c>
      <c r="M20" s="414">
        <f>+VLOOKUP($A$1,data!$A$37:$AU$67,14)</f>
        <v>2402</v>
      </c>
      <c r="N20" s="415">
        <f>SUM(B20:M20)</f>
        <v>19033</v>
      </c>
      <c r="O20" s="416">
        <f t="shared" si="0"/>
        <v>19033</v>
      </c>
      <c r="P20" s="417"/>
      <c r="Q20" s="303"/>
      <c r="R20" s="667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121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7.1288564900000004</v>
      </c>
      <c r="AK20" s="420">
        <f>+VLOOKUP($A$1,data!$A$69:$AU$99,4)</f>
        <v>7.3201653199999992</v>
      </c>
      <c r="AL20" s="420">
        <f>+VLOOKUP($A$1,data!$A$69:$AU$99,5)</f>
        <v>7.3735426599999991</v>
      </c>
      <c r="AM20" s="420">
        <f>+VLOOKUP($A$1,data!$A$69:$AU$99,6)</f>
        <v>7.7464177900000006</v>
      </c>
      <c r="AN20" s="420">
        <f>+VLOOKUP($A$1,data!$A$69:$AU$99,7)</f>
        <v>7.5416828900000006</v>
      </c>
      <c r="AO20" s="420">
        <f>+VLOOKUP($A$1,data!$A$69:$AU$99,8)</f>
        <v>7.4267125800000002</v>
      </c>
      <c r="AP20" s="420">
        <f>+VLOOKUP($A$1,data!$A$69:$AU$99,9)</f>
        <v>8.6516066600000006</v>
      </c>
      <c r="AQ20" s="420">
        <f>+VLOOKUP($A$1,data!$A$69:$AU$99,10)</f>
        <v>8.2894316000000003</v>
      </c>
      <c r="AR20" s="420">
        <f>+VLOOKUP($A$1,data!$A$69:$AU$99,11)</f>
        <v>7.9268964300000011</v>
      </c>
      <c r="AS20" s="420">
        <f>+VLOOKUP($A$1,data!$A$69:$AU$99,12)</f>
        <v>7.5577739600000013</v>
      </c>
      <c r="AT20" s="420">
        <f>+VLOOKUP($A$1,data!$A$69:$AU$99,13)</f>
        <v>7.6685574599999988</v>
      </c>
      <c r="AU20" s="420">
        <f>+VLOOKUP($A$1,data!$A$69:$AU$99,14)</f>
        <v>7.7466060199999998</v>
      </c>
      <c r="AV20" s="420">
        <f>SUM(AJ20:AU20)</f>
        <v>92.378249860000011</v>
      </c>
      <c r="AW20" s="421">
        <f t="shared" si="1"/>
        <v>92.378249860000011</v>
      </c>
      <c r="AX20" s="422"/>
      <c r="AY20" s="315" t="s">
        <v>93</v>
      </c>
      <c r="AZ20" s="316">
        <f>+VLOOKUP($A$1,data!$A$101:$AU$131,3)</f>
        <v>2.9626893300000003</v>
      </c>
      <c r="BA20" s="316">
        <f>+VLOOKUP($A$1,data!$A$101:$AU$131,4)</f>
        <v>2.7333662299999988</v>
      </c>
      <c r="BB20" s="316">
        <f>+VLOOKUP($A$1,data!$A$101:$AU$131,5)</f>
        <v>2.921050290000001</v>
      </c>
      <c r="BC20" s="316">
        <f>+VLOOKUP($A$1,data!$A$101:$AU$131,6)</f>
        <v>2.7150285199999988</v>
      </c>
      <c r="BD20" s="316">
        <f>+VLOOKUP($A$1,data!$A$101:$AU$131,7)</f>
        <v>2.3706107299999992</v>
      </c>
      <c r="BE20" s="316">
        <f>+VLOOKUP($A$1,data!$A$101:$AU$131,8)</f>
        <v>3.4793998099999999</v>
      </c>
      <c r="BF20" s="316">
        <f>+VLOOKUP($A$1,data!$A$101:$AU$131,9)</f>
        <v>2.1944513800000007</v>
      </c>
      <c r="BG20" s="316">
        <f>+VLOOKUP($A$1,data!$A$101:$AU$131,10)</f>
        <v>2.6315442900000003</v>
      </c>
      <c r="BH20" s="316">
        <f>+VLOOKUP($A$1,data!$A$101:$AU$131,11)</f>
        <v>2.5356069099999998</v>
      </c>
      <c r="BI20" s="316">
        <f>+VLOOKUP($A$1,data!$A$101:$AU$131,12)</f>
        <v>2.953277410000001</v>
      </c>
      <c r="BJ20" s="316">
        <f>+VLOOKUP($A$1,data!$A$101:$AU$131,13)</f>
        <v>2.5242125500000001</v>
      </c>
      <c r="BK20" s="316">
        <f>+VLOOKUP($A$1,data!$A$101:$AU$131,14)</f>
        <v>2.1706548699999999</v>
      </c>
      <c r="BL20" s="316">
        <f>SUM(AZ20:BK20)</f>
        <v>32.191892320000001</v>
      </c>
      <c r="BM20" s="317">
        <f t="shared" si="2"/>
        <v>32.191892320000001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4366.8471650113925</v>
      </c>
      <c r="W21" s="671">
        <f>+VLOOKUP($A$1,data!$A$261:$AK$291,16)</f>
        <v>3996</v>
      </c>
      <c r="X21" s="671">
        <f>+VLOOKUP($A$1,data!$A$261:$AK$291,36)</f>
        <v>9602.9499937979817</v>
      </c>
      <c r="Y21" s="671">
        <f>+VLOOKUP($A$1,data!$A$261:$AK$291,17)</f>
        <v>8298</v>
      </c>
      <c r="Z21" s="671">
        <f>+VLOOKUP($A$1,data!$A$261:$AK$291,37)</f>
        <v>15240.420353690672</v>
      </c>
      <c r="AA21" s="671">
        <f>+VLOOKUP($A$1,data!$A$261:$AK$291,18)</f>
        <v>12140</v>
      </c>
      <c r="AB21" s="671">
        <f>+VLOOKUP($A$1,data!$A$261:$AK$291,34)</f>
        <v>19900</v>
      </c>
      <c r="AC21" s="671">
        <f>+VLOOKUP($A$1,data!$A$261:$AK$291,15)</f>
        <v>17433</v>
      </c>
      <c r="AD21" s="671">
        <f>+AC21-AB21</f>
        <v>-2467</v>
      </c>
      <c r="AE21" s="684">
        <f>+AC21-AB21</f>
        <v>-2467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customHeight="1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241</v>
      </c>
      <c r="W22" s="672">
        <f>+VLOOKUP($A$1,data!$A$229:$AK$259,16)</f>
        <v>811</v>
      </c>
      <c r="X22" s="672">
        <f>+VLOOKUP($A$1,data!$A$229:$AK$259,36)</f>
        <v>481</v>
      </c>
      <c r="Y22" s="672">
        <f>+VLOOKUP($A$1,data!$A$229:$AK$259,17)</f>
        <v>1075</v>
      </c>
      <c r="Z22" s="672">
        <f>+VLOOKUP($A$1,data!$A$229:$AK$259,37)</f>
        <v>881</v>
      </c>
      <c r="AA22" s="672">
        <f>+VLOOKUP($A$1,data!$A$229:$AK$259,18)</f>
        <v>1304</v>
      </c>
      <c r="AB22" s="672">
        <f>+VLOOKUP($A$1,data!$A$229:$AK$259,34)</f>
        <v>1600</v>
      </c>
      <c r="AC22" s="765">
        <f>+VLOOKUP($A$1,data!$A$229:$AK$259,15)</f>
        <v>1600</v>
      </c>
      <c r="AD22" s="671">
        <f>+AC22-AB22</f>
        <v>0</v>
      </c>
      <c r="AE22" s="685">
        <f>+AC22-AB22</f>
        <v>0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73">
        <f>SUM(V21:V22)</f>
        <v>4607.8471650113925</v>
      </c>
      <c r="W23" s="673">
        <f t="shared" ref="W23:AC23" si="3">SUM(W21:W22)</f>
        <v>4807</v>
      </c>
      <c r="X23" s="673">
        <f t="shared" si="3"/>
        <v>10083.949993797982</v>
      </c>
      <c r="Y23" s="673">
        <f t="shared" si="3"/>
        <v>9373</v>
      </c>
      <c r="Z23" s="673">
        <f t="shared" si="3"/>
        <v>16121.420353690672</v>
      </c>
      <c r="AA23" s="673">
        <f t="shared" si="3"/>
        <v>13444</v>
      </c>
      <c r="AB23" s="673">
        <f t="shared" si="3"/>
        <v>21500</v>
      </c>
      <c r="AC23" s="764">
        <f t="shared" si="3"/>
        <v>19033</v>
      </c>
      <c r="AD23" s="673">
        <f>+AC23-AB23</f>
        <v>-2467</v>
      </c>
      <c r="AE23" s="686">
        <f>+AC23-AB23</f>
        <v>-2467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ht="21" customHeight="1" x14ac:dyDescent="0.35"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6"/>
      <c r="AD25" s="426"/>
      <c r="AE25" s="426"/>
      <c r="AF25" s="426"/>
      <c r="AG25" s="426"/>
      <c r="AH25" s="426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1185</v>
      </c>
      <c r="D39" s="406">
        <f t="shared" ref="D39:N39" si="4">+C39+C18</f>
        <v>2698</v>
      </c>
      <c r="E39" s="406">
        <f t="shared" si="4"/>
        <v>4175</v>
      </c>
      <c r="F39" s="406">
        <f t="shared" si="4"/>
        <v>5359</v>
      </c>
      <c r="G39" s="406">
        <f t="shared" si="4"/>
        <v>7041</v>
      </c>
      <c r="H39" s="406">
        <f t="shared" si="4"/>
        <v>9058</v>
      </c>
      <c r="I39" s="406">
        <f t="shared" si="4"/>
        <v>10836</v>
      </c>
      <c r="J39" s="406">
        <f t="shared" si="4"/>
        <v>13143</v>
      </c>
      <c r="K39" s="406">
        <f t="shared" si="4"/>
        <v>15607</v>
      </c>
      <c r="L39" s="406">
        <f t="shared" si="4"/>
        <v>17266</v>
      </c>
      <c r="M39" s="406">
        <f t="shared" si="4"/>
        <v>19241</v>
      </c>
      <c r="N39" s="406">
        <f t="shared" si="4"/>
        <v>21525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7.0824943599999983</v>
      </c>
      <c r="AL39" s="418">
        <f t="shared" ref="AL39:AV39" si="5">+AK39+AK18</f>
        <v>14.444773229999999</v>
      </c>
      <c r="AM39" s="418">
        <f t="shared" si="5"/>
        <v>21.632902810000001</v>
      </c>
      <c r="AN39" s="418">
        <f t="shared" si="5"/>
        <v>29.153907930000003</v>
      </c>
      <c r="AO39" s="418">
        <f t="shared" si="5"/>
        <v>36.383212320000005</v>
      </c>
      <c r="AP39" s="418">
        <f t="shared" si="5"/>
        <v>43.487321060000006</v>
      </c>
      <c r="AQ39" s="418">
        <f t="shared" si="5"/>
        <v>51.726056240000005</v>
      </c>
      <c r="AR39" s="418">
        <f t="shared" si="5"/>
        <v>60.318025240000004</v>
      </c>
      <c r="AS39" s="418">
        <f t="shared" si="5"/>
        <v>68.40030668</v>
      </c>
      <c r="AT39" s="418">
        <f t="shared" si="5"/>
        <v>76.027951880000003</v>
      </c>
      <c r="AU39" s="418">
        <f t="shared" si="5"/>
        <v>83.097727610000007</v>
      </c>
      <c r="AV39" s="418">
        <f t="shared" si="5"/>
        <v>90.673968670000008</v>
      </c>
      <c r="AW39" s="158"/>
      <c r="AX39" s="158"/>
      <c r="AY39" s="308" t="s">
        <v>92</v>
      </c>
      <c r="AZ39" s="464">
        <f>+VLOOKUP($A$1,data!$A$133:$BK$163,26)</f>
        <v>26.368307953596155</v>
      </c>
      <c r="BA39" s="464">
        <f>+VLOOKUP($A$1,data!$A$133:$BK$163,27)</f>
        <v>26.721559402513311</v>
      </c>
      <c r="BB39" s="464">
        <f>+VLOOKUP($A$1,data!$A$133:$BK$163,28)</f>
        <v>30.216211521295278</v>
      </c>
      <c r="BC39" s="464">
        <f>+VLOOKUP($A$1,data!$A$133:$BK$163,29)</f>
        <v>27.809380887327972</v>
      </c>
      <c r="BD39" s="464">
        <f>+VLOOKUP($A$1,data!$A$133:$BK$163,30)</f>
        <v>27.682386307530766</v>
      </c>
      <c r="BE39" s="464">
        <f>+VLOOKUP($A$1,data!$A$133:$BK$163,31)</f>
        <v>27.597419459087881</v>
      </c>
      <c r="BF39" s="464">
        <f>+VLOOKUP($A$1,data!$A$133:$BK$163,32)</f>
        <v>31.912772186209427</v>
      </c>
      <c r="BG39" s="464">
        <f>+VLOOKUP($A$1,data!$A$133:$BK$163,33)</f>
        <v>28.457596021477656</v>
      </c>
      <c r="BH39" s="464">
        <f>+VLOOKUP($A$1,data!$A$133:$BK$163,34)</f>
        <v>22.228984906788007</v>
      </c>
      <c r="BI39" s="464">
        <f>+VLOOKUP($A$1,data!$A$133:$BK$163,35)</f>
        <v>20.684771254325184</v>
      </c>
      <c r="BJ39" s="464">
        <f>+VLOOKUP($A$1,data!$A$133:$BK$163,36)</f>
        <v>18.561300159848727</v>
      </c>
      <c r="BK39" s="464">
        <f>+VLOOKUP($A$1,data!$A$133:$BK$163,37)</f>
        <v>25.760926407033434</v>
      </c>
      <c r="BL39" s="464">
        <f>+VLOOKUP($A$1,data!$A$133:$BK$163,38)</f>
        <v>24.494315857143985</v>
      </c>
      <c r="BM39" s="464">
        <f>+VLOOKUP($A$1,data!$A$133:$BK$163,39)</f>
        <v>30.990850010636763</v>
      </c>
      <c r="BN39" s="464">
        <f>+VLOOKUP($A$1,data!$A$133:$BK$163,40)</f>
        <v>23.915510325126277</v>
      </c>
      <c r="BO39" s="464">
        <f>+VLOOKUP($A$1,data!$A$133:$BK$163,41)</f>
        <v>25.943889132866381</v>
      </c>
    </row>
    <row r="40" spans="1:67" ht="21.75" thickBot="1" x14ac:dyDescent="0.4">
      <c r="A40"/>
      <c r="B40" s="408" t="s">
        <v>94</v>
      </c>
      <c r="C40" s="409">
        <f>+B19</f>
        <v>1493.5236963601665</v>
      </c>
      <c r="D40" s="409">
        <f t="shared" ref="D40:N40" si="6">+C40+C19</f>
        <v>3094.0713547132782</v>
      </c>
      <c r="E40" s="409">
        <f t="shared" si="6"/>
        <v>4607.8471650113925</v>
      </c>
      <c r="F40" s="409">
        <f t="shared" si="6"/>
        <v>6075.1221950337904</v>
      </c>
      <c r="G40" s="409">
        <f t="shared" si="6"/>
        <v>8014.5392534171069</v>
      </c>
      <c r="H40" s="409">
        <f t="shared" si="6"/>
        <v>10083.949993797982</v>
      </c>
      <c r="I40" s="409">
        <f t="shared" si="6"/>
        <v>11970.58724031111</v>
      </c>
      <c r="J40" s="409">
        <f t="shared" si="6"/>
        <v>14009.909339075033</v>
      </c>
      <c r="K40" s="409">
        <f t="shared" si="6"/>
        <v>16121.420353690672</v>
      </c>
      <c r="L40" s="409">
        <f t="shared" si="6"/>
        <v>17841.616157557681</v>
      </c>
      <c r="M40" s="409">
        <f t="shared" si="6"/>
        <v>19620.70806055357</v>
      </c>
      <c r="N40" s="409">
        <f t="shared" si="6"/>
        <v>21500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7.4998030000000018</v>
      </c>
      <c r="AL40" s="423">
        <f t="shared" ref="AL40:AV40" si="7">+AK40+AK19</f>
        <v>15.278166000000004</v>
      </c>
      <c r="AM40" s="423">
        <f t="shared" si="7"/>
        <v>22.907639000000003</v>
      </c>
      <c r="AN40" s="423">
        <f t="shared" si="7"/>
        <v>30.901897000000002</v>
      </c>
      <c r="AO40" s="423">
        <f t="shared" si="7"/>
        <v>38.574801999999998</v>
      </c>
      <c r="AP40" s="423">
        <f t="shared" si="7"/>
        <v>46.117562</v>
      </c>
      <c r="AQ40" s="423">
        <f t="shared" si="7"/>
        <v>54.667954999999999</v>
      </c>
      <c r="AR40" s="423">
        <f t="shared" si="7"/>
        <v>63.558521999999996</v>
      </c>
      <c r="AS40" s="423">
        <f t="shared" si="7"/>
        <v>72.146323999999993</v>
      </c>
      <c r="AT40" s="423">
        <f t="shared" si="7"/>
        <v>80.314561999999995</v>
      </c>
      <c r="AU40" s="423">
        <f t="shared" si="7"/>
        <v>88.204285999999996</v>
      </c>
      <c r="AV40" s="423">
        <f t="shared" si="7"/>
        <v>96.279996999999995</v>
      </c>
      <c r="AW40" s="158"/>
      <c r="AX40" s="158"/>
      <c r="AY40" s="311" t="s">
        <v>94</v>
      </c>
      <c r="AZ40" s="458">
        <f>+VLOOKUP($A$1,data!$A$133:$BK$163,22)</f>
        <v>25.000336906515802</v>
      </c>
      <c r="BA40" s="458">
        <f>+$AZ$40</f>
        <v>25.000336906515802</v>
      </c>
      <c r="BB40" s="458">
        <f t="shared" ref="BB40:BO40" si="8">+$AZ$40</f>
        <v>25.000336906515802</v>
      </c>
      <c r="BC40" s="458">
        <f t="shared" si="8"/>
        <v>25.000336906515802</v>
      </c>
      <c r="BD40" s="458">
        <f t="shared" si="8"/>
        <v>25.000336906515802</v>
      </c>
      <c r="BE40" s="458">
        <f t="shared" si="8"/>
        <v>25.000336906515802</v>
      </c>
      <c r="BF40" s="458">
        <f t="shared" si="8"/>
        <v>25.000336906515802</v>
      </c>
      <c r="BG40" s="458">
        <f t="shared" si="8"/>
        <v>25.000336906515802</v>
      </c>
      <c r="BH40" s="458">
        <f t="shared" si="8"/>
        <v>25.000336906515802</v>
      </c>
      <c r="BI40" s="458">
        <f t="shared" si="8"/>
        <v>25.000336906515802</v>
      </c>
      <c r="BJ40" s="458">
        <f t="shared" si="8"/>
        <v>25.000336906515802</v>
      </c>
      <c r="BK40" s="458">
        <f t="shared" si="8"/>
        <v>25.000336906515802</v>
      </c>
      <c r="BL40" s="458">
        <f t="shared" si="8"/>
        <v>25.000336906515802</v>
      </c>
      <c r="BM40" s="458">
        <f t="shared" si="8"/>
        <v>25.000336906515802</v>
      </c>
      <c r="BN40" s="458">
        <f t="shared" si="8"/>
        <v>25.000336906515802</v>
      </c>
      <c r="BO40" s="458">
        <f t="shared" si="8"/>
        <v>25.000336906515802</v>
      </c>
    </row>
    <row r="41" spans="1:67" ht="21.75" thickBot="1" x14ac:dyDescent="0.4">
      <c r="A41"/>
      <c r="B41" s="413" t="s">
        <v>93</v>
      </c>
      <c r="C41" s="414">
        <f>+B20</f>
        <v>1846</v>
      </c>
      <c r="D41" s="414">
        <f t="shared" ref="D41:N41" si="9">+C41+C20</f>
        <v>3357</v>
      </c>
      <c r="E41" s="414">
        <f t="shared" si="9"/>
        <v>4807</v>
      </c>
      <c r="F41" s="414">
        <f t="shared" si="9"/>
        <v>6089</v>
      </c>
      <c r="G41" s="414">
        <f t="shared" si="9"/>
        <v>7494</v>
      </c>
      <c r="H41" s="414">
        <f t="shared" si="9"/>
        <v>9373</v>
      </c>
      <c r="I41" s="414">
        <f t="shared" si="9"/>
        <v>10574</v>
      </c>
      <c r="J41" s="414">
        <f t="shared" si="9"/>
        <v>11964</v>
      </c>
      <c r="K41" s="414">
        <f t="shared" si="9"/>
        <v>13444</v>
      </c>
      <c r="L41" s="414">
        <f t="shared" si="9"/>
        <v>14763</v>
      </c>
      <c r="M41" s="414">
        <f t="shared" si="9"/>
        <v>16631</v>
      </c>
      <c r="N41" s="414">
        <f t="shared" si="9"/>
        <v>19033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7.1288564900000004</v>
      </c>
      <c r="AL41" s="420">
        <f t="shared" ref="AL41:AV41" si="10">+AK41+AK20</f>
        <v>14.44902181</v>
      </c>
      <c r="AM41" s="420">
        <f t="shared" si="10"/>
        <v>21.82256447</v>
      </c>
      <c r="AN41" s="420">
        <f t="shared" si="10"/>
        <v>29.568982259999999</v>
      </c>
      <c r="AO41" s="420">
        <f t="shared" si="10"/>
        <v>37.110665150000003</v>
      </c>
      <c r="AP41" s="420">
        <f t="shared" si="10"/>
        <v>44.537377730000003</v>
      </c>
      <c r="AQ41" s="420">
        <f t="shared" si="10"/>
        <v>53.188984390000002</v>
      </c>
      <c r="AR41" s="420">
        <f t="shared" si="10"/>
        <v>61.478415990000002</v>
      </c>
      <c r="AS41" s="420">
        <f t="shared" si="10"/>
        <v>69.405312420000001</v>
      </c>
      <c r="AT41" s="420">
        <f t="shared" si="10"/>
        <v>76.963086380000007</v>
      </c>
      <c r="AU41" s="420">
        <f t="shared" si="10"/>
        <v>84.63164384000001</v>
      </c>
      <c r="AV41" s="420">
        <f t="shared" si="10"/>
        <v>92.378249860000011</v>
      </c>
      <c r="AW41" s="158"/>
      <c r="AX41" s="158"/>
      <c r="AY41" s="315" t="s">
        <v>93</v>
      </c>
      <c r="AZ41" s="442">
        <f>+VLOOKUP($A$1,data!$A$133:$BK$163,3)</f>
        <v>29.351898823447168</v>
      </c>
      <c r="BA41" s="442">
        <f>+VLOOKUP($A$1,data!$A$133:$BK$163,4)</f>
        <v>27.182677341924759</v>
      </c>
      <c r="BB41" s="442">
        <f>+VLOOKUP($A$1,data!$A$133:$BK$163,5)</f>
        <v>28.37052719714746</v>
      </c>
      <c r="BC41" s="442">
        <f>+VLOOKUP($A$1,data!$A$133:$BK$163,6)</f>
        <v>28.303560641546394</v>
      </c>
      <c r="BD41" s="442">
        <f>+VLOOKUP($A$1,data!$A$133:$BK$163,7)</f>
        <v>25.948195324887546</v>
      </c>
      <c r="BE41" s="442">
        <f>+VLOOKUP($A$1,data!$A$133:$BK$163,8)</f>
        <v>23.910499944222181</v>
      </c>
      <c r="BF41" s="442">
        <f>+VLOOKUP($A$1,data!$A$133:$BK$163,9)</f>
        <v>31.893428874320961</v>
      </c>
      <c r="BG41" s="442">
        <f>+VLOOKUP($A$1,data!$A$133:$BK$163,10)</f>
        <v>27.833202951595609</v>
      </c>
      <c r="BH41" s="442">
        <f>+VLOOKUP($A$1,data!$A$133:$BK$163,11)</f>
        <v>20.226662093861933</v>
      </c>
      <c r="BI41" s="442">
        <f>+VLOOKUP($A$1,data!$A$133:$BK$163,12)</f>
        <v>24.090266668117575</v>
      </c>
      <c r="BJ41" s="442">
        <f>+VLOOKUP($A$1,data!$A$133:$BK$163,13)</f>
        <v>24.229509016444066</v>
      </c>
      <c r="BK41" s="442">
        <f>+VLOOKUP($A$1,data!$A$133:$BK$163,14)</f>
        <v>26.11857106546303</v>
      </c>
      <c r="BL41" s="442">
        <f>+VLOOKUP($A$1,data!$A$133:$BK$163,15)</f>
        <v>28.093279327401305</v>
      </c>
      <c r="BM41" s="442">
        <f>+VLOOKUP($A$1,data!$A$133:$BK$163,16)</f>
        <v>24.76048817336445</v>
      </c>
      <c r="BN41" s="442">
        <f>+VLOOKUP($A$1,data!$A$133:$BK$163,17)</f>
        <v>21.885952249666925</v>
      </c>
      <c r="BO41" s="442">
        <f>+VLOOKUP($A$1,data!$A$133:$BK$163,18)</f>
        <v>25.837137678513482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58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25.943889132866381</v>
      </c>
      <c r="BA43" s="826">
        <f>+VLOOKUP($A$1,data!$A$133:$BK$163,26)</f>
        <v>26.368307953596155</v>
      </c>
      <c r="BB43" s="473">
        <f>+AZ45-AZ43</f>
        <v>-0.10675145435289934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25.000336906515802</v>
      </c>
      <c r="BA44" s="830"/>
      <c r="BB44" s="472">
        <f>+AZ45-AZ44</f>
        <v>0.83680077199768022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25.837137678513482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1003</v>
      </c>
      <c r="B47" s="817" t="str">
        <f>+VLOOKUP($A$1,data!$A$4:$AH$32,2,0)</f>
        <v>กปภ.ข.9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1003</v>
      </c>
      <c r="T47" s="817" t="str">
        <f>+VLOOKUP($A$1,data!$A$4:$AH$32,2,0)</f>
        <v>กปภ.ข.9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1003</v>
      </c>
      <c r="AJ47" s="817" t="str">
        <f>+VLOOKUP($A$1,data!$A$4:$AH$32,2,0)</f>
        <v>กปภ.ข.9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544">
        <f>+VLOOKUP($A$1,data!$A$165:$AU$195,35)</f>
        <v>147.98201653999996</v>
      </c>
      <c r="C64" s="544">
        <f>+VLOOKUP($A$1,data!$A$165:$AU$195,36)</f>
        <v>154.00803915</v>
      </c>
      <c r="D64" s="544">
        <f>+VLOOKUP($A$1,data!$A$165:$AU$195,37)</f>
        <v>149.70329415</v>
      </c>
      <c r="E64" s="544">
        <f>+VLOOKUP($A$1,data!$A$165:$AU$195,38)</f>
        <v>155.56282660000002</v>
      </c>
      <c r="F64" s="544">
        <f>+VLOOKUP($A$1,data!$A$165:$AU$195,39)</f>
        <v>149.74693840000003</v>
      </c>
      <c r="G64" s="544">
        <f>+VLOOKUP($A$1,data!$A$165:$AU$195,40)</f>
        <v>146.66292210000003</v>
      </c>
      <c r="H64" s="544">
        <f>+VLOOKUP($A$1,data!$A$165:$AU$195,41)</f>
        <v>169.04101690000002</v>
      </c>
      <c r="I64" s="544">
        <f>+VLOOKUP($A$1,data!$A$165:$AU$195,42)</f>
        <v>175.67278311000001</v>
      </c>
      <c r="J64" s="544">
        <f>+VLOOKUP($A$1,data!$A$165:$AU$195,43)</f>
        <v>167.52632905000004</v>
      </c>
      <c r="K64" s="544">
        <f>+VLOOKUP($A$1,data!$A$165:$AU$195,44)</f>
        <v>156.39004424000004</v>
      </c>
      <c r="L64" s="544">
        <f>+VLOOKUP($A$1,data!$A$165:$AU$195,45)</f>
        <v>145.13883624000005</v>
      </c>
      <c r="M64" s="544">
        <f>+VLOOKUP($A$1,data!$A$165:$AU$195,46)</f>
        <v>158.40492899</v>
      </c>
      <c r="N64" s="544">
        <f>SUM(B64:M64)</f>
        <v>1875.8399754699999</v>
      </c>
      <c r="O64" s="544">
        <f>SUM(B64:M64)</f>
        <v>1875.8399754699999</v>
      </c>
      <c r="P64" s="545">
        <f>+O66-O64</f>
        <v>40.149350509999749</v>
      </c>
      <c r="S64" s="605" t="s">
        <v>92</v>
      </c>
      <c r="T64" s="606">
        <f>+VLOOKUP($A$1,data!$A$197:$AU$227,35)</f>
        <v>58.505708139999996</v>
      </c>
      <c r="U64" s="606">
        <f>+VLOOKUP($A$1,data!$A$197:$AU$227,36)</f>
        <v>58.624295100000005</v>
      </c>
      <c r="V64" s="606">
        <f>+VLOOKUP($A$1,data!$A$197:$AU$227,37)</f>
        <v>62.89150759999999</v>
      </c>
      <c r="W64" s="606">
        <f>+VLOOKUP($A$1,data!$A$197:$AU$227,38)</f>
        <v>58.598791789999986</v>
      </c>
      <c r="X64" s="606">
        <f>+VLOOKUP($A$1,data!$A$197:$AU$227,39)</f>
        <v>56.557732799999997</v>
      </c>
      <c r="Y64" s="606">
        <f>+VLOOKUP($A$1,data!$A$197:$AU$227,40)</f>
        <v>64.308429230000002</v>
      </c>
      <c r="Z64" s="606">
        <f>+VLOOKUP($A$1,data!$A$197:$AU$227,41)</f>
        <v>58.665271540000013</v>
      </c>
      <c r="AA64" s="606">
        <f>+VLOOKUP($A$1,data!$A$197:$AU$227,42)</f>
        <v>61.485977399999975</v>
      </c>
      <c r="AB64" s="606">
        <f>+VLOOKUP($A$1,data!$A$197:$AU$227,43)</f>
        <v>65.496684599999995</v>
      </c>
      <c r="AC64" s="606">
        <f>+VLOOKUP($A$1,data!$A$197:$AU$227,44)</f>
        <v>59.10537639999999</v>
      </c>
      <c r="AD64" s="606">
        <f>+VLOOKUP($A$1,data!$A$197:$AU$227,45)</f>
        <v>63.663244879999986</v>
      </c>
      <c r="AE64" s="606">
        <f>+VLOOKUP($A$1,data!$A$197:$AU$227,46)</f>
        <v>63.637480920000002</v>
      </c>
      <c r="AF64" s="606">
        <f>SUM(T64:AE64)</f>
        <v>731.54050039999993</v>
      </c>
      <c r="AG64" s="606">
        <f>SUM(T64:AE64)</f>
        <v>731.54050039999993</v>
      </c>
      <c r="AH64" s="607">
        <f>+AG66-AG64</f>
        <v>6.7494306900000538</v>
      </c>
      <c r="AI64" s="621" t="s">
        <v>92</v>
      </c>
      <c r="AJ64" s="622">
        <f t="shared" ref="AJ64:AU66" si="11">+B64-T64</f>
        <v>89.476308399999965</v>
      </c>
      <c r="AK64" s="622">
        <f t="shared" si="11"/>
        <v>95.38374404999999</v>
      </c>
      <c r="AL64" s="622">
        <f t="shared" si="11"/>
        <v>86.811786550000022</v>
      </c>
      <c r="AM64" s="622">
        <f t="shared" si="11"/>
        <v>96.964034810000044</v>
      </c>
      <c r="AN64" s="622">
        <f t="shared" si="11"/>
        <v>93.189205600000037</v>
      </c>
      <c r="AO64" s="622">
        <f t="shared" si="11"/>
        <v>82.35449287000003</v>
      </c>
      <c r="AP64" s="622">
        <f t="shared" si="11"/>
        <v>110.37574536</v>
      </c>
      <c r="AQ64" s="622">
        <f t="shared" si="11"/>
        <v>114.18680571000004</v>
      </c>
      <c r="AR64" s="622">
        <f t="shared" si="11"/>
        <v>102.02964445000005</v>
      </c>
      <c r="AS64" s="622">
        <f t="shared" si="11"/>
        <v>97.284667840000054</v>
      </c>
      <c r="AT64" s="622">
        <f t="shared" si="11"/>
        <v>81.475591360000067</v>
      </c>
      <c r="AU64" s="622">
        <f t="shared" si="11"/>
        <v>94.76744807</v>
      </c>
      <c r="AV64" s="622">
        <f>SUM(AJ64:AU64)</f>
        <v>1144.2994750700002</v>
      </c>
      <c r="AW64" s="622">
        <f>SUM(AJ64:AU64)</f>
        <v>1144.2994750700002</v>
      </c>
      <c r="AX64" s="623">
        <f>+AW66-AW64</f>
        <v>33.399919819999695</v>
      </c>
    </row>
    <row r="65" spans="1:50" ht="21.75" thickBot="1" x14ac:dyDescent="0.4">
      <c r="A65" s="538" t="s">
        <v>94</v>
      </c>
      <c r="B65" s="539">
        <f>+VLOOKUP($A$1,data!$A$165:$AU$195,19)</f>
        <v>156.77104</v>
      </c>
      <c r="C65" s="539">
        <f>+VLOOKUP($A$1,data!$A$165:$AU$195,20)</f>
        <v>162.120575</v>
      </c>
      <c r="D65" s="539">
        <f>+VLOOKUP($A$1,data!$A$165:$AU$195,21)</f>
        <v>158.52824200000001</v>
      </c>
      <c r="E65" s="539">
        <f>+VLOOKUP($A$1,data!$A$165:$AU$195,22)</f>
        <v>165.38184000000001</v>
      </c>
      <c r="F65" s="539">
        <f>+VLOOKUP($A$1,data!$A$165:$AU$195,23)</f>
        <v>159.89739399999999</v>
      </c>
      <c r="G65" s="539">
        <f>+VLOOKUP($A$1,data!$A$165:$AU$195,24)</f>
        <v>157.28598600000001</v>
      </c>
      <c r="H65" s="539">
        <f>+VLOOKUP($A$1,data!$A$165:$AU$195,25)</f>
        <v>176.588413</v>
      </c>
      <c r="I65" s="539">
        <f>+VLOOKUP($A$1,data!$A$165:$AU$195,26)</f>
        <v>181.885706</v>
      </c>
      <c r="J65" s="539">
        <f>+VLOOKUP($A$1,data!$A$165:$AU$195,27)</f>
        <v>178.022493</v>
      </c>
      <c r="K65" s="539">
        <f>+VLOOKUP($A$1,data!$A$165:$AU$195,28)</f>
        <v>168.47157799999999</v>
      </c>
      <c r="L65" s="539">
        <f>+VLOOKUP($A$1,data!$A$165:$AU$195,29)</f>
        <v>163.78603000000001</v>
      </c>
      <c r="M65" s="539">
        <f>+VLOOKUP($A$1,data!$A$165:$AU$195,30)</f>
        <v>171.537925</v>
      </c>
      <c r="N65" s="540">
        <f>SUM(B65:M65)</f>
        <v>2000.2772219999999</v>
      </c>
      <c r="O65" s="541">
        <f t="shared" ref="O65:O66" si="12">SUM(B65:M65)</f>
        <v>2000.2772219999999</v>
      </c>
      <c r="P65" s="542">
        <f>+O66-O65</f>
        <v>-84.287896020000289</v>
      </c>
      <c r="S65" s="601" t="s">
        <v>94</v>
      </c>
      <c r="T65" s="602">
        <f>+VLOOKUP($A$1,data!$A$197:$AU$227,19)</f>
        <v>59.806723666666663</v>
      </c>
      <c r="U65" s="602">
        <f>+VLOOKUP($A$1,data!$A$197:$AU$227,20)</f>
        <v>57.213983666666664</v>
      </c>
      <c r="V65" s="602">
        <f>+VLOOKUP($A$1,data!$A$197:$AU$227,21)</f>
        <v>55.983475666666664</v>
      </c>
      <c r="W65" s="602">
        <f>+VLOOKUP($A$1,data!$A$197:$AU$227,22)</f>
        <v>58.720351666666666</v>
      </c>
      <c r="X65" s="602">
        <f>+VLOOKUP($A$1,data!$A$197:$AU$227,23)</f>
        <v>58.609980666666665</v>
      </c>
      <c r="Y65" s="602">
        <f>+VLOOKUP($A$1,data!$A$197:$AU$227,24)</f>
        <v>62.200185666666663</v>
      </c>
      <c r="Z65" s="602">
        <f>+VLOOKUP($A$1,data!$A$197:$AU$227,25)</f>
        <v>57.733091666666667</v>
      </c>
      <c r="AA65" s="602">
        <f>+VLOOKUP($A$1,data!$A$197:$AU$227,26)</f>
        <v>60.862501666666667</v>
      </c>
      <c r="AB65" s="602">
        <f>+VLOOKUP($A$1,data!$A$197:$AU$227,27)</f>
        <v>62.900047666666666</v>
      </c>
      <c r="AC65" s="602">
        <f>+VLOOKUP($A$1,data!$A$197:$AU$227,28)</f>
        <v>60.133230666666663</v>
      </c>
      <c r="AD65" s="602">
        <f>+VLOOKUP($A$1,data!$A$197:$AU$227,29)</f>
        <v>62.006472666666674</v>
      </c>
      <c r="AE65" s="602">
        <f>+VLOOKUP($A$1,data!$A$197:$AU$227,30)</f>
        <v>70.935200666666674</v>
      </c>
      <c r="AF65" s="602">
        <f>SUM(T65:AE65)</f>
        <v>727.10524599999997</v>
      </c>
      <c r="AG65" s="603">
        <f t="shared" ref="AG65:AG66" si="13">SUM(T65:AE65)</f>
        <v>727.10524599999997</v>
      </c>
      <c r="AH65" s="604">
        <f>+AG66-AG65</f>
        <v>11.184685090000016</v>
      </c>
      <c r="AI65" s="617" t="s">
        <v>94</v>
      </c>
      <c r="AJ65" s="618">
        <f t="shared" si="11"/>
        <v>96.964316333333329</v>
      </c>
      <c r="AK65" s="618">
        <f t="shared" si="11"/>
        <v>104.90659133333334</v>
      </c>
      <c r="AL65" s="618">
        <f t="shared" si="11"/>
        <v>102.54476633333334</v>
      </c>
      <c r="AM65" s="618">
        <f t="shared" si="11"/>
        <v>106.66148833333335</v>
      </c>
      <c r="AN65" s="618">
        <f t="shared" si="11"/>
        <v>101.28741333333332</v>
      </c>
      <c r="AO65" s="618">
        <f t="shared" si="11"/>
        <v>95.085800333333339</v>
      </c>
      <c r="AP65" s="618">
        <f t="shared" si="11"/>
        <v>118.85532133333334</v>
      </c>
      <c r="AQ65" s="618">
        <f t="shared" si="11"/>
        <v>121.02320433333333</v>
      </c>
      <c r="AR65" s="618">
        <f t="shared" si="11"/>
        <v>115.12244533333333</v>
      </c>
      <c r="AS65" s="618">
        <f t="shared" si="11"/>
        <v>108.33834733333333</v>
      </c>
      <c r="AT65" s="618">
        <f t="shared" si="11"/>
        <v>101.77955733333334</v>
      </c>
      <c r="AU65" s="618">
        <f t="shared" si="11"/>
        <v>100.60272433333333</v>
      </c>
      <c r="AV65" s="618">
        <f>SUM(AJ65:AU65)</f>
        <v>1273.1719759999999</v>
      </c>
      <c r="AW65" s="619">
        <f t="shared" ref="AW65:AW66" si="14">SUM(AJ65:AU65)</f>
        <v>1273.1719759999999</v>
      </c>
      <c r="AX65" s="620">
        <f>+AW66-AW65</f>
        <v>-95.472581109999965</v>
      </c>
    </row>
    <row r="66" spans="1:50" ht="21.75" thickBot="1" x14ac:dyDescent="0.4">
      <c r="A66" s="546" t="s">
        <v>93</v>
      </c>
      <c r="B66" s="547">
        <f>+VLOOKUP($A$1,data!$A$165:$AU$195,3)</f>
        <v>148.37512774999999</v>
      </c>
      <c r="C66" s="547">
        <f>+VLOOKUP($A$1,data!$A$165:$AU$195,4)</f>
        <v>153.60377586000001</v>
      </c>
      <c r="D66" s="547">
        <f>+VLOOKUP($A$1,data!$A$165:$AU$195,5)</f>
        <v>153.09260657999999</v>
      </c>
      <c r="E66" s="547">
        <f>+VLOOKUP($A$1,data!$A$165:$AU$195,6)</f>
        <v>162.19327786999997</v>
      </c>
      <c r="F66" s="547">
        <f>+VLOOKUP($A$1,data!$A$165:$AU$195,7)</f>
        <v>157.04749323999997</v>
      </c>
      <c r="G66" s="547">
        <f>+VLOOKUP($A$1,data!$A$165:$AU$195,8)</f>
        <v>155.04481799000001</v>
      </c>
      <c r="H66" s="547">
        <f>+VLOOKUP($A$1,data!$A$165:$AU$195,9)</f>
        <v>177.55092483000001</v>
      </c>
      <c r="I66" s="547">
        <f>+VLOOKUP($A$1,data!$A$165:$AU$195,10)</f>
        <v>170.46774109999998</v>
      </c>
      <c r="J66" s="547">
        <f>+VLOOKUP($A$1,data!$A$165:$AU$195,11)</f>
        <v>163.10173940999999</v>
      </c>
      <c r="K66" s="547">
        <f>+VLOOKUP($A$1,data!$A$165:$AU$195,12)</f>
        <v>155.34410678</v>
      </c>
      <c r="L66" s="547">
        <f>+VLOOKUP($A$1,data!$A$165:$AU$195,13)</f>
        <v>159.03156028000001</v>
      </c>
      <c r="M66" s="547">
        <f>+VLOOKUP($A$1,data!$A$165:$AU$195,14)</f>
        <v>161.13615428999998</v>
      </c>
      <c r="N66" s="548">
        <f>SUM(B66:M66)</f>
        <v>1915.9893259799996</v>
      </c>
      <c r="O66" s="549">
        <f t="shared" si="12"/>
        <v>1915.9893259799996</v>
      </c>
      <c r="P66" s="550"/>
      <c r="S66" s="608" t="s">
        <v>93</v>
      </c>
      <c r="T66" s="609">
        <f>+VLOOKUP($A$1,data!$A$197:$AU$227,3)</f>
        <v>54.857293530000007</v>
      </c>
      <c r="U66" s="609">
        <f>+VLOOKUP($A$1,data!$A$197:$AU$227,4)</f>
        <v>58.375268370000001</v>
      </c>
      <c r="V66" s="609">
        <f>+VLOOKUP($A$1,data!$A$197:$AU$227,5)</f>
        <v>63.855236190000014</v>
      </c>
      <c r="W66" s="609">
        <f>+VLOOKUP($A$1,data!$A$197:$AU$227,6)</f>
        <v>53.902692039999991</v>
      </c>
      <c r="X66" s="609">
        <f>+VLOOKUP($A$1,data!$A$197:$AU$227,7)</f>
        <v>57.264715680000009</v>
      </c>
      <c r="Y66" s="609">
        <f>+VLOOKUP($A$1,data!$A$197:$AU$227,8)</f>
        <v>65.633323109999992</v>
      </c>
      <c r="Z66" s="609">
        <f>+VLOOKUP($A$1,data!$A$197:$AU$227,9)</f>
        <v>62.240433230000001</v>
      </c>
      <c r="AA66" s="609">
        <f>+VLOOKUP($A$1,data!$A$197:$AU$227,10)</f>
        <v>63.485998989999992</v>
      </c>
      <c r="AB66" s="609">
        <f>+VLOOKUP($A$1,data!$A$197:$AU$227,11)</f>
        <v>64.510846870000009</v>
      </c>
      <c r="AC66" s="609">
        <f>+VLOOKUP($A$1,data!$A$197:$AU$227,12)</f>
        <v>62.648606740000005</v>
      </c>
      <c r="AD66" s="609">
        <f>+VLOOKUP($A$1,data!$A$197:$AU$227,13)</f>
        <v>63.058667619999987</v>
      </c>
      <c r="AE66" s="609">
        <f>+VLOOKUP($A$1,data!$A$197:$AU$227,14)</f>
        <v>68.456848719999996</v>
      </c>
      <c r="AF66" s="609">
        <f>SUM(T66:AE66)</f>
        <v>738.28993108999998</v>
      </c>
      <c r="AG66" s="610">
        <f t="shared" si="13"/>
        <v>738.28993108999998</v>
      </c>
      <c r="AH66" s="611"/>
      <c r="AI66" s="624" t="s">
        <v>93</v>
      </c>
      <c r="AJ66" s="625">
        <f t="shared" ref="AJ66:AR66" si="15">+B66-T66</f>
        <v>93.517834219999983</v>
      </c>
      <c r="AK66" s="625">
        <f t="shared" si="15"/>
        <v>95.228507490000013</v>
      </c>
      <c r="AL66" s="625">
        <f t="shared" si="15"/>
        <v>89.237370389999981</v>
      </c>
      <c r="AM66" s="625">
        <f t="shared" si="15"/>
        <v>108.29058582999998</v>
      </c>
      <c r="AN66" s="625">
        <f t="shared" si="15"/>
        <v>99.782777559999957</v>
      </c>
      <c r="AO66" s="625">
        <f t="shared" si="15"/>
        <v>89.411494880000021</v>
      </c>
      <c r="AP66" s="625">
        <f t="shared" si="15"/>
        <v>115.31049160000001</v>
      </c>
      <c r="AQ66" s="625">
        <f t="shared" si="15"/>
        <v>106.98174211</v>
      </c>
      <c r="AR66" s="625">
        <f t="shared" si="15"/>
        <v>98.590892539999984</v>
      </c>
      <c r="AS66" s="625">
        <f t="shared" si="11"/>
        <v>92.695500039999999</v>
      </c>
      <c r="AT66" s="625">
        <f t="shared" si="11"/>
        <v>95.972892660000014</v>
      </c>
      <c r="AU66" s="625">
        <f t="shared" si="11"/>
        <v>92.679305569999983</v>
      </c>
      <c r="AV66" s="625">
        <f>SUM(AJ66:AU66)</f>
        <v>1177.6993948899999</v>
      </c>
      <c r="AW66" s="626">
        <f t="shared" si="14"/>
        <v>1177.6993948899999</v>
      </c>
      <c r="AX66" s="627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406">
        <f>+B64</f>
        <v>147.98201653999996</v>
      </c>
      <c r="D85" s="406">
        <f t="shared" ref="D85:N85" si="16">+C85+C64</f>
        <v>301.99005568999996</v>
      </c>
      <c r="E85" s="406">
        <f t="shared" si="16"/>
        <v>451.69334984</v>
      </c>
      <c r="F85" s="406">
        <f t="shared" si="16"/>
        <v>607.25617643999999</v>
      </c>
      <c r="G85" s="406">
        <f t="shared" si="16"/>
        <v>757.00311484000008</v>
      </c>
      <c r="H85" s="406">
        <f t="shared" si="16"/>
        <v>903.66603694000014</v>
      </c>
      <c r="I85" s="406">
        <f t="shared" si="16"/>
        <v>1072.7070538400001</v>
      </c>
      <c r="J85" s="406">
        <f t="shared" si="16"/>
        <v>1248.37983695</v>
      </c>
      <c r="K85" s="406">
        <f t="shared" si="16"/>
        <v>1415.906166</v>
      </c>
      <c r="L85" s="406">
        <f t="shared" si="16"/>
        <v>1572.2962102399999</v>
      </c>
      <c r="M85" s="406">
        <f t="shared" si="16"/>
        <v>1717.43504648</v>
      </c>
      <c r="N85" s="406">
        <f t="shared" si="16"/>
        <v>1875.8399754699999</v>
      </c>
      <c r="S85"/>
      <c r="T85" s="605" t="s">
        <v>92</v>
      </c>
      <c r="U85" s="613">
        <f>+T64</f>
        <v>58.505708139999996</v>
      </c>
      <c r="V85" s="613">
        <f t="shared" ref="V85:AF85" si="17">+U85+U64</f>
        <v>117.13000324000001</v>
      </c>
      <c r="W85" s="613">
        <f t="shared" si="17"/>
        <v>180.02151083999999</v>
      </c>
      <c r="X85" s="613">
        <f t="shared" si="17"/>
        <v>238.62030262999997</v>
      </c>
      <c r="Y85" s="613">
        <f t="shared" si="17"/>
        <v>295.17803542999997</v>
      </c>
      <c r="Z85" s="613">
        <f t="shared" si="17"/>
        <v>359.48646465999997</v>
      </c>
      <c r="AA85" s="613">
        <f t="shared" si="17"/>
        <v>418.15173619999996</v>
      </c>
      <c r="AB85" s="613">
        <f t="shared" si="17"/>
        <v>479.63771359999993</v>
      </c>
      <c r="AC85" s="613">
        <f t="shared" si="17"/>
        <v>545.13439819999996</v>
      </c>
      <c r="AD85" s="613">
        <f t="shared" si="17"/>
        <v>604.23977459999992</v>
      </c>
      <c r="AE85" s="613">
        <f t="shared" si="17"/>
        <v>667.9030194799999</v>
      </c>
      <c r="AF85" s="613">
        <f t="shared" si="17"/>
        <v>731.54050039999993</v>
      </c>
      <c r="AG85" s="158"/>
      <c r="AH85" s="158"/>
      <c r="AI85"/>
      <c r="AJ85" s="621" t="s">
        <v>92</v>
      </c>
      <c r="AK85" s="622">
        <f>+AJ64</f>
        <v>89.476308399999965</v>
      </c>
      <c r="AL85" s="622">
        <f t="shared" ref="AL85:AV85" si="18">+AK85+AK64</f>
        <v>184.86005244999996</v>
      </c>
      <c r="AM85" s="622">
        <f t="shared" si="18"/>
        <v>271.67183899999998</v>
      </c>
      <c r="AN85" s="622">
        <f t="shared" si="18"/>
        <v>368.63587381000002</v>
      </c>
      <c r="AO85" s="622">
        <f t="shared" si="18"/>
        <v>461.82507941000006</v>
      </c>
      <c r="AP85" s="622">
        <f t="shared" si="18"/>
        <v>544.17957228000012</v>
      </c>
      <c r="AQ85" s="622">
        <f t="shared" si="18"/>
        <v>654.55531764000011</v>
      </c>
      <c r="AR85" s="622">
        <f t="shared" si="18"/>
        <v>768.74212335000016</v>
      </c>
      <c r="AS85" s="622">
        <f t="shared" si="18"/>
        <v>870.77176780000025</v>
      </c>
      <c r="AT85" s="622">
        <f t="shared" si="18"/>
        <v>968.05643564000025</v>
      </c>
      <c r="AU85" s="622">
        <f t="shared" si="18"/>
        <v>1049.5320270000002</v>
      </c>
      <c r="AV85" s="622">
        <f t="shared" si="18"/>
        <v>1144.2994750700002</v>
      </c>
      <c r="AW85" s="158"/>
      <c r="AX85" s="158"/>
    </row>
    <row r="86" spans="1:50" ht="21.75" thickBot="1" x14ac:dyDescent="0.4">
      <c r="A86"/>
      <c r="B86" s="538" t="s">
        <v>94</v>
      </c>
      <c r="C86" s="539">
        <f>+B65</f>
        <v>156.77104</v>
      </c>
      <c r="D86" s="539">
        <f t="shared" ref="D86:N86" si="19">+C86+C65</f>
        <v>318.891615</v>
      </c>
      <c r="E86" s="539">
        <f t="shared" si="19"/>
        <v>477.41985699999998</v>
      </c>
      <c r="F86" s="539">
        <f t="shared" si="19"/>
        <v>642.80169699999999</v>
      </c>
      <c r="G86" s="539">
        <f t="shared" si="19"/>
        <v>802.69909099999995</v>
      </c>
      <c r="H86" s="539">
        <f t="shared" si="19"/>
        <v>959.98507699999993</v>
      </c>
      <c r="I86" s="539">
        <f t="shared" si="19"/>
        <v>1136.57349</v>
      </c>
      <c r="J86" s="539">
        <f t="shared" si="19"/>
        <v>1318.459196</v>
      </c>
      <c r="K86" s="539">
        <f t="shared" si="19"/>
        <v>1496.481689</v>
      </c>
      <c r="L86" s="539">
        <f t="shared" si="19"/>
        <v>1664.9532669999999</v>
      </c>
      <c r="M86" s="539">
        <f t="shared" si="19"/>
        <v>1828.7392969999999</v>
      </c>
      <c r="N86" s="539">
        <f t="shared" si="19"/>
        <v>2000.2772219999999</v>
      </c>
      <c r="S86"/>
      <c r="T86" s="601" t="s">
        <v>94</v>
      </c>
      <c r="U86" s="612">
        <f>+T65</f>
        <v>59.806723666666663</v>
      </c>
      <c r="V86" s="612">
        <f t="shared" ref="V86:AF86" si="20">+U86+U65</f>
        <v>117.02070733333332</v>
      </c>
      <c r="W86" s="612">
        <f t="shared" si="20"/>
        <v>173.00418299999998</v>
      </c>
      <c r="X86" s="612">
        <f t="shared" si="20"/>
        <v>231.72453466666664</v>
      </c>
      <c r="Y86" s="612">
        <f t="shared" si="20"/>
        <v>290.33451533333329</v>
      </c>
      <c r="Z86" s="612">
        <f t="shared" si="20"/>
        <v>352.53470099999993</v>
      </c>
      <c r="AA86" s="612">
        <f t="shared" si="20"/>
        <v>410.26779266666659</v>
      </c>
      <c r="AB86" s="612">
        <f t="shared" si="20"/>
        <v>471.13029433333327</v>
      </c>
      <c r="AC86" s="612">
        <f t="shared" si="20"/>
        <v>534.03034199999991</v>
      </c>
      <c r="AD86" s="612">
        <f t="shared" si="20"/>
        <v>594.1635726666666</v>
      </c>
      <c r="AE86" s="612">
        <f t="shared" si="20"/>
        <v>656.17004533333329</v>
      </c>
      <c r="AF86" s="612">
        <f t="shared" si="20"/>
        <v>727.10524599999997</v>
      </c>
      <c r="AG86" s="158"/>
      <c r="AH86" s="158"/>
      <c r="AI86"/>
      <c r="AJ86" s="617" t="s">
        <v>94</v>
      </c>
      <c r="AK86" s="618">
        <f>+AJ65</f>
        <v>96.964316333333329</v>
      </c>
      <c r="AL86" s="618">
        <f t="shared" ref="AL86:AV86" si="21">+AK86+AK65</f>
        <v>201.87090766666665</v>
      </c>
      <c r="AM86" s="618">
        <f t="shared" si="21"/>
        <v>304.41567399999997</v>
      </c>
      <c r="AN86" s="618">
        <f t="shared" si="21"/>
        <v>411.07716233333332</v>
      </c>
      <c r="AO86" s="618">
        <f t="shared" si="21"/>
        <v>512.36457566666661</v>
      </c>
      <c r="AP86" s="618">
        <f t="shared" si="21"/>
        <v>607.45037600000001</v>
      </c>
      <c r="AQ86" s="618">
        <f t="shared" si="21"/>
        <v>726.30569733333334</v>
      </c>
      <c r="AR86" s="618">
        <f t="shared" si="21"/>
        <v>847.32890166666664</v>
      </c>
      <c r="AS86" s="618">
        <f t="shared" si="21"/>
        <v>962.45134699999994</v>
      </c>
      <c r="AT86" s="618">
        <f t="shared" si="21"/>
        <v>1070.7896943333333</v>
      </c>
      <c r="AU86" s="618">
        <f t="shared" si="21"/>
        <v>1172.5692516666666</v>
      </c>
      <c r="AV86" s="618">
        <f t="shared" si="21"/>
        <v>1273.1719759999999</v>
      </c>
      <c r="AW86" s="158"/>
      <c r="AX86" s="158"/>
    </row>
    <row r="87" spans="1:50" ht="21.75" thickBot="1" x14ac:dyDescent="0.4">
      <c r="A87"/>
      <c r="B87" s="413" t="s">
        <v>93</v>
      </c>
      <c r="C87" s="414">
        <f>+B66</f>
        <v>148.37512774999999</v>
      </c>
      <c r="D87" s="414">
        <f t="shared" ref="D87:N87" si="22">+C87+C66</f>
        <v>301.97890360999997</v>
      </c>
      <c r="E87" s="414">
        <f t="shared" si="22"/>
        <v>455.07151018999997</v>
      </c>
      <c r="F87" s="414">
        <f t="shared" si="22"/>
        <v>617.26478806</v>
      </c>
      <c r="G87" s="414">
        <f t="shared" si="22"/>
        <v>774.3122813</v>
      </c>
      <c r="H87" s="414">
        <f t="shared" si="22"/>
        <v>929.35709928999995</v>
      </c>
      <c r="I87" s="414">
        <f t="shared" si="22"/>
        <v>1106.9080241199999</v>
      </c>
      <c r="J87" s="414">
        <f t="shared" si="22"/>
        <v>1277.3757652199999</v>
      </c>
      <c r="K87" s="414">
        <f t="shared" si="22"/>
        <v>1440.4775046299999</v>
      </c>
      <c r="L87" s="414">
        <f t="shared" si="22"/>
        <v>1595.8216114099998</v>
      </c>
      <c r="M87" s="414">
        <f t="shared" si="22"/>
        <v>1754.8531716899997</v>
      </c>
      <c r="N87" s="414">
        <f t="shared" si="22"/>
        <v>1915.9893259799996</v>
      </c>
      <c r="S87"/>
      <c r="T87" s="608" t="s">
        <v>93</v>
      </c>
      <c r="U87" s="614">
        <f>+T66</f>
        <v>54.857293530000007</v>
      </c>
      <c r="V87" s="614">
        <f t="shared" ref="V87:AF87" si="23">+U87+U66</f>
        <v>113.23256190000001</v>
      </c>
      <c r="W87" s="614">
        <f t="shared" si="23"/>
        <v>177.08779809000004</v>
      </c>
      <c r="X87" s="614">
        <f t="shared" si="23"/>
        <v>230.99049013000001</v>
      </c>
      <c r="Y87" s="614">
        <f t="shared" si="23"/>
        <v>288.25520581000001</v>
      </c>
      <c r="Z87" s="614">
        <f t="shared" si="23"/>
        <v>353.88852892</v>
      </c>
      <c r="AA87" s="614">
        <f t="shared" si="23"/>
        <v>416.12896215000001</v>
      </c>
      <c r="AB87" s="614">
        <f t="shared" si="23"/>
        <v>479.61496113999999</v>
      </c>
      <c r="AC87" s="614">
        <f t="shared" si="23"/>
        <v>544.12580801000001</v>
      </c>
      <c r="AD87" s="614">
        <f t="shared" si="23"/>
        <v>606.77441475000001</v>
      </c>
      <c r="AE87" s="614">
        <f t="shared" si="23"/>
        <v>669.83308236999994</v>
      </c>
      <c r="AF87" s="614">
        <f t="shared" si="23"/>
        <v>738.28993108999998</v>
      </c>
      <c r="AG87" s="158"/>
      <c r="AH87" s="158"/>
      <c r="AI87"/>
      <c r="AJ87" s="624" t="s">
        <v>93</v>
      </c>
      <c r="AK87" s="625">
        <f>+AJ66</f>
        <v>93.517834219999983</v>
      </c>
      <c r="AL87" s="625">
        <f t="shared" ref="AL87:AV87" si="24">+AK87+AK66</f>
        <v>188.74634171</v>
      </c>
      <c r="AM87" s="625">
        <f t="shared" si="24"/>
        <v>277.98371209999999</v>
      </c>
      <c r="AN87" s="625">
        <f t="shared" si="24"/>
        <v>386.27429792999999</v>
      </c>
      <c r="AO87" s="625">
        <f t="shared" si="24"/>
        <v>486.05707548999993</v>
      </c>
      <c r="AP87" s="625">
        <f t="shared" si="24"/>
        <v>575.46857036999995</v>
      </c>
      <c r="AQ87" s="625">
        <f t="shared" si="24"/>
        <v>690.77906196999993</v>
      </c>
      <c r="AR87" s="625">
        <f t="shared" si="24"/>
        <v>797.76080407999996</v>
      </c>
      <c r="AS87" s="625">
        <f t="shared" si="24"/>
        <v>896.35169661999998</v>
      </c>
      <c r="AT87" s="625">
        <f t="shared" si="24"/>
        <v>989.04719665999994</v>
      </c>
      <c r="AU87" s="625">
        <f t="shared" si="24"/>
        <v>1085.0200893199999</v>
      </c>
      <c r="AV87" s="625">
        <f t="shared" si="24"/>
        <v>1177.6993948899999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M62:AM63"/>
    <mergeCell ref="AN62:AN63"/>
    <mergeCell ref="AO62:AO63"/>
    <mergeCell ref="AP62:AP63"/>
    <mergeCell ref="AQ62:AQ63"/>
    <mergeCell ref="AR62:AR63"/>
    <mergeCell ref="AL62:AL63"/>
    <mergeCell ref="AB62:AB63"/>
    <mergeCell ref="AD83:AD84"/>
    <mergeCell ref="AE83:AE84"/>
    <mergeCell ref="AF83:AF84"/>
    <mergeCell ref="AJ62:AJ63"/>
    <mergeCell ref="AT62:AT63"/>
    <mergeCell ref="AU62:AU63"/>
    <mergeCell ref="AV62:AV63"/>
    <mergeCell ref="AK62:AK63"/>
    <mergeCell ref="AJ83:AJ84"/>
    <mergeCell ref="AK83:AK84"/>
    <mergeCell ref="AL83:AL84"/>
    <mergeCell ref="AM83:AM84"/>
    <mergeCell ref="AN83:AN84"/>
    <mergeCell ref="AO83:AO84"/>
    <mergeCell ref="AV83:AV84"/>
    <mergeCell ref="AP83:AP84"/>
    <mergeCell ref="AQ83:AQ84"/>
    <mergeCell ref="AR83:AR84"/>
    <mergeCell ref="AS83:AS84"/>
    <mergeCell ref="AT83:AT84"/>
    <mergeCell ref="AU83:AU84"/>
    <mergeCell ref="AS62:AS63"/>
    <mergeCell ref="AI62:AI63"/>
    <mergeCell ref="Y62:Y63"/>
    <mergeCell ref="AC62:AC63"/>
    <mergeCell ref="U83:U84"/>
    <mergeCell ref="V83:V84"/>
    <mergeCell ref="W83:W84"/>
    <mergeCell ref="X83:X84"/>
    <mergeCell ref="Y83:Y84"/>
    <mergeCell ref="Z83:Z84"/>
    <mergeCell ref="AA83:AA84"/>
    <mergeCell ref="AB83:AB84"/>
    <mergeCell ref="AC83:AC84"/>
    <mergeCell ref="AD62:AD63"/>
    <mergeCell ref="AE62:AE63"/>
    <mergeCell ref="AF62:AF63"/>
    <mergeCell ref="H83:H84"/>
    <mergeCell ref="I83:I84"/>
    <mergeCell ref="J83:J84"/>
    <mergeCell ref="M62:M63"/>
    <mergeCell ref="N62:N63"/>
    <mergeCell ref="X62:X63"/>
    <mergeCell ref="L62:L63"/>
    <mergeCell ref="B83:B84"/>
    <mergeCell ref="C83:C84"/>
    <mergeCell ref="D83:D84"/>
    <mergeCell ref="E83:E84"/>
    <mergeCell ref="F83:F84"/>
    <mergeCell ref="G83:G84"/>
    <mergeCell ref="K83:K84"/>
    <mergeCell ref="L83:L84"/>
    <mergeCell ref="M83:M84"/>
    <mergeCell ref="N83:N84"/>
    <mergeCell ref="S62:S63"/>
    <mergeCell ref="T62:T63"/>
    <mergeCell ref="T83:T84"/>
    <mergeCell ref="A62:A63"/>
    <mergeCell ref="B62:B63"/>
    <mergeCell ref="C62:C63"/>
    <mergeCell ref="D62:D63"/>
    <mergeCell ref="E62:E63"/>
    <mergeCell ref="F62:F63"/>
    <mergeCell ref="Z62:Z63"/>
    <mergeCell ref="AA62:AA63"/>
    <mergeCell ref="U62:U63"/>
    <mergeCell ref="V62:V63"/>
    <mergeCell ref="W62:W63"/>
    <mergeCell ref="G62:G63"/>
    <mergeCell ref="H62:H63"/>
    <mergeCell ref="I62:I63"/>
    <mergeCell ref="J62:J63"/>
    <mergeCell ref="K62:K63"/>
    <mergeCell ref="AZ44:BA44"/>
    <mergeCell ref="AZ45:BA45"/>
    <mergeCell ref="B47:L47"/>
    <mergeCell ref="M47:P47"/>
    <mergeCell ref="L16:L17"/>
    <mergeCell ref="M16:M17"/>
    <mergeCell ref="N37:N38"/>
    <mergeCell ref="AI16:AI17"/>
    <mergeCell ref="AJ16:AJ17"/>
    <mergeCell ref="AK16:AK17"/>
    <mergeCell ref="AT47:AX47"/>
    <mergeCell ref="AJ47:AS47"/>
    <mergeCell ref="AD47:AH47"/>
    <mergeCell ref="T47:AC47"/>
    <mergeCell ref="AD19:AE19"/>
    <mergeCell ref="T23:U23"/>
    <mergeCell ref="T19:U20"/>
    <mergeCell ref="T21:U21"/>
    <mergeCell ref="T22:U22"/>
    <mergeCell ref="V19:W19"/>
    <mergeCell ref="X19:Y19"/>
    <mergeCell ref="Z19:AA19"/>
    <mergeCell ref="AB19:AC19"/>
    <mergeCell ref="H16:H17"/>
    <mergeCell ref="AZ43:BA43"/>
    <mergeCell ref="A16:A17"/>
    <mergeCell ref="B16:B17"/>
    <mergeCell ref="C16:C17"/>
    <mergeCell ref="D16:D17"/>
    <mergeCell ref="E16:E17"/>
    <mergeCell ref="J16:J17"/>
    <mergeCell ref="K16:K17"/>
    <mergeCell ref="N16:N17"/>
    <mergeCell ref="D37:D38"/>
    <mergeCell ref="AL16:AL17"/>
    <mergeCell ref="AM16:AM17"/>
    <mergeCell ref="AT16:AT17"/>
    <mergeCell ref="AN16:AN17"/>
    <mergeCell ref="AP16:AP17"/>
    <mergeCell ref="AZ42:BA42"/>
    <mergeCell ref="AO37:AO38"/>
    <mergeCell ref="AY16:AY17"/>
    <mergeCell ref="AO16:AO17"/>
    <mergeCell ref="AN37:AN38"/>
    <mergeCell ref="BA37:BA38"/>
    <mergeCell ref="AR16:AR17"/>
    <mergeCell ref="AS16:AS17"/>
    <mergeCell ref="AU16:AU17"/>
    <mergeCell ref="AV16:AV17"/>
    <mergeCell ref="B1:L1"/>
    <mergeCell ref="M1:P1"/>
    <mergeCell ref="H37:H38"/>
    <mergeCell ref="I37:I38"/>
    <mergeCell ref="J37:J38"/>
    <mergeCell ref="K37:K38"/>
    <mergeCell ref="L37:L38"/>
    <mergeCell ref="M37:M38"/>
    <mergeCell ref="B37:B38"/>
    <mergeCell ref="C37:C38"/>
    <mergeCell ref="E37:E38"/>
    <mergeCell ref="F37:F38"/>
    <mergeCell ref="G37:G38"/>
    <mergeCell ref="I16:I17"/>
    <mergeCell ref="F16:F17"/>
    <mergeCell ref="G16:G17"/>
    <mergeCell ref="T1:AD1"/>
    <mergeCell ref="BJ1:BN1"/>
    <mergeCell ref="BA16:BA17"/>
    <mergeCell ref="BB16:BB17"/>
    <mergeCell ref="BC16:BC17"/>
    <mergeCell ref="BD16:BD17"/>
    <mergeCell ref="BE16:BE17"/>
    <mergeCell ref="BF16:BF17"/>
    <mergeCell ref="AZ16:AZ17"/>
    <mergeCell ref="BK16:BK17"/>
    <mergeCell ref="BG16:BG17"/>
    <mergeCell ref="BH16:BH17"/>
    <mergeCell ref="BO37:BO38"/>
    <mergeCell ref="BI37:BI38"/>
    <mergeCell ref="BJ37:BJ38"/>
    <mergeCell ref="BK37:BK38"/>
    <mergeCell ref="BH37:BH38"/>
    <mergeCell ref="BI16:BI17"/>
    <mergeCell ref="BJ16:BJ17"/>
    <mergeCell ref="BL16:BL17"/>
    <mergeCell ref="BL37:BL38"/>
    <mergeCell ref="BM37:BM38"/>
    <mergeCell ref="BN37:BN38"/>
    <mergeCell ref="AE1:AH1"/>
    <mergeCell ref="BD37:BD38"/>
    <mergeCell ref="BE37:BE38"/>
    <mergeCell ref="BF37:BF38"/>
    <mergeCell ref="BG37:BG38"/>
    <mergeCell ref="AQ16:AQ17"/>
    <mergeCell ref="AK37:AK38"/>
    <mergeCell ref="AL37:AL38"/>
    <mergeCell ref="AM37:AM38"/>
    <mergeCell ref="AZ1:BI1"/>
    <mergeCell ref="AT1:AX1"/>
    <mergeCell ref="AJ1:AS1"/>
    <mergeCell ref="AP37:AP38"/>
    <mergeCell ref="AQ37:AQ38"/>
    <mergeCell ref="AR37:AR38"/>
    <mergeCell ref="AS37:AS38"/>
    <mergeCell ref="AT37:AT38"/>
    <mergeCell ref="AU37:AU38"/>
    <mergeCell ref="AJ37:AJ38"/>
    <mergeCell ref="AY37:AY38"/>
    <mergeCell ref="BC37:BC38"/>
    <mergeCell ref="AV37:AV38"/>
    <mergeCell ref="AZ37:AZ38"/>
    <mergeCell ref="BB37:BB38"/>
  </mergeCells>
  <conditionalFormatting sqref="AX18:AX22 P21:R22 S24:AH25 Q18:R20 S21:T23 V21:AH23">
    <cfRule type="cellIs" dxfId="420" priority="20" operator="lessThan">
      <formula>0</formula>
    </cfRule>
  </conditionalFormatting>
  <conditionalFormatting sqref="O41">
    <cfRule type="cellIs" dxfId="419" priority="19" operator="lessThan">
      <formula>0</formula>
    </cfRule>
  </conditionalFormatting>
  <conditionalFormatting sqref="BN21:BN22">
    <cfRule type="cellIs" dxfId="418" priority="16" operator="lessThan">
      <formula>0</formula>
    </cfRule>
  </conditionalFormatting>
  <conditionalFormatting sqref="BB43:BB46">
    <cfRule type="cellIs" dxfId="417" priority="15" operator="greaterThan">
      <formula>0</formula>
    </cfRule>
  </conditionalFormatting>
  <conditionalFormatting sqref="AX18:AX20">
    <cfRule type="cellIs" dxfId="416" priority="14" operator="lessThan">
      <formula>0</formula>
    </cfRule>
  </conditionalFormatting>
  <conditionalFormatting sqref="BN18:BN20">
    <cfRule type="cellIs" dxfId="415" priority="11" operator="greaterThan">
      <formula>0</formula>
    </cfRule>
  </conditionalFormatting>
  <conditionalFormatting sqref="P18:P20">
    <cfRule type="cellIs" dxfId="414" priority="10" operator="lessThan">
      <formula>0</formula>
    </cfRule>
  </conditionalFormatting>
  <conditionalFormatting sqref="P67:P68">
    <cfRule type="cellIs" dxfId="413" priority="9" operator="lessThan">
      <formula>0</formula>
    </cfRule>
  </conditionalFormatting>
  <conditionalFormatting sqref="P64:P66">
    <cfRule type="cellIs" dxfId="412" priority="7" operator="lessThan">
      <formula>0</formula>
    </cfRule>
  </conditionalFormatting>
  <conditionalFormatting sqref="AH67:AH68">
    <cfRule type="cellIs" dxfId="411" priority="6" operator="lessThan">
      <formula>0</formula>
    </cfRule>
  </conditionalFormatting>
  <conditionalFormatting sqref="AH64:AH66">
    <cfRule type="cellIs" dxfId="410" priority="4" operator="greaterThan">
      <formula>0</formula>
    </cfRule>
  </conditionalFormatting>
  <conditionalFormatting sqref="AX67:AX68">
    <cfRule type="cellIs" dxfId="409" priority="3" operator="lessThan">
      <formula>0</formula>
    </cfRule>
  </conditionalFormatting>
  <conditionalFormatting sqref="AX64:AX66">
    <cfRule type="cellIs" dxfId="408" priority="1" operator="lessThan">
      <formula>0</formula>
    </cfRule>
  </conditionalFormatting>
  <pageMargins left="0.39370078740157483" right="0.19685039370078741" top="0.56000000000000005" bottom="0.17" header="0.31496062992125984" footer="0.31496062992125984"/>
  <pageSetup paperSize="9" scale="72" pageOrder="overThenDown" orientation="portrait" r:id="rId1"/>
  <rowBreaks count="1" manualBreakCount="1">
    <brk id="46" max="16383" man="1"/>
  </rowBreaks>
  <colBreaks count="2" manualBreakCount="2">
    <brk id="16" max="87" man="1"/>
    <brk id="34" max="1048575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topLeftCell="L1" zoomScale="82" zoomScaleNormal="100" zoomScalePageLayoutView="82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6.25" style="158" bestFit="1" customWidth="1"/>
    <col min="3" max="3" width="5.375" style="158" bestFit="1" customWidth="1"/>
    <col min="4" max="4" width="6.25" style="158" bestFit="1" customWidth="1"/>
    <col min="5" max="14" width="6.6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6.625" bestFit="1" customWidth="1"/>
    <col min="48" max="48" width="6.75" bestFit="1" customWidth="1"/>
    <col min="49" max="49" width="7.75" bestFit="1" customWidth="1"/>
    <col min="50" max="50" width="7" bestFit="1" customWidth="1"/>
    <col min="51" max="51" width="8.625" customWidth="1"/>
    <col min="52" max="67" width="7" bestFit="1" customWidth="1"/>
    <col min="68" max="68" width="9.125" customWidth="1"/>
  </cols>
  <sheetData>
    <row r="1" spans="1:66" ht="27" thickBot="1" x14ac:dyDescent="0.25">
      <c r="A1" s="248">
        <v>1020</v>
      </c>
      <c r="B1" s="817" t="str">
        <f>+VLOOKUP($A$1,data!$A$4:$AH$32,2,0)</f>
        <v>น่าน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1020</v>
      </c>
      <c r="T1" s="817" t="str">
        <f>+VLOOKUP($A$1,data!$A$4:$AH$32,2,0)</f>
        <v>น่าน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1020</v>
      </c>
      <c r="AJ1" s="817" t="str">
        <f>+VLOOKUP($A$1,data!$A$4:$AH$32,2,0)</f>
        <v>น่าน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1020</v>
      </c>
      <c r="AZ1" s="817" t="str">
        <f>+VLOOKUP($A$1,data!$A$4:$AH$32,2,0)</f>
        <v>น่าน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15</v>
      </c>
      <c r="C18" s="406">
        <f>+VLOOKUP($A$1,data!$A$37:$AU$67,36)</f>
        <v>79</v>
      </c>
      <c r="D18" s="406">
        <f>+VLOOKUP($A$1,data!$A$37:$AU$67,37)</f>
        <v>21</v>
      </c>
      <c r="E18" s="406">
        <f>+VLOOKUP($A$1,data!$A$37:$AU$67,38)</f>
        <v>45</v>
      </c>
      <c r="F18" s="406">
        <f>+VLOOKUP($A$1,data!$A$37:$AU$67,39)</f>
        <v>29</v>
      </c>
      <c r="G18" s="406">
        <f>+VLOOKUP($A$1,data!$A$37:$AU$67,40)</f>
        <v>76</v>
      </c>
      <c r="H18" s="406">
        <f>+VLOOKUP($A$1,data!$A$37:$AU$67,41)</f>
        <v>24</v>
      </c>
      <c r="I18" s="406">
        <f>+VLOOKUP($A$1,data!$A$37:$AU$67,42)</f>
        <v>47</v>
      </c>
      <c r="J18" s="406">
        <f>+VLOOKUP($A$1,data!$A$37:$AU$67,43)</f>
        <v>83</v>
      </c>
      <c r="K18" s="406">
        <f>+VLOOKUP($A$1,data!$A$37:$AU$67,44)</f>
        <v>11</v>
      </c>
      <c r="L18" s="406">
        <f>+VLOOKUP($A$1,data!$A$37:$AU$67,45)</f>
        <v>37</v>
      </c>
      <c r="M18" s="406">
        <f>+VLOOKUP($A$1,data!$A$37:$AU$67,46)</f>
        <v>61</v>
      </c>
      <c r="N18" s="406">
        <f>SUM(B18:M18)</f>
        <v>528</v>
      </c>
      <c r="O18" s="406">
        <f>SUM(B18:M18)</f>
        <v>528</v>
      </c>
      <c r="P18" s="407">
        <f>+O20-O18</f>
        <v>-71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0.264405</v>
      </c>
      <c r="AK18" s="418">
        <f>+VLOOKUP($A$1,data!$A$69:$AU$99,36)</f>
        <v>0.29849100000000001</v>
      </c>
      <c r="AL18" s="418">
        <f>+VLOOKUP($A$1,data!$A$69:$AU$99,37)</f>
        <v>0.28104299999999999</v>
      </c>
      <c r="AM18" s="418">
        <f>+VLOOKUP($A$1,data!$A$69:$AU$99,38)</f>
        <v>0.28664499999999998</v>
      </c>
      <c r="AN18" s="418">
        <f>+VLOOKUP($A$1,data!$A$69:$AU$99,39)</f>
        <v>0.27131</v>
      </c>
      <c r="AO18" s="418">
        <f>+VLOOKUP($A$1,data!$A$69:$AU$99,40)</f>
        <v>0.26740599999999998</v>
      </c>
      <c r="AP18" s="418">
        <f>+VLOOKUP($A$1,data!$A$69:$AU$99,41)</f>
        <v>0.30878499999999998</v>
      </c>
      <c r="AQ18" s="418">
        <f>+VLOOKUP($A$1,data!$A$69:$AU$99,42)</f>
        <v>0.314253</v>
      </c>
      <c r="AR18" s="418">
        <f>+VLOOKUP($A$1,data!$A$69:$AU$99,43)</f>
        <v>0.30951200000000001</v>
      </c>
      <c r="AS18" s="418">
        <f>+VLOOKUP($A$1,data!$A$69:$AU$99,44)</f>
        <v>0.29839500000000002</v>
      </c>
      <c r="AT18" s="418">
        <f>+VLOOKUP($A$1,data!$A$69:$AU$99,45)</f>
        <v>0.26188400000000001</v>
      </c>
      <c r="AU18" s="418">
        <f>+VLOOKUP($A$1,data!$A$69:$AU$99,46)</f>
        <v>0.29569299999999998</v>
      </c>
      <c r="AV18" s="418">
        <f>SUM(AJ18:AU18)</f>
        <v>3.4578220000000002</v>
      </c>
      <c r="AW18" s="418">
        <f>SUM(AJ18:AU18)</f>
        <v>3.4578220000000002</v>
      </c>
      <c r="AX18" s="419">
        <f>+AW20-AW18</f>
        <v>7.0637000000000061E-2</v>
      </c>
      <c r="AY18" s="308" t="s">
        <v>92</v>
      </c>
      <c r="AZ18" s="309">
        <f>+VLOOKUP($A$1,data!$A$101:$AU$131,35)</f>
        <v>9.0307999999999999E-2</v>
      </c>
      <c r="BA18" s="309">
        <f>+VLOOKUP($A$1,data!$A$101:$AU$131,36)</f>
        <v>0.112399</v>
      </c>
      <c r="BB18" s="309">
        <f>+VLOOKUP($A$1,data!$A$101:$AU$131,37)</f>
        <v>0.106876</v>
      </c>
      <c r="BC18" s="309">
        <f>+VLOOKUP($A$1,data!$A$101:$AU$131,38)</f>
        <v>0.10383299999999999</v>
      </c>
      <c r="BD18" s="309">
        <f>+VLOOKUP($A$1,data!$A$101:$AU$131,39)</f>
        <v>8.7499999999999994E-2</v>
      </c>
      <c r="BE18" s="309">
        <f>+VLOOKUP($A$1,data!$A$101:$AU$131,40)</f>
        <v>0.10222299999999999</v>
      </c>
      <c r="BF18" s="309">
        <f>+VLOOKUP($A$1,data!$A$101:$AU$131,41)</f>
        <v>8.6636000000000005E-2</v>
      </c>
      <c r="BG18" s="309">
        <f>+VLOOKUP($A$1,data!$A$101:$AU$131,42)</f>
        <v>9.1994999999999993E-2</v>
      </c>
      <c r="BH18" s="309">
        <f>+VLOOKUP($A$1,data!$A$101:$AU$131,43)</f>
        <v>5.8399E-2</v>
      </c>
      <c r="BI18" s="309">
        <f>+VLOOKUP($A$1,data!$A$101:$AU$131,44)</f>
        <v>9.7920999999999994E-2</v>
      </c>
      <c r="BJ18" s="309">
        <f>+VLOOKUP($A$1,data!$A$101:$AU$131,45)</f>
        <v>0.131163</v>
      </c>
      <c r="BK18" s="309">
        <f>+VLOOKUP($A$1,data!$A$101:$AU$131,46)</f>
        <v>0.11151800000000001</v>
      </c>
      <c r="BL18" s="309">
        <f>SUM(AZ18:BK18)</f>
        <v>1.180771</v>
      </c>
      <c r="BM18" s="309">
        <f>SUM(AZ18:BK18)</f>
        <v>1.180771</v>
      </c>
      <c r="BN18" s="310">
        <f>+BM20-BM18</f>
        <v>0.22820699999999983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55.29244712990937</v>
      </c>
      <c r="C19" s="409">
        <f>+VLOOKUP($A$1,data!$A$37:$AU$67,20)</f>
        <v>83.526888217522668</v>
      </c>
      <c r="D19" s="409">
        <f>+VLOOKUP($A$1,data!$A$37:$AU$67,21)</f>
        <v>34.116616314199398</v>
      </c>
      <c r="E19" s="409">
        <f>+VLOOKUP($A$1,data!$A$37:$AU$67,22)</f>
        <v>47.057401812688823</v>
      </c>
      <c r="F19" s="409">
        <f>+VLOOKUP($A$1,data!$A$37:$AU$67,23)</f>
        <v>45.096676737160124</v>
      </c>
      <c r="G19" s="409">
        <f>+VLOOKUP($A$1,data!$A$37:$AU$67,24)</f>
        <v>81.174018126888228</v>
      </c>
      <c r="H19" s="409">
        <f>+VLOOKUP($A$1,data!$A$37:$AU$67,25)</f>
        <v>44.704531722054377</v>
      </c>
      <c r="I19" s="409">
        <f>+VLOOKUP($A$1,data!$A$37:$AU$67,26)</f>
        <v>51.76314199395771</v>
      </c>
      <c r="J19" s="409">
        <f>+VLOOKUP($A$1,data!$A$37:$AU$67,27)</f>
        <v>72.154682779456195</v>
      </c>
      <c r="K19" s="409">
        <f>+VLOOKUP($A$1,data!$A$37:$AU$67,28)</f>
        <v>34.900906344410878</v>
      </c>
      <c r="L19" s="409">
        <f>+VLOOKUP($A$1,data!$A$37:$AU$67,29)</f>
        <v>59.606042296072509</v>
      </c>
      <c r="M19" s="409">
        <f>+VLOOKUP($A$1,data!$A$37:$AU$67,30)</f>
        <v>39.606646525679757</v>
      </c>
      <c r="N19" s="409">
        <f>SUM(B19:M19)</f>
        <v>648.99999999999989</v>
      </c>
      <c r="O19" s="630">
        <f t="shared" ref="O19:O20" si="0">SUM(B19:M19)</f>
        <v>648.99999999999989</v>
      </c>
      <c r="P19" s="412">
        <f>+O20-O19</f>
        <v>-191.99999999999989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0.27886899999999998</v>
      </c>
      <c r="AK19" s="423">
        <f>+VLOOKUP($A$1,data!$A$69:$AU$99,20)</f>
        <v>0.29661500000000002</v>
      </c>
      <c r="AL19" s="423">
        <f>+VLOOKUP($A$1,data!$A$69:$AU$99,21)</f>
        <v>0.29128300000000001</v>
      </c>
      <c r="AM19" s="423">
        <f>+VLOOKUP($A$1,data!$A$69:$AU$99,22)</f>
        <v>0.31084899999999999</v>
      </c>
      <c r="AN19" s="423">
        <f>+VLOOKUP($A$1,data!$A$69:$AU$99,23)</f>
        <v>0.27248600000000001</v>
      </c>
      <c r="AO19" s="423">
        <f>+VLOOKUP($A$1,data!$A$69:$AU$99,24)</f>
        <v>0.27903699999999998</v>
      </c>
      <c r="AP19" s="423">
        <f>+VLOOKUP($A$1,data!$A$69:$AU$99,25)</f>
        <v>0.31644600000000001</v>
      </c>
      <c r="AQ19" s="423">
        <f>+VLOOKUP($A$1,data!$A$69:$AU$99,26)</f>
        <v>0.31923000000000001</v>
      </c>
      <c r="AR19" s="423">
        <f>+VLOOKUP($A$1,data!$A$69:$AU$99,27)</f>
        <v>0.31953999999999999</v>
      </c>
      <c r="AS19" s="423">
        <f>+VLOOKUP($A$1,data!$A$69:$AU$99,28)</f>
        <v>0.30927100000000002</v>
      </c>
      <c r="AT19" s="423">
        <f>+VLOOKUP($A$1,data!$A$69:$AU$99,29)</f>
        <v>0.29198800000000003</v>
      </c>
      <c r="AU19" s="423">
        <f>+VLOOKUP($A$1,data!$A$69:$AU$99,30)</f>
        <v>0.30202600000000002</v>
      </c>
      <c r="AV19" s="423">
        <f>SUM(AJ19:AU19)</f>
        <v>3.5876399999999999</v>
      </c>
      <c r="AW19" s="424">
        <f t="shared" ref="AW19:AW20" si="1">SUM(AJ19:AU19)</f>
        <v>3.5876399999999999</v>
      </c>
      <c r="AX19" s="425">
        <f>+AW20-AW19</f>
        <v>-5.9180999999999706E-2</v>
      </c>
      <c r="AY19" s="311" t="s">
        <v>94</v>
      </c>
      <c r="AZ19" s="312">
        <f>+VLOOKUP($A$1,data!$A$101:$AU$131,19)</f>
        <v>0.13814799999999999</v>
      </c>
      <c r="BA19" s="312">
        <f>+VLOOKUP($A$1,data!$A$101:$AU$131,20)</f>
        <v>0.135237</v>
      </c>
      <c r="BB19" s="312">
        <f>+VLOOKUP($A$1,data!$A$101:$AU$131,21)</f>
        <v>0.14594699999999999</v>
      </c>
      <c r="BC19" s="312">
        <f>+VLOOKUP($A$1,data!$A$101:$AU$131,22)</f>
        <v>0.125227</v>
      </c>
      <c r="BD19" s="312">
        <f>+VLOOKUP($A$1,data!$A$101:$AU$131,23)</f>
        <v>0.113763</v>
      </c>
      <c r="BE19" s="312">
        <f>+VLOOKUP($A$1,data!$A$101:$AU$131,24)</f>
        <v>0.12135</v>
      </c>
      <c r="BF19" s="312">
        <f>+VLOOKUP($A$1,data!$A$101:$AU$131,25)</f>
        <v>0.116815</v>
      </c>
      <c r="BG19" s="312">
        <f>+VLOOKUP($A$1,data!$A$101:$AU$131,26)</f>
        <v>0.117995</v>
      </c>
      <c r="BH19" s="312">
        <f>+VLOOKUP($A$1,data!$A$101:$AU$131,27)</f>
        <v>0.10388</v>
      </c>
      <c r="BI19" s="312">
        <f>+VLOOKUP($A$1,data!$A$101:$AU$131,28)</f>
        <v>0.109816</v>
      </c>
      <c r="BJ19" s="312">
        <f>+VLOOKUP($A$1,data!$A$101:$AU$131,29)</f>
        <v>0.122541</v>
      </c>
      <c r="BK19" s="312">
        <f>+VLOOKUP($A$1,data!$A$101:$AU$131,30)</f>
        <v>0.114651</v>
      </c>
      <c r="BL19" s="312">
        <f>SUM(AZ19:BK19)</f>
        <v>1.4653700000000001</v>
      </c>
      <c r="BM19" s="313">
        <f t="shared" ref="BM19:BM20" si="2">SUM(AZ19:BK19)</f>
        <v>1.4653700000000001</v>
      </c>
      <c r="BN19" s="314">
        <f>+BM20-BM19</f>
        <v>-5.639200000000022E-2</v>
      </c>
    </row>
    <row r="20" spans="1:66" s="247" customFormat="1" ht="19.5" thickBot="1" x14ac:dyDescent="0.35">
      <c r="A20" s="413" t="s">
        <v>93</v>
      </c>
      <c r="B20" s="414">
        <f>+VLOOKUP($A$1,data!$A$37:$AU$67,3)</f>
        <v>37</v>
      </c>
      <c r="C20" s="414">
        <f>+VLOOKUP($A$1,data!$A$37:$AU$67,4)</f>
        <v>21</v>
      </c>
      <c r="D20" s="414">
        <f>+VLOOKUP($A$1,data!$A$37:$AU$67,5)</f>
        <v>17</v>
      </c>
      <c r="E20" s="414">
        <f>+VLOOKUP($A$1,data!$A$37:$AU$67,6)</f>
        <v>49</v>
      </c>
      <c r="F20" s="414">
        <f>+VLOOKUP($A$1,data!$A$37:$AU$67,7)</f>
        <v>54</v>
      </c>
      <c r="G20" s="414">
        <f>+VLOOKUP($A$1,data!$A$37:$AU$67,8)</f>
        <v>33</v>
      </c>
      <c r="H20" s="414">
        <f>+VLOOKUP($A$1,data!$A$37:$AU$67,9)</f>
        <v>25</v>
      </c>
      <c r="I20" s="414">
        <f>+VLOOKUP($A$1,data!$A$37:$AU$67,10)</f>
        <v>52</v>
      </c>
      <c r="J20" s="414">
        <f>+VLOOKUP($A$1,data!$A$37:$AU$67,11)</f>
        <v>30</v>
      </c>
      <c r="K20" s="414">
        <f>+VLOOKUP($A$1,data!$A$37:$AU$67,12)</f>
        <v>37</v>
      </c>
      <c r="L20" s="414">
        <f>+VLOOKUP($A$1,data!$A$37:$AU$67,13)</f>
        <v>38</v>
      </c>
      <c r="M20" s="414">
        <f>+VLOOKUP($A$1,data!$A$37:$AU$67,14)</f>
        <v>64</v>
      </c>
      <c r="N20" s="414">
        <f>SUM(B20:M20)</f>
        <v>457</v>
      </c>
      <c r="O20" s="631">
        <f t="shared" si="0"/>
        <v>457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0.27932499999999999</v>
      </c>
      <c r="AK20" s="420">
        <f>+VLOOKUP($A$1,data!$A$69:$AU$99,4)</f>
        <v>0.277258</v>
      </c>
      <c r="AL20" s="420">
        <f>+VLOOKUP($A$1,data!$A$69:$AU$99,5)</f>
        <v>0.28963699999999998</v>
      </c>
      <c r="AM20" s="420">
        <f>+VLOOKUP($A$1,data!$A$69:$AU$99,6)</f>
        <v>0.30420700000000001</v>
      </c>
      <c r="AN20" s="420">
        <f>+VLOOKUP($A$1,data!$A$69:$AU$99,7)</f>
        <v>0.28287299999999999</v>
      </c>
      <c r="AO20" s="420">
        <f>+VLOOKUP($A$1,data!$A$69:$AU$99,8)</f>
        <v>0.280918</v>
      </c>
      <c r="AP20" s="420">
        <f>+VLOOKUP($A$1,data!$A$69:$AU$99,9)</f>
        <v>0.32759899999999997</v>
      </c>
      <c r="AQ20" s="420">
        <f>+VLOOKUP($A$1,data!$A$69:$AU$99,10)</f>
        <v>0.29940499999999998</v>
      </c>
      <c r="AR20" s="420">
        <f>+VLOOKUP($A$1,data!$A$69:$AU$99,11)</f>
        <v>0.30396299999999998</v>
      </c>
      <c r="AS20" s="420">
        <f>+VLOOKUP($A$1,data!$A$69:$AU$99,12)</f>
        <v>0.30037900000000001</v>
      </c>
      <c r="AT20" s="420">
        <f>+VLOOKUP($A$1,data!$A$69:$AU$99,13)</f>
        <v>0.29159499999999999</v>
      </c>
      <c r="AU20" s="420">
        <f>+VLOOKUP($A$1,data!$A$69:$AU$99,14)</f>
        <v>0.2913</v>
      </c>
      <c r="AV20" s="420">
        <f>SUM(AJ20:AU20)</f>
        <v>3.5284590000000002</v>
      </c>
      <c r="AW20" s="421">
        <f t="shared" si="1"/>
        <v>3.5284590000000002</v>
      </c>
      <c r="AX20" s="422"/>
      <c r="AY20" s="315" t="s">
        <v>93</v>
      </c>
      <c r="AZ20" s="316">
        <f>+VLOOKUP($A$1,data!$A$101:$AU$131,3)</f>
        <v>0.118745</v>
      </c>
      <c r="BA20" s="316">
        <f>+VLOOKUP($A$1,data!$A$101:$AU$131,4)</f>
        <v>0.11953900000000001</v>
      </c>
      <c r="BB20" s="316">
        <f>+VLOOKUP($A$1,data!$A$101:$AU$131,5)</f>
        <v>0.118895</v>
      </c>
      <c r="BC20" s="316">
        <f>+VLOOKUP($A$1,data!$A$101:$AU$131,6)</f>
        <v>0.122174</v>
      </c>
      <c r="BD20" s="316">
        <f>+VLOOKUP($A$1,data!$A$101:$AU$131,7)</f>
        <v>0.105571</v>
      </c>
      <c r="BE20" s="316">
        <f>+VLOOKUP($A$1,data!$A$101:$AU$131,8)</f>
        <v>0.113478</v>
      </c>
      <c r="BF20" s="316">
        <f>+VLOOKUP($A$1,data!$A$101:$AU$131,9)</f>
        <v>0.11702899999999999</v>
      </c>
      <c r="BG20" s="316">
        <f>+VLOOKUP($A$1,data!$A$101:$AU$131,10)</f>
        <v>0.127079</v>
      </c>
      <c r="BH20" s="316">
        <f>+VLOOKUP($A$1,data!$A$101:$AU$131,11)</f>
        <v>0.117171</v>
      </c>
      <c r="BI20" s="316">
        <f>+VLOOKUP($A$1,data!$A$101:$AU$131,12)</f>
        <v>0.11740299999999999</v>
      </c>
      <c r="BJ20" s="316">
        <f>+VLOOKUP($A$1,data!$A$101:$AU$131,13)</f>
        <v>0.116394</v>
      </c>
      <c r="BK20" s="316">
        <f>+VLOOKUP($A$1,data!$A$101:$AU$131,14)</f>
        <v>0.11550000000000001</v>
      </c>
      <c r="BL20" s="316">
        <f>SUM(AZ20:BK20)</f>
        <v>1.4089779999999998</v>
      </c>
      <c r="BM20" s="317">
        <f t="shared" si="2"/>
        <v>1.4089779999999998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166.93595166163144</v>
      </c>
      <c r="W21" s="671">
        <f>+VLOOKUP($A$1,data!$A$261:$AK$291,16)</f>
        <v>73</v>
      </c>
      <c r="X21" s="671">
        <f>+VLOOKUP($A$1,data!$A$261:$AK$291,36)</f>
        <v>334.26404833836864</v>
      </c>
      <c r="Y21" s="671">
        <f>+VLOOKUP($A$1,data!$A$261:$AK$291,17)</f>
        <v>203</v>
      </c>
      <c r="Z21" s="671">
        <f>+VLOOKUP($A$1,data!$A$261:$AK$291,37)</f>
        <v>492.88640483383693</v>
      </c>
      <c r="AA21" s="671">
        <f>+VLOOKUP($A$1,data!$A$261:$AK$291,18)</f>
        <v>306</v>
      </c>
      <c r="AB21" s="671">
        <f>+VLOOKUP($A$1,data!$A$261:$AK$291,34)</f>
        <v>609</v>
      </c>
      <c r="AC21" s="671">
        <f>+VLOOKUP($A$1,data!$A$261:$AK$291,15)</f>
        <v>441</v>
      </c>
      <c r="AD21" s="671">
        <f>+AA21-Z21</f>
        <v>-186.88640483383693</v>
      </c>
      <c r="AE21" s="684">
        <f>+AC21-AB21</f>
        <v>-168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6</v>
      </c>
      <c r="W22" s="672">
        <f>+VLOOKUP($A$1,data!$A$229:$AK$259,16)</f>
        <v>2</v>
      </c>
      <c r="X22" s="672">
        <f>+VLOOKUP($A$1,data!$A$229:$AK$259,36)</f>
        <v>12</v>
      </c>
      <c r="Y22" s="672">
        <f>+VLOOKUP($A$1,data!$A$229:$AK$259,17)</f>
        <v>8</v>
      </c>
      <c r="Z22" s="672">
        <f>+VLOOKUP($A$1,data!$A$229:$AK$259,37)</f>
        <v>22</v>
      </c>
      <c r="AA22" s="672">
        <f>+VLOOKUP($A$1,data!$A$229:$AK$259,18)</f>
        <v>12</v>
      </c>
      <c r="AB22" s="672">
        <f>+VLOOKUP($A$1,data!$A$229:$AK$259,34)</f>
        <v>40</v>
      </c>
      <c r="AC22" s="765">
        <f>+VLOOKUP($A$1,data!$A$229:$AK$259,15)</f>
        <v>16</v>
      </c>
      <c r="AD22" s="671">
        <f>+AA22-Z22</f>
        <v>-10</v>
      </c>
      <c r="AE22" s="685">
        <f>+AC22-AB22</f>
        <v>-24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172.93595166163144</v>
      </c>
      <c r="W23" s="689">
        <f t="shared" ref="W23:AC23" si="3">SUM(W21:W22)</f>
        <v>75</v>
      </c>
      <c r="X23" s="689">
        <f t="shared" si="3"/>
        <v>346.26404833836864</v>
      </c>
      <c r="Y23" s="689">
        <f t="shared" si="3"/>
        <v>211</v>
      </c>
      <c r="Z23" s="689">
        <f t="shared" si="3"/>
        <v>514.88640483383688</v>
      </c>
      <c r="AA23" s="689">
        <f t="shared" si="3"/>
        <v>318</v>
      </c>
      <c r="AB23" s="689">
        <f t="shared" si="3"/>
        <v>649</v>
      </c>
      <c r="AC23" s="764">
        <f t="shared" si="3"/>
        <v>457</v>
      </c>
      <c r="AD23" s="689">
        <f>+AA23-Z23</f>
        <v>-196.88640483383688</v>
      </c>
      <c r="AE23" s="686">
        <f>+AC23-AB23</f>
        <v>-192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15</v>
      </c>
      <c r="D39" s="406">
        <f t="shared" ref="D39:N41" si="4">+C39+C18</f>
        <v>94</v>
      </c>
      <c r="E39" s="406">
        <f t="shared" si="4"/>
        <v>115</v>
      </c>
      <c r="F39" s="406">
        <f t="shared" si="4"/>
        <v>160</v>
      </c>
      <c r="G39" s="406">
        <f t="shared" si="4"/>
        <v>189</v>
      </c>
      <c r="H39" s="406">
        <f t="shared" si="4"/>
        <v>265</v>
      </c>
      <c r="I39" s="406">
        <f t="shared" si="4"/>
        <v>289</v>
      </c>
      <c r="J39" s="406">
        <f t="shared" si="4"/>
        <v>336</v>
      </c>
      <c r="K39" s="406">
        <f t="shared" si="4"/>
        <v>419</v>
      </c>
      <c r="L39" s="406">
        <f t="shared" si="4"/>
        <v>430</v>
      </c>
      <c r="M39" s="406">
        <f t="shared" si="4"/>
        <v>467</v>
      </c>
      <c r="N39" s="406">
        <f t="shared" si="4"/>
        <v>528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0.264405</v>
      </c>
      <c r="AL39" s="418">
        <f t="shared" ref="AL39:AV41" si="5">+AK39+AK18</f>
        <v>0.56289600000000006</v>
      </c>
      <c r="AM39" s="418">
        <f t="shared" si="5"/>
        <v>0.84393899999999999</v>
      </c>
      <c r="AN39" s="418">
        <f t="shared" si="5"/>
        <v>1.130584</v>
      </c>
      <c r="AO39" s="418">
        <f t="shared" si="5"/>
        <v>1.401894</v>
      </c>
      <c r="AP39" s="418">
        <f t="shared" si="5"/>
        <v>1.6693</v>
      </c>
      <c r="AQ39" s="418">
        <f t="shared" si="5"/>
        <v>1.9780850000000001</v>
      </c>
      <c r="AR39" s="418">
        <f t="shared" si="5"/>
        <v>2.292338</v>
      </c>
      <c r="AS39" s="418">
        <f t="shared" si="5"/>
        <v>2.6018499999999998</v>
      </c>
      <c r="AT39" s="418">
        <f t="shared" si="5"/>
        <v>2.900245</v>
      </c>
      <c r="AU39" s="418">
        <f t="shared" si="5"/>
        <v>3.1621290000000002</v>
      </c>
      <c r="AV39" s="418">
        <f t="shared" si="5"/>
        <v>3.4578220000000002</v>
      </c>
      <c r="AW39" s="158"/>
      <c r="AX39" s="158"/>
      <c r="AY39" s="308" t="s">
        <v>92</v>
      </c>
      <c r="AZ39" s="717">
        <f>+VLOOKUP($A$1,data!$A$133:$BK$163,26)</f>
        <v>25.440163163202641</v>
      </c>
      <c r="BA39" s="717">
        <f>+VLOOKUP($A$1,data!$A$133:$BK$163,27)</f>
        <v>27.333523016052506</v>
      </c>
      <c r="BB39" s="717">
        <f>+VLOOKUP($A$1,data!$A$133:$BK$163,28)</f>
        <v>27.537199026061863</v>
      </c>
      <c r="BC39" s="717">
        <f>+VLOOKUP($A$1,data!$A$133:$BK$163,29)</f>
        <v>26.819745129124762</v>
      </c>
      <c r="BD39" s="717">
        <f>+VLOOKUP($A$1,data!$A$133:$BK$163,30)</f>
        <v>26.560169849207671</v>
      </c>
      <c r="BE39" s="717">
        <f>+VLOOKUP($A$1,data!$A$133:$BK$163,31)</f>
        <v>24.362672487721213</v>
      </c>
      <c r="BF39" s="717">
        <f>+VLOOKUP($A$1,data!$A$133:$BK$163,32)</f>
        <v>27.598821779264505</v>
      </c>
      <c r="BG39" s="717">
        <f>+VLOOKUP($A$1,data!$A$133:$BK$163,33)</f>
        <v>26.514051846544078</v>
      </c>
      <c r="BH39" s="717">
        <f>+VLOOKUP($A$1,data!$A$133:$BK$163,34)</f>
        <v>21.838402476343159</v>
      </c>
      <c r="BI39" s="717">
        <f>+VLOOKUP($A$1,data!$A$133:$BK$163,35)</f>
        <v>22.585048376365918</v>
      </c>
      <c r="BJ39" s="717">
        <f>+VLOOKUP($A$1,data!$A$133:$BK$163,36)</f>
        <v>15.865628862898514</v>
      </c>
      <c r="BK39" s="717">
        <f>+VLOOKUP($A$1,data!$A$133:$BK$163,37)</f>
        <v>24.374513333078031</v>
      </c>
      <c r="BL39" s="717">
        <f>+VLOOKUP($A$1,data!$A$133:$BK$163,38)</f>
        <v>24.695346467733962</v>
      </c>
      <c r="BM39" s="717">
        <f>+VLOOKUP($A$1,data!$A$133:$BK$163,39)</f>
        <v>33.292044967091989</v>
      </c>
      <c r="BN39" s="717">
        <f>+VLOOKUP($A$1,data!$A$133:$BK$163,40)</f>
        <v>27.36819372081095</v>
      </c>
      <c r="BO39" s="717">
        <f>+VLOOKUP($A$1,data!$A$133:$BK$163,41)</f>
        <v>25.420904126305039</v>
      </c>
    </row>
    <row r="40" spans="1:67" ht="21.75" thickBot="1" x14ac:dyDescent="0.4">
      <c r="A40"/>
      <c r="B40" s="408" t="s">
        <v>94</v>
      </c>
      <c r="C40" s="409">
        <f>+B19</f>
        <v>55.29244712990937</v>
      </c>
      <c r="D40" s="409">
        <f t="shared" si="4"/>
        <v>138.81933534743203</v>
      </c>
      <c r="E40" s="409">
        <f t="shared" si="4"/>
        <v>172.93595166163144</v>
      </c>
      <c r="F40" s="409">
        <f t="shared" si="4"/>
        <v>219.99335347432026</v>
      </c>
      <c r="G40" s="409">
        <f t="shared" si="4"/>
        <v>265.09003021148038</v>
      </c>
      <c r="H40" s="409">
        <f t="shared" si="4"/>
        <v>346.26404833836864</v>
      </c>
      <c r="I40" s="409">
        <f t="shared" si="4"/>
        <v>390.96858006042299</v>
      </c>
      <c r="J40" s="409">
        <f t="shared" si="4"/>
        <v>442.73172205438073</v>
      </c>
      <c r="K40" s="409">
        <f t="shared" si="4"/>
        <v>514.88640483383688</v>
      </c>
      <c r="L40" s="409">
        <f t="shared" si="4"/>
        <v>549.78731117824771</v>
      </c>
      <c r="M40" s="409">
        <f t="shared" si="4"/>
        <v>609.39335347432018</v>
      </c>
      <c r="N40" s="409">
        <f t="shared" si="4"/>
        <v>648.99999999999989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0.27886899999999998</v>
      </c>
      <c r="AL40" s="423">
        <f t="shared" si="5"/>
        <v>0.575484</v>
      </c>
      <c r="AM40" s="423">
        <f t="shared" si="5"/>
        <v>0.86676700000000007</v>
      </c>
      <c r="AN40" s="423">
        <f t="shared" si="5"/>
        <v>1.177616</v>
      </c>
      <c r="AO40" s="423">
        <f t="shared" si="5"/>
        <v>1.450102</v>
      </c>
      <c r="AP40" s="423">
        <f t="shared" si="5"/>
        <v>1.729139</v>
      </c>
      <c r="AQ40" s="423">
        <f t="shared" si="5"/>
        <v>2.045585</v>
      </c>
      <c r="AR40" s="423">
        <f t="shared" si="5"/>
        <v>2.3648150000000001</v>
      </c>
      <c r="AS40" s="423">
        <f t="shared" si="5"/>
        <v>2.684355</v>
      </c>
      <c r="AT40" s="423">
        <f t="shared" si="5"/>
        <v>2.9936259999999999</v>
      </c>
      <c r="AU40" s="423">
        <f t="shared" si="5"/>
        <v>3.2856139999999998</v>
      </c>
      <c r="AV40" s="423">
        <f t="shared" si="5"/>
        <v>3.5876399999999999</v>
      </c>
      <c r="AW40" s="158"/>
      <c r="AX40" s="158"/>
      <c r="AY40" s="311" t="s">
        <v>94</v>
      </c>
      <c r="AZ40" s="718">
        <f>+VLOOKUP($A$1,data!$A$133:$BK$163,22)</f>
        <v>28.999942608465052</v>
      </c>
      <c r="BA40" s="718">
        <f>+$AZ$40</f>
        <v>28.999942608465052</v>
      </c>
      <c r="BB40" s="718">
        <f t="shared" ref="BB40:BO40" si="6">+$AZ$40</f>
        <v>28.999942608465052</v>
      </c>
      <c r="BC40" s="718">
        <f t="shared" si="6"/>
        <v>28.999942608465052</v>
      </c>
      <c r="BD40" s="718">
        <f t="shared" si="6"/>
        <v>28.999942608465052</v>
      </c>
      <c r="BE40" s="718">
        <f t="shared" si="6"/>
        <v>28.999942608465052</v>
      </c>
      <c r="BF40" s="718">
        <f t="shared" si="6"/>
        <v>28.999942608465052</v>
      </c>
      <c r="BG40" s="718">
        <f t="shared" si="6"/>
        <v>28.999942608465052</v>
      </c>
      <c r="BH40" s="718">
        <f t="shared" si="6"/>
        <v>28.999942608465052</v>
      </c>
      <c r="BI40" s="718">
        <f t="shared" si="6"/>
        <v>28.999942608465052</v>
      </c>
      <c r="BJ40" s="718">
        <f t="shared" si="6"/>
        <v>28.999942608465052</v>
      </c>
      <c r="BK40" s="718">
        <f t="shared" si="6"/>
        <v>28.999942608465052</v>
      </c>
      <c r="BL40" s="718">
        <f t="shared" si="6"/>
        <v>28.999942608465052</v>
      </c>
      <c r="BM40" s="718">
        <f t="shared" si="6"/>
        <v>28.999942608465052</v>
      </c>
      <c r="BN40" s="718">
        <f t="shared" si="6"/>
        <v>28.999942608465052</v>
      </c>
      <c r="BO40" s="718">
        <f t="shared" si="6"/>
        <v>28.999942608465052</v>
      </c>
    </row>
    <row r="41" spans="1:67" ht="21.75" thickBot="1" x14ac:dyDescent="0.4">
      <c r="A41"/>
      <c r="B41" s="413" t="s">
        <v>93</v>
      </c>
      <c r="C41" s="414">
        <f>+B20</f>
        <v>37</v>
      </c>
      <c r="D41" s="414">
        <f t="shared" si="4"/>
        <v>58</v>
      </c>
      <c r="E41" s="414">
        <f t="shared" si="4"/>
        <v>75</v>
      </c>
      <c r="F41" s="414">
        <f t="shared" si="4"/>
        <v>124</v>
      </c>
      <c r="G41" s="414">
        <f t="shared" si="4"/>
        <v>178</v>
      </c>
      <c r="H41" s="414">
        <f t="shared" si="4"/>
        <v>211</v>
      </c>
      <c r="I41" s="414">
        <f t="shared" si="4"/>
        <v>236</v>
      </c>
      <c r="J41" s="414">
        <f t="shared" si="4"/>
        <v>288</v>
      </c>
      <c r="K41" s="414">
        <f t="shared" si="4"/>
        <v>318</v>
      </c>
      <c r="L41" s="414">
        <f t="shared" si="4"/>
        <v>355</v>
      </c>
      <c r="M41" s="414">
        <f t="shared" si="4"/>
        <v>393</v>
      </c>
      <c r="N41" s="414">
        <f t="shared" si="4"/>
        <v>457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0.27932499999999999</v>
      </c>
      <c r="AL41" s="420">
        <f t="shared" si="5"/>
        <v>0.55658300000000005</v>
      </c>
      <c r="AM41" s="420">
        <f t="shared" si="5"/>
        <v>0.84621999999999997</v>
      </c>
      <c r="AN41" s="420">
        <f t="shared" si="5"/>
        <v>1.1504270000000001</v>
      </c>
      <c r="AO41" s="420">
        <f t="shared" si="5"/>
        <v>1.4333</v>
      </c>
      <c r="AP41" s="420">
        <f t="shared" si="5"/>
        <v>1.714218</v>
      </c>
      <c r="AQ41" s="420">
        <f t="shared" si="5"/>
        <v>2.041817</v>
      </c>
      <c r="AR41" s="420">
        <f t="shared" si="5"/>
        <v>2.3412220000000001</v>
      </c>
      <c r="AS41" s="420">
        <f t="shared" si="5"/>
        <v>2.6451850000000001</v>
      </c>
      <c r="AT41" s="420">
        <f t="shared" si="5"/>
        <v>2.9455640000000001</v>
      </c>
      <c r="AU41" s="420">
        <f t="shared" si="5"/>
        <v>3.2371590000000001</v>
      </c>
      <c r="AV41" s="420">
        <f t="shared" si="5"/>
        <v>3.5284590000000002</v>
      </c>
      <c r="AW41" s="158"/>
      <c r="AX41" s="158"/>
      <c r="AY41" s="315" t="s">
        <v>93</v>
      </c>
      <c r="AZ41" s="719">
        <f>+VLOOKUP($A$1,data!$A$133:$BK$163,3)</f>
        <v>29.83018062149873</v>
      </c>
      <c r="BA41" s="719">
        <f>+VLOOKUP($A$1,data!$A$133:$BK$163,4)</f>
        <v>30.125983815401831</v>
      </c>
      <c r="BB41" s="719">
        <f>+VLOOKUP($A$1,data!$A$133:$BK$163,5)</f>
        <v>29.102983364828216</v>
      </c>
      <c r="BC41" s="719">
        <f>+VLOOKUP($A$1,data!$A$133:$BK$163,6)</f>
        <v>29.680845671302702</v>
      </c>
      <c r="BD41" s="719">
        <f>+VLOOKUP($A$1,data!$A$133:$BK$163,7)</f>
        <v>28.627329687375518</v>
      </c>
      <c r="BE41" s="719">
        <f>+VLOOKUP($A$1,data!$A$133:$BK$163,8)</f>
        <v>27.163794301240717</v>
      </c>
      <c r="BF41" s="719">
        <f>+VLOOKUP($A$1,data!$A$133:$BK$163,9)</f>
        <v>28.760863449387543</v>
      </c>
      <c r="BG41" s="719">
        <f>+VLOOKUP($A$1,data!$A$133:$BK$163,10)</f>
        <v>28.938797767111303</v>
      </c>
      <c r="BH41" s="719">
        <f>+VLOOKUP($A$1,data!$A$133:$BK$163,11)</f>
        <v>26.312310435304621</v>
      </c>
      <c r="BI41" s="719">
        <f>+VLOOKUP($A$1,data!$A$133:$BK$163,12)</f>
        <v>29.778673446671899</v>
      </c>
      <c r="BJ41" s="719">
        <f>+VLOOKUP($A$1,data!$A$133:$BK$163,13)</f>
        <v>27.816725028191584</v>
      </c>
      <c r="BK41" s="719">
        <f>+VLOOKUP($A$1,data!$A$133:$BK$163,14)</f>
        <v>28.592771676000339</v>
      </c>
      <c r="BL41" s="719">
        <f>+VLOOKUP($A$1,data!$A$133:$BK$163,15)</f>
        <v>28.093831958190556</v>
      </c>
      <c r="BM41" s="719">
        <f>+VLOOKUP($A$1,data!$A$133:$BK$163,16)</f>
        <v>28.512706446065582</v>
      </c>
      <c r="BN41" s="719">
        <f>+VLOOKUP($A$1,data!$A$133:$BK$163,17)</f>
        <v>28.391911623722365</v>
      </c>
      <c r="BO41" s="719">
        <f>+VLOOKUP($A$1,data!$A$133:$BK$163,18)</f>
        <v>28.527394521399422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25.420904126305039</v>
      </c>
      <c r="BA43" s="826">
        <f>+VLOOKUP($A$1,data!$A$133:$BK$163,26)</f>
        <v>25.440163163202641</v>
      </c>
      <c r="BB43" s="473">
        <f>+AZ45-AZ43</f>
        <v>3.106490395094383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28.999942608465052</v>
      </c>
      <c r="BA44" s="830"/>
      <c r="BB44" s="472">
        <f>+AZ45-AZ44</f>
        <v>-0.47254808706562912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28.527394521399422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1020</v>
      </c>
      <c r="B47" s="817" t="str">
        <f>+VLOOKUP($A$1,data!$A$4:$AH$32,2,0)</f>
        <v>น่าน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1020</v>
      </c>
      <c r="T47" s="817" t="str">
        <f>+VLOOKUP($A$1,data!$A$4:$AH$32,2,0)</f>
        <v>น่าน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1020</v>
      </c>
      <c r="AJ47" s="817" t="str">
        <f>+VLOOKUP($A$1,data!$A$4:$AH$32,2,0)</f>
        <v>น่าน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5.3074076900000007</v>
      </c>
      <c r="C64" s="632">
        <f>+VLOOKUP($A$1,data!$A$165:$AU$195,36)</f>
        <v>5.8192314100000004</v>
      </c>
      <c r="D64" s="632">
        <f>+VLOOKUP($A$1,data!$A$165:$AU$195,37)</f>
        <v>5.65595553</v>
      </c>
      <c r="E64" s="632">
        <f>+VLOOKUP($A$1,data!$A$165:$AU$195,38)</f>
        <v>5.81297687</v>
      </c>
      <c r="F64" s="632">
        <f>+VLOOKUP($A$1,data!$A$165:$AU$195,39)</f>
        <v>5.4576230099999998</v>
      </c>
      <c r="G64" s="632">
        <f>+VLOOKUP($A$1,data!$A$165:$AU$195,40)</f>
        <v>5.3736207199999999</v>
      </c>
      <c r="H64" s="632">
        <f>+VLOOKUP($A$1,data!$A$165:$AU$195,41)</f>
        <v>6.1873442000000001</v>
      </c>
      <c r="I64" s="632">
        <f>+VLOOKUP($A$1,data!$A$165:$AU$195,42)</f>
        <v>6.2527159900000013</v>
      </c>
      <c r="J64" s="632">
        <f>+VLOOKUP($A$1,data!$A$165:$AU$195,43)</f>
        <v>6.2264257999999995</v>
      </c>
      <c r="K64" s="632">
        <f>+VLOOKUP($A$1,data!$A$165:$AU$195,44)</f>
        <v>6.0169982600000003</v>
      </c>
      <c r="L64" s="632">
        <f>+VLOOKUP($A$1,data!$A$165:$AU$195,45)</f>
        <v>5.2366614800000004</v>
      </c>
      <c r="M64" s="632">
        <f>+VLOOKUP($A$1,data!$A$165:$AU$195,46)</f>
        <v>5.9802108699999996</v>
      </c>
      <c r="N64" s="632">
        <f>SUM(B64:M64)</f>
        <v>69.327171829999997</v>
      </c>
      <c r="O64" s="632">
        <f>SUM(B64:M64)</f>
        <v>69.327171829999997</v>
      </c>
      <c r="P64" s="635">
        <f>+O66-O64</f>
        <v>1.8787658599999872</v>
      </c>
      <c r="S64" s="605" t="s">
        <v>92</v>
      </c>
      <c r="T64" s="640">
        <f>+VLOOKUP($A$1,data!$A$197:$AU$227,35)</f>
        <v>1.8778463699999999</v>
      </c>
      <c r="U64" s="640">
        <f>+VLOOKUP($A$1,data!$A$197:$AU$227,36)</f>
        <v>1.7900357099999997</v>
      </c>
      <c r="V64" s="640">
        <f>+VLOOKUP($A$1,data!$A$197:$AU$227,37)</f>
        <v>1.9023198399999999</v>
      </c>
      <c r="W64" s="640">
        <f>+VLOOKUP($A$1,data!$A$197:$AU$227,38)</f>
        <v>1.8854750000000002</v>
      </c>
      <c r="X64" s="640">
        <f>+VLOOKUP($A$1,data!$A$197:$AU$227,39)</f>
        <v>1.8235301799999999</v>
      </c>
      <c r="Y64" s="640">
        <f>+VLOOKUP($A$1,data!$A$197:$AU$227,40)</f>
        <v>2.0150928499999998</v>
      </c>
      <c r="Z64" s="640">
        <f>+VLOOKUP($A$1,data!$A$197:$AU$227,41)</f>
        <v>1.7986329199999997</v>
      </c>
      <c r="AA64" s="640">
        <f>+VLOOKUP($A$1,data!$A$197:$AU$227,42)</f>
        <v>1.9861247900000001</v>
      </c>
      <c r="AB64" s="640">
        <f>+VLOOKUP($A$1,data!$A$197:$AU$227,43)</f>
        <v>1.8181917799999998</v>
      </c>
      <c r="AC64" s="640">
        <f>+VLOOKUP($A$1,data!$A$197:$AU$227,44)</f>
        <v>1.96504631</v>
      </c>
      <c r="AD64" s="640">
        <f>+VLOOKUP($A$1,data!$A$197:$AU$227,45)</f>
        <v>1.8669207800000003</v>
      </c>
      <c r="AE64" s="640">
        <f>+VLOOKUP($A$1,data!$A$197:$AU$227,46)</f>
        <v>1.7403005900000004</v>
      </c>
      <c r="AF64" s="640">
        <f>SUM(T64:AE64)</f>
        <v>22.469517120000003</v>
      </c>
      <c r="AG64" s="640">
        <f>SUM(T64:AE64)</f>
        <v>22.469517120000003</v>
      </c>
      <c r="AH64" s="641">
        <f>+AG66-AG64</f>
        <v>-0.60758415000000099</v>
      </c>
      <c r="AI64" s="621" t="s">
        <v>92</v>
      </c>
      <c r="AJ64" s="648">
        <f>+B64-T64</f>
        <v>3.4295613200000008</v>
      </c>
      <c r="AK64" s="648">
        <f t="shared" ref="AK64:AU66" si="7">+C64-U64</f>
        <v>4.0291957000000007</v>
      </c>
      <c r="AL64" s="648">
        <f t="shared" si="7"/>
        <v>3.7536356900000003</v>
      </c>
      <c r="AM64" s="648">
        <f t="shared" si="7"/>
        <v>3.9275018699999995</v>
      </c>
      <c r="AN64" s="648">
        <f t="shared" si="7"/>
        <v>3.6340928300000002</v>
      </c>
      <c r="AO64" s="648">
        <f t="shared" si="7"/>
        <v>3.3585278700000001</v>
      </c>
      <c r="AP64" s="648">
        <f t="shared" si="7"/>
        <v>4.3887112800000008</v>
      </c>
      <c r="AQ64" s="648">
        <f t="shared" si="7"/>
        <v>4.2665912000000015</v>
      </c>
      <c r="AR64" s="648">
        <f t="shared" si="7"/>
        <v>4.4082340200000001</v>
      </c>
      <c r="AS64" s="648">
        <f t="shared" si="7"/>
        <v>4.0519519500000003</v>
      </c>
      <c r="AT64" s="648">
        <f t="shared" si="7"/>
        <v>3.3697407000000004</v>
      </c>
      <c r="AU64" s="648">
        <f t="shared" si="7"/>
        <v>4.2399102799999993</v>
      </c>
      <c r="AV64" s="648">
        <f>SUM(AJ64:AU64)</f>
        <v>46.857654710000006</v>
      </c>
      <c r="AW64" s="648">
        <f>SUM(AJ64:AU64)</f>
        <v>46.857654710000006</v>
      </c>
      <c r="AX64" s="651">
        <f>+AW66-AW64</f>
        <v>2.4863500099999811</v>
      </c>
    </row>
    <row r="65" spans="1:50" ht="21.75" thickBot="1" x14ac:dyDescent="0.4">
      <c r="A65" s="538" t="s">
        <v>94</v>
      </c>
      <c r="B65" s="633">
        <f>+VLOOKUP($A$1,data!$A$165:$AU$195,19)</f>
        <v>5.6393649999999997</v>
      </c>
      <c r="C65" s="633">
        <f>+VLOOKUP($A$1,data!$A$165:$AU$195,20)</f>
        <v>5.9350779999999999</v>
      </c>
      <c r="D65" s="633">
        <f>+VLOOKUP($A$1,data!$A$165:$AU$195,21)</f>
        <v>5.8351430000000004</v>
      </c>
      <c r="E65" s="633">
        <f>+VLOOKUP($A$1,data!$A$165:$AU$195,22)</f>
        <v>6.2293200000000004</v>
      </c>
      <c r="F65" s="633">
        <f>+VLOOKUP($A$1,data!$A$165:$AU$195,23)</f>
        <v>5.4240560000000002</v>
      </c>
      <c r="G65" s="633">
        <f>+VLOOKUP($A$1,data!$A$165:$AU$195,24)</f>
        <v>5.7695869999999996</v>
      </c>
      <c r="H65" s="633">
        <f>+VLOOKUP($A$1,data!$A$165:$AU$195,25)</f>
        <v>6.3258239999999999</v>
      </c>
      <c r="I65" s="633">
        <f>+VLOOKUP($A$1,data!$A$165:$AU$195,26)</f>
        <v>6.335159</v>
      </c>
      <c r="J65" s="633">
        <f>+VLOOKUP($A$1,data!$A$165:$AU$195,27)</f>
        <v>6.29183</v>
      </c>
      <c r="K65" s="633">
        <f>+VLOOKUP($A$1,data!$A$165:$AU$195,28)</f>
        <v>6.1689879999999997</v>
      </c>
      <c r="L65" s="633">
        <f>+VLOOKUP($A$1,data!$A$165:$AU$195,29)</f>
        <v>5.6782760000000003</v>
      </c>
      <c r="M65" s="633">
        <f>+VLOOKUP($A$1,data!$A$165:$AU$195,30)</f>
        <v>6.2264239999999997</v>
      </c>
      <c r="N65" s="633">
        <f>SUM(B65:M65)</f>
        <v>71.859049999999982</v>
      </c>
      <c r="O65" s="636">
        <f t="shared" ref="O65:O66" si="8">SUM(B65:M65)</f>
        <v>71.859049999999982</v>
      </c>
      <c r="P65" s="637">
        <f>+O66-O65</f>
        <v>-0.65311230999999736</v>
      </c>
      <c r="S65" s="601" t="s">
        <v>94</v>
      </c>
      <c r="T65" s="642">
        <f>+VLOOKUP($A$1,data!$A$197:$AU$227,19)</f>
        <v>1.9885349999999999</v>
      </c>
      <c r="U65" s="642">
        <f>+VLOOKUP($A$1,data!$A$197:$AU$227,20)</f>
        <v>1.905559</v>
      </c>
      <c r="V65" s="642">
        <f>+VLOOKUP($A$1,data!$A$197:$AU$227,21)</f>
        <v>1.897227</v>
      </c>
      <c r="W65" s="642">
        <f>+VLOOKUP($A$1,data!$A$197:$AU$227,22)</f>
        <v>1.9997290000000001</v>
      </c>
      <c r="X65" s="642">
        <f>+VLOOKUP($A$1,data!$A$197:$AU$227,23)</f>
        <v>1.9197740000000001</v>
      </c>
      <c r="Y65" s="642">
        <f>+VLOOKUP($A$1,data!$A$197:$AU$227,24)</f>
        <v>2.0139260000000001</v>
      </c>
      <c r="Z65" s="642">
        <f>+VLOOKUP($A$1,data!$A$197:$AU$227,25)</f>
        <v>1.7963229999999999</v>
      </c>
      <c r="AA65" s="642">
        <f>+VLOOKUP($A$1,data!$A$197:$AU$227,26)</f>
        <v>2.0080900000000002</v>
      </c>
      <c r="AB65" s="642">
        <f>+VLOOKUP($A$1,data!$A$197:$AU$227,27)</f>
        <v>2.113105</v>
      </c>
      <c r="AC65" s="642">
        <f>+VLOOKUP($A$1,data!$A$197:$AU$227,28)</f>
        <v>2.0623870000000002</v>
      </c>
      <c r="AD65" s="642">
        <f>+VLOOKUP($A$1,data!$A$197:$AU$227,29)</f>
        <v>2.038611</v>
      </c>
      <c r="AE65" s="642">
        <f>+VLOOKUP($A$1,data!$A$197:$AU$227,30)</f>
        <v>2.1758359999999999</v>
      </c>
      <c r="AF65" s="642">
        <f>SUM(T65:AE65)</f>
        <v>23.919102000000002</v>
      </c>
      <c r="AG65" s="643">
        <f t="shared" ref="AG65:AG66" si="9">SUM(T65:AE65)</f>
        <v>23.919102000000002</v>
      </c>
      <c r="AH65" s="644">
        <f>+AG66-AG65</f>
        <v>-2.0571690300000007</v>
      </c>
      <c r="AI65" s="617" t="s">
        <v>94</v>
      </c>
      <c r="AJ65" s="649">
        <f>+B65-T65</f>
        <v>3.65083</v>
      </c>
      <c r="AK65" s="649">
        <f t="shared" si="7"/>
        <v>4.0295189999999996</v>
      </c>
      <c r="AL65" s="649">
        <f t="shared" si="7"/>
        <v>3.9379160000000004</v>
      </c>
      <c r="AM65" s="649">
        <f t="shared" si="7"/>
        <v>4.2295910000000001</v>
      </c>
      <c r="AN65" s="649">
        <f t="shared" si="7"/>
        <v>3.5042819999999999</v>
      </c>
      <c r="AO65" s="649">
        <f t="shared" si="7"/>
        <v>3.7556609999999995</v>
      </c>
      <c r="AP65" s="649">
        <f t="shared" si="7"/>
        <v>4.5295009999999998</v>
      </c>
      <c r="AQ65" s="649">
        <f t="shared" si="7"/>
        <v>4.3270689999999998</v>
      </c>
      <c r="AR65" s="649">
        <f t="shared" si="7"/>
        <v>4.178725</v>
      </c>
      <c r="AS65" s="649">
        <f t="shared" si="7"/>
        <v>4.1066009999999995</v>
      </c>
      <c r="AT65" s="649">
        <f t="shared" si="7"/>
        <v>3.6396650000000004</v>
      </c>
      <c r="AU65" s="649">
        <f t="shared" si="7"/>
        <v>4.0505879999999994</v>
      </c>
      <c r="AV65" s="649">
        <f>SUM(AJ65:AU65)</f>
        <v>47.939947999999994</v>
      </c>
      <c r="AW65" s="652">
        <f t="shared" ref="AW65:AW66" si="10">SUM(AJ65:AU65)</f>
        <v>47.939947999999994</v>
      </c>
      <c r="AX65" s="653">
        <f>+AW66-AW65</f>
        <v>1.4040567199999927</v>
      </c>
    </row>
    <row r="66" spans="1:50" ht="21.75" thickBot="1" x14ac:dyDescent="0.4">
      <c r="A66" s="546" t="s">
        <v>93</v>
      </c>
      <c r="B66" s="634">
        <f>+VLOOKUP($A$1,data!$A$165:$AU$195,3)</f>
        <v>5.6590439799999999</v>
      </c>
      <c r="C66" s="634">
        <f>+VLOOKUP($A$1,data!$A$165:$AU$195,4)</f>
        <v>5.5927753899999999</v>
      </c>
      <c r="D66" s="634">
        <f>+VLOOKUP($A$1,data!$A$165:$AU$195,5)</f>
        <v>5.8245519000000003</v>
      </c>
      <c r="E66" s="634">
        <f>+VLOOKUP($A$1,data!$A$165:$AU$195,6)</f>
        <v>6.2463134399999998</v>
      </c>
      <c r="F66" s="634">
        <f>+VLOOKUP($A$1,data!$A$165:$AU$195,7)</f>
        <v>5.7224228899999998</v>
      </c>
      <c r="G66" s="634">
        <f>+VLOOKUP($A$1,data!$A$165:$AU$195,8)</f>
        <v>5.65644847</v>
      </c>
      <c r="H66" s="634">
        <f>+VLOOKUP($A$1,data!$A$165:$AU$195,9)</f>
        <v>6.5354260199999992</v>
      </c>
      <c r="I66" s="634">
        <f>+VLOOKUP($A$1,data!$A$165:$AU$195,10)</f>
        <v>6.0171656100000002</v>
      </c>
      <c r="J66" s="634">
        <f>+VLOOKUP($A$1,data!$A$165:$AU$195,11)</f>
        <v>6.1476030999999995</v>
      </c>
      <c r="K66" s="634">
        <f>+VLOOKUP($A$1,data!$A$165:$AU$195,12)</f>
        <v>6.0317262399999994</v>
      </c>
      <c r="L66" s="634">
        <f>+VLOOKUP($A$1,data!$A$165:$AU$195,13)</f>
        <v>5.8863720100000005</v>
      </c>
      <c r="M66" s="634">
        <f>+VLOOKUP($A$1,data!$A$165:$AU$195,14)</f>
        <v>5.8860886399999996</v>
      </c>
      <c r="N66" s="634">
        <f>SUM(B66:M66)</f>
        <v>71.205937689999985</v>
      </c>
      <c r="O66" s="638">
        <f t="shared" si="8"/>
        <v>71.205937689999985</v>
      </c>
      <c r="P66" s="639"/>
      <c r="S66" s="608" t="s">
        <v>93</v>
      </c>
      <c r="T66" s="645">
        <f>+VLOOKUP($A$1,data!$A$197:$AU$227,3)</f>
        <v>1.7437594499999998</v>
      </c>
      <c r="U66" s="645">
        <f>+VLOOKUP($A$1,data!$A$197:$AU$227,4)</f>
        <v>1.6733828400000001</v>
      </c>
      <c r="V66" s="645">
        <f>+VLOOKUP($A$1,data!$A$197:$AU$227,5)</f>
        <v>1.9148218200000005</v>
      </c>
      <c r="W66" s="645">
        <f>+VLOOKUP($A$1,data!$A$197:$AU$227,6)</f>
        <v>1.6826715300000001</v>
      </c>
      <c r="X66" s="645">
        <f>+VLOOKUP($A$1,data!$A$197:$AU$227,7)</f>
        <v>1.6006772600000001</v>
      </c>
      <c r="Y66" s="645">
        <f>+VLOOKUP($A$1,data!$A$197:$AU$227,8)</f>
        <v>1.7917451000000002</v>
      </c>
      <c r="Z66" s="645">
        <f>+VLOOKUP($A$1,data!$A$197:$AU$227,9)</f>
        <v>1.6535347000000002</v>
      </c>
      <c r="AA66" s="645">
        <f>+VLOOKUP($A$1,data!$A$197:$AU$227,10)</f>
        <v>1.7693904400000005</v>
      </c>
      <c r="AB66" s="645">
        <f>+VLOOKUP($A$1,data!$A$197:$AU$227,11)</f>
        <v>1.9996520100000001</v>
      </c>
      <c r="AC66" s="645">
        <f>+VLOOKUP($A$1,data!$A$197:$AU$227,12)</f>
        <v>2.0405065099999997</v>
      </c>
      <c r="AD66" s="645">
        <f>+VLOOKUP($A$1,data!$A$197:$AU$227,13)</f>
        <v>1.8929176000000003</v>
      </c>
      <c r="AE66" s="645">
        <f>+VLOOKUP($A$1,data!$A$197:$AU$227,14)</f>
        <v>2.0988737100000003</v>
      </c>
      <c r="AF66" s="645">
        <f>SUM(T66:AE66)</f>
        <v>21.861932970000002</v>
      </c>
      <c r="AG66" s="646">
        <f t="shared" si="9"/>
        <v>21.861932970000002</v>
      </c>
      <c r="AH66" s="647"/>
      <c r="AI66" s="624" t="s">
        <v>93</v>
      </c>
      <c r="AJ66" s="650">
        <f>+B66-T66</f>
        <v>3.9152845300000001</v>
      </c>
      <c r="AK66" s="650">
        <f t="shared" si="7"/>
        <v>3.9193925499999995</v>
      </c>
      <c r="AL66" s="650">
        <f t="shared" si="7"/>
        <v>3.9097300800000001</v>
      </c>
      <c r="AM66" s="650">
        <f t="shared" si="7"/>
        <v>4.5636419099999994</v>
      </c>
      <c r="AN66" s="650">
        <f t="shared" si="7"/>
        <v>4.1217456299999995</v>
      </c>
      <c r="AO66" s="650">
        <f t="shared" si="7"/>
        <v>3.86470337</v>
      </c>
      <c r="AP66" s="650">
        <f t="shared" si="7"/>
        <v>4.8818913199999994</v>
      </c>
      <c r="AQ66" s="650">
        <f t="shared" si="7"/>
        <v>4.2477751699999997</v>
      </c>
      <c r="AR66" s="650">
        <f t="shared" si="7"/>
        <v>4.1479510899999994</v>
      </c>
      <c r="AS66" s="650">
        <f>+K66-AC66</f>
        <v>3.9912197299999996</v>
      </c>
      <c r="AT66" s="650">
        <f>+L66-AD66</f>
        <v>3.99345441</v>
      </c>
      <c r="AU66" s="650">
        <f>+M66-AE66</f>
        <v>3.7872149299999993</v>
      </c>
      <c r="AV66" s="650">
        <f>SUM(AJ66:AU66)</f>
        <v>49.344004719999987</v>
      </c>
      <c r="AW66" s="654">
        <f t="shared" si="10"/>
        <v>49.344004719999987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5.3074076900000007</v>
      </c>
      <c r="D85" s="628">
        <f t="shared" ref="D85:N87" si="11">+C85+C64</f>
        <v>11.126639100000002</v>
      </c>
      <c r="E85" s="628">
        <f t="shared" si="11"/>
        <v>16.782594630000002</v>
      </c>
      <c r="F85" s="628">
        <f t="shared" si="11"/>
        <v>22.595571500000002</v>
      </c>
      <c r="G85" s="628">
        <f t="shared" si="11"/>
        <v>28.053194510000001</v>
      </c>
      <c r="H85" s="628">
        <f t="shared" si="11"/>
        <v>33.426815230000003</v>
      </c>
      <c r="I85" s="628">
        <f t="shared" si="11"/>
        <v>39.614159430000001</v>
      </c>
      <c r="J85" s="628">
        <f t="shared" si="11"/>
        <v>45.86687542</v>
      </c>
      <c r="K85" s="628">
        <f t="shared" si="11"/>
        <v>52.093301220000001</v>
      </c>
      <c r="L85" s="628">
        <f t="shared" si="11"/>
        <v>58.110299480000002</v>
      </c>
      <c r="M85" s="628">
        <f t="shared" si="11"/>
        <v>63.346960960000004</v>
      </c>
      <c r="N85" s="628">
        <f t="shared" si="11"/>
        <v>69.327171829999997</v>
      </c>
      <c r="S85"/>
      <c r="T85" s="605" t="s">
        <v>92</v>
      </c>
      <c r="U85" s="640">
        <f>+T64</f>
        <v>1.8778463699999999</v>
      </c>
      <c r="V85" s="640">
        <f t="shared" ref="V85:AF87" si="12">+U85+U64</f>
        <v>3.6678820799999996</v>
      </c>
      <c r="W85" s="640">
        <f t="shared" si="12"/>
        <v>5.5702019199999997</v>
      </c>
      <c r="X85" s="640">
        <f t="shared" si="12"/>
        <v>7.4556769200000002</v>
      </c>
      <c r="Y85" s="640">
        <f t="shared" si="12"/>
        <v>9.2792071000000007</v>
      </c>
      <c r="Z85" s="640">
        <f t="shared" si="12"/>
        <v>11.294299950000001</v>
      </c>
      <c r="AA85" s="640">
        <f t="shared" si="12"/>
        <v>13.09293287</v>
      </c>
      <c r="AB85" s="640">
        <f t="shared" si="12"/>
        <v>15.07905766</v>
      </c>
      <c r="AC85" s="640">
        <f t="shared" si="12"/>
        <v>16.89724944</v>
      </c>
      <c r="AD85" s="640">
        <f t="shared" si="12"/>
        <v>18.862295750000001</v>
      </c>
      <c r="AE85" s="640">
        <f t="shared" si="12"/>
        <v>20.729216530000002</v>
      </c>
      <c r="AF85" s="640">
        <f t="shared" si="12"/>
        <v>22.469517120000003</v>
      </c>
      <c r="AG85" s="158"/>
      <c r="AH85" s="158"/>
      <c r="AI85"/>
      <c r="AJ85" s="621" t="s">
        <v>92</v>
      </c>
      <c r="AK85" s="648">
        <f>+AJ64</f>
        <v>3.4295613200000008</v>
      </c>
      <c r="AL85" s="648">
        <f t="shared" ref="AL85:AV87" si="13">+AK85+AK64</f>
        <v>7.458757020000002</v>
      </c>
      <c r="AM85" s="648">
        <f t="shared" si="13"/>
        <v>11.212392710000003</v>
      </c>
      <c r="AN85" s="648">
        <f t="shared" si="13"/>
        <v>15.139894580000004</v>
      </c>
      <c r="AO85" s="648">
        <f t="shared" si="13"/>
        <v>18.773987410000004</v>
      </c>
      <c r="AP85" s="648">
        <f t="shared" si="13"/>
        <v>22.132515280000003</v>
      </c>
      <c r="AQ85" s="648">
        <f t="shared" si="13"/>
        <v>26.521226560000002</v>
      </c>
      <c r="AR85" s="648">
        <f t="shared" si="13"/>
        <v>30.787817760000003</v>
      </c>
      <c r="AS85" s="648">
        <f t="shared" si="13"/>
        <v>35.196051780000005</v>
      </c>
      <c r="AT85" s="648">
        <f t="shared" si="13"/>
        <v>39.248003730000008</v>
      </c>
      <c r="AU85" s="648">
        <f t="shared" si="13"/>
        <v>42.617744430000009</v>
      </c>
      <c r="AV85" s="648">
        <f t="shared" si="13"/>
        <v>46.857654710000006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5.6393649999999997</v>
      </c>
      <c r="D86" s="633">
        <f t="shared" si="11"/>
        <v>11.574442999999999</v>
      </c>
      <c r="E86" s="633">
        <f t="shared" si="11"/>
        <v>17.409585999999997</v>
      </c>
      <c r="F86" s="633">
        <f t="shared" si="11"/>
        <v>23.638905999999999</v>
      </c>
      <c r="G86" s="633">
        <f t="shared" si="11"/>
        <v>29.062961999999999</v>
      </c>
      <c r="H86" s="633">
        <f t="shared" si="11"/>
        <v>34.832549</v>
      </c>
      <c r="I86" s="633">
        <f t="shared" si="11"/>
        <v>41.158372999999997</v>
      </c>
      <c r="J86" s="633">
        <f t="shared" si="11"/>
        <v>47.493531999999995</v>
      </c>
      <c r="K86" s="633">
        <f t="shared" si="11"/>
        <v>53.785361999999992</v>
      </c>
      <c r="L86" s="633">
        <f t="shared" si="11"/>
        <v>59.954349999999991</v>
      </c>
      <c r="M86" s="633">
        <f t="shared" si="11"/>
        <v>65.632625999999988</v>
      </c>
      <c r="N86" s="633">
        <f t="shared" si="11"/>
        <v>71.859049999999982</v>
      </c>
      <c r="S86"/>
      <c r="T86" s="601" t="s">
        <v>94</v>
      </c>
      <c r="U86" s="642">
        <f>+T65</f>
        <v>1.9885349999999999</v>
      </c>
      <c r="V86" s="642">
        <f t="shared" si="12"/>
        <v>3.8940939999999999</v>
      </c>
      <c r="W86" s="642">
        <f t="shared" si="12"/>
        <v>5.7913209999999999</v>
      </c>
      <c r="X86" s="642">
        <f t="shared" si="12"/>
        <v>7.7910500000000003</v>
      </c>
      <c r="Y86" s="642">
        <f t="shared" si="12"/>
        <v>9.7108240000000006</v>
      </c>
      <c r="Z86" s="642">
        <f t="shared" si="12"/>
        <v>11.72475</v>
      </c>
      <c r="AA86" s="642">
        <f t="shared" si="12"/>
        <v>13.521072999999999</v>
      </c>
      <c r="AB86" s="642">
        <f t="shared" si="12"/>
        <v>15.529163</v>
      </c>
      <c r="AC86" s="642">
        <f t="shared" si="12"/>
        <v>17.642268000000001</v>
      </c>
      <c r="AD86" s="642">
        <f t="shared" si="12"/>
        <v>19.704655000000002</v>
      </c>
      <c r="AE86" s="642">
        <f t="shared" si="12"/>
        <v>21.743266000000002</v>
      </c>
      <c r="AF86" s="642">
        <f t="shared" si="12"/>
        <v>23.919102000000002</v>
      </c>
      <c r="AG86" s="158"/>
      <c r="AH86" s="158"/>
      <c r="AI86"/>
      <c r="AJ86" s="617" t="s">
        <v>94</v>
      </c>
      <c r="AK86" s="649">
        <f>+AJ65</f>
        <v>3.65083</v>
      </c>
      <c r="AL86" s="649">
        <f t="shared" si="13"/>
        <v>7.6803489999999996</v>
      </c>
      <c r="AM86" s="649">
        <f t="shared" si="13"/>
        <v>11.618265000000001</v>
      </c>
      <c r="AN86" s="649">
        <f t="shared" si="13"/>
        <v>15.847856</v>
      </c>
      <c r="AO86" s="649">
        <f t="shared" si="13"/>
        <v>19.352138</v>
      </c>
      <c r="AP86" s="649">
        <f t="shared" si="13"/>
        <v>23.107799</v>
      </c>
      <c r="AQ86" s="649">
        <f t="shared" si="13"/>
        <v>27.6373</v>
      </c>
      <c r="AR86" s="649">
        <f t="shared" si="13"/>
        <v>31.964368999999998</v>
      </c>
      <c r="AS86" s="649">
        <f t="shared" si="13"/>
        <v>36.143093999999998</v>
      </c>
      <c r="AT86" s="649">
        <f t="shared" si="13"/>
        <v>40.249694999999996</v>
      </c>
      <c r="AU86" s="649">
        <f t="shared" si="13"/>
        <v>43.889359999999996</v>
      </c>
      <c r="AV86" s="649">
        <f t="shared" si="13"/>
        <v>47.939947999999994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5.6590439799999999</v>
      </c>
      <c r="D87" s="629">
        <f t="shared" si="11"/>
        <v>11.25181937</v>
      </c>
      <c r="E87" s="629">
        <f t="shared" si="11"/>
        <v>17.076371269999999</v>
      </c>
      <c r="F87" s="629">
        <f t="shared" si="11"/>
        <v>23.322684709999997</v>
      </c>
      <c r="G87" s="629">
        <f t="shared" si="11"/>
        <v>29.045107599999998</v>
      </c>
      <c r="H87" s="629">
        <f t="shared" si="11"/>
        <v>34.701556069999995</v>
      </c>
      <c r="I87" s="629">
        <f t="shared" si="11"/>
        <v>41.236982089999998</v>
      </c>
      <c r="J87" s="629">
        <f t="shared" si="11"/>
        <v>47.254147699999997</v>
      </c>
      <c r="K87" s="629">
        <f t="shared" si="11"/>
        <v>53.401750799999995</v>
      </c>
      <c r="L87" s="629">
        <f t="shared" si="11"/>
        <v>59.433477039999993</v>
      </c>
      <c r="M87" s="629">
        <f t="shared" si="11"/>
        <v>65.319849049999988</v>
      </c>
      <c r="N87" s="629">
        <f t="shared" si="11"/>
        <v>71.205937689999985</v>
      </c>
      <c r="S87"/>
      <c r="T87" s="608" t="s">
        <v>93</v>
      </c>
      <c r="U87" s="645">
        <f>+T66</f>
        <v>1.7437594499999998</v>
      </c>
      <c r="V87" s="645">
        <f t="shared" si="12"/>
        <v>3.4171422900000001</v>
      </c>
      <c r="W87" s="645">
        <f t="shared" si="12"/>
        <v>5.3319641100000004</v>
      </c>
      <c r="X87" s="645">
        <f t="shared" si="12"/>
        <v>7.0146356400000007</v>
      </c>
      <c r="Y87" s="645">
        <f t="shared" si="12"/>
        <v>8.6153129000000011</v>
      </c>
      <c r="Z87" s="645">
        <f t="shared" si="12"/>
        <v>10.407058000000001</v>
      </c>
      <c r="AA87" s="645">
        <f t="shared" si="12"/>
        <v>12.060592700000001</v>
      </c>
      <c r="AB87" s="645">
        <f t="shared" si="12"/>
        <v>13.829983140000001</v>
      </c>
      <c r="AC87" s="645">
        <f t="shared" si="12"/>
        <v>15.829635150000001</v>
      </c>
      <c r="AD87" s="645">
        <f t="shared" si="12"/>
        <v>17.870141660000002</v>
      </c>
      <c r="AE87" s="645">
        <f t="shared" si="12"/>
        <v>19.763059260000002</v>
      </c>
      <c r="AF87" s="645">
        <f t="shared" si="12"/>
        <v>21.861932970000002</v>
      </c>
      <c r="AG87" s="158"/>
      <c r="AH87" s="158"/>
      <c r="AI87"/>
      <c r="AJ87" s="624" t="s">
        <v>93</v>
      </c>
      <c r="AK87" s="650">
        <f>+AJ66</f>
        <v>3.9152845300000001</v>
      </c>
      <c r="AL87" s="650">
        <f t="shared" si="13"/>
        <v>7.8346770799999996</v>
      </c>
      <c r="AM87" s="650">
        <f t="shared" si="13"/>
        <v>11.74440716</v>
      </c>
      <c r="AN87" s="650">
        <f t="shared" si="13"/>
        <v>16.308049069999999</v>
      </c>
      <c r="AO87" s="650">
        <f t="shared" si="13"/>
        <v>20.429794699999999</v>
      </c>
      <c r="AP87" s="650">
        <f t="shared" si="13"/>
        <v>24.29449807</v>
      </c>
      <c r="AQ87" s="650">
        <f t="shared" si="13"/>
        <v>29.176389389999997</v>
      </c>
      <c r="AR87" s="650">
        <f t="shared" si="13"/>
        <v>33.424164559999994</v>
      </c>
      <c r="AS87" s="650">
        <f t="shared" si="13"/>
        <v>37.572115649999994</v>
      </c>
      <c r="AT87" s="650">
        <f t="shared" si="13"/>
        <v>41.563335379999991</v>
      </c>
      <c r="AU87" s="650">
        <f t="shared" si="13"/>
        <v>45.556789789999989</v>
      </c>
      <c r="AV87" s="650">
        <f t="shared" si="13"/>
        <v>49.344004719999987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 AH18:AH22">
    <cfRule type="cellIs" dxfId="152" priority="15" operator="lessThan">
      <formula>0</formula>
    </cfRule>
  </conditionalFormatting>
  <conditionalFormatting sqref="O41">
    <cfRule type="cellIs" dxfId="151" priority="14" operator="lessThan">
      <formula>0</formula>
    </cfRule>
  </conditionalFormatting>
  <conditionalFormatting sqref="AX18:AX22">
    <cfRule type="cellIs" dxfId="150" priority="13" operator="lessThan">
      <formula>0</formula>
    </cfRule>
  </conditionalFormatting>
  <conditionalFormatting sqref="BN21:BN22">
    <cfRule type="cellIs" dxfId="149" priority="12" operator="lessThan">
      <formula>0</formula>
    </cfRule>
  </conditionalFormatting>
  <conditionalFormatting sqref="BB43:BB46">
    <cfRule type="cellIs" dxfId="148" priority="11" operator="greaterThan">
      <formula>0</formula>
    </cfRule>
  </conditionalFormatting>
  <conditionalFormatting sqref="AX18:AX20">
    <cfRule type="cellIs" dxfId="147" priority="10" operator="lessThan">
      <formula>0</formula>
    </cfRule>
  </conditionalFormatting>
  <conditionalFormatting sqref="BN18:BN20">
    <cfRule type="cellIs" dxfId="146" priority="9" operator="greaterThan">
      <formula>0</formula>
    </cfRule>
  </conditionalFormatting>
  <conditionalFormatting sqref="P18:P20">
    <cfRule type="cellIs" dxfId="145" priority="8" operator="lessThan">
      <formula>0</formula>
    </cfRule>
  </conditionalFormatting>
  <conditionalFormatting sqref="P67:P68">
    <cfRule type="cellIs" dxfId="144" priority="7" operator="lessThan">
      <formula>0</formula>
    </cfRule>
  </conditionalFormatting>
  <conditionalFormatting sqref="P64:P66">
    <cfRule type="cellIs" dxfId="143" priority="6" operator="lessThan">
      <formula>0</formula>
    </cfRule>
  </conditionalFormatting>
  <conditionalFormatting sqref="AH67:AH68">
    <cfRule type="cellIs" dxfId="142" priority="5" operator="lessThan">
      <formula>0</formula>
    </cfRule>
  </conditionalFormatting>
  <conditionalFormatting sqref="AH64:AH66">
    <cfRule type="cellIs" dxfId="141" priority="4" operator="greaterThan">
      <formula>0</formula>
    </cfRule>
  </conditionalFormatting>
  <conditionalFormatting sqref="AX67:AX68">
    <cfRule type="cellIs" dxfId="140" priority="3" operator="lessThan">
      <formula>0</formula>
    </cfRule>
  </conditionalFormatting>
  <conditionalFormatting sqref="AX64:AX66">
    <cfRule type="cellIs" dxfId="139" priority="2" operator="lessThan">
      <formula>0</formula>
    </cfRule>
  </conditionalFormatting>
  <conditionalFormatting sqref="S21:T23 V21:AG23">
    <cfRule type="cellIs" dxfId="138" priority="1" operator="lessThan">
      <formula>0</formula>
    </cfRule>
  </conditionalFormatting>
  <pageMargins left="0.39370078740157483" right="0.19685039370078741" top="0.74803149606299213" bottom="0.28000000000000003" header="0.31496062992125984" footer="0.31496062992125984"/>
  <pageSetup paperSize="9" scale="80" pageOrder="overThenDown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34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1021</v>
      </c>
      <c r="B3" s="807" t="str">
        <f>+VLOOKUP($A3,data!$A$4:$AH$32,2,0)</f>
        <v>ท่าวังผา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3105</v>
      </c>
      <c r="C9" s="180">
        <f>+VLOOKUP($A$3,data!$A$4:$AH$32,8,0)/10^6</f>
        <v>0.45840900000000001</v>
      </c>
      <c r="D9" s="181">
        <f>+VLOOKUP($A$3,data!$A$4:$AH$32,9,0)</f>
        <v>0.41346998139692204</v>
      </c>
      <c r="E9" s="180">
        <f>+VLOOKUP($A$3,data!$A$4:$AH$32,10,0)/10^6</f>
        <v>6.2981374599999995</v>
      </c>
      <c r="F9" s="182">
        <f>+E9/C9</f>
        <v>13.739122617575134</v>
      </c>
      <c r="G9" s="179">
        <f>+VLOOKUP($A$3,data!$A$4:$AH$32,23,0)</f>
        <v>3334</v>
      </c>
      <c r="H9" s="180">
        <f>+VLOOKUP($A$3,data!$A$4:$AH$32,24,0)/10^6</f>
        <v>0.46447899999999998</v>
      </c>
      <c r="I9" s="181">
        <f>+VLOOKUP($A$3,data!$A$4:$AH$32,25,0)</f>
        <v>0.39526175042070261</v>
      </c>
      <c r="J9" s="180">
        <f>+VLOOKUP($A$3,data!$A$4:$AH$32,26,0)/10^6</f>
        <v>6.3248184099999998</v>
      </c>
      <c r="K9" s="182">
        <f>+J9/H9</f>
        <v>13.617016937256583</v>
      </c>
    </row>
    <row r="10" spans="1:12" ht="26.25" x14ac:dyDescent="0.4">
      <c r="A10" s="187" t="s">
        <v>4</v>
      </c>
      <c r="B10" s="189">
        <f>+B9/B20</f>
        <v>0.65797838525111252</v>
      </c>
      <c r="C10" s="190"/>
      <c r="D10" s="190"/>
      <c r="E10" s="190"/>
      <c r="F10" s="191"/>
      <c r="G10" s="189">
        <f>+G9/G20</f>
        <v>0.67530889203970024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1387</v>
      </c>
      <c r="C13" s="180">
        <f>+VLOOKUP($A$3,data!$A$4:$AH$32,12,0)/10^6</f>
        <v>0.37170599999999998</v>
      </c>
      <c r="D13" s="181">
        <f>+VLOOKUP($A$3,data!$A$4:$AH$32,13,0)</f>
        <v>0.73158951346244683</v>
      </c>
      <c r="E13" s="180">
        <f>+VLOOKUP($A$3,data!$A$4:$AH$32,14,0)/10^6</f>
        <v>8.0787754199999995</v>
      </c>
      <c r="F13" s="182">
        <f>+E13/C13</f>
        <v>21.734315345999256</v>
      </c>
      <c r="G13" s="179">
        <f>+VLOOKUP($A$3,data!$A$4:$AH$32,27,0)</f>
        <v>1357</v>
      </c>
      <c r="H13" s="180">
        <f>+VLOOKUP($A$3,data!$A$4:$AH$32,28,0)/10^6</f>
        <v>0.36530099999999999</v>
      </c>
      <c r="I13" s="181">
        <f>+VLOOKUP($A$3,data!$A$4:$AH$32,29,0)</f>
        <v>0.72946403610367827</v>
      </c>
      <c r="J13" s="180">
        <f>+VLOOKUP($A$3,data!$A$4:$AH$32,30,0)/10^6</f>
        <v>7.8877804700000009</v>
      </c>
      <c r="K13" s="182">
        <f>+J13/H13</f>
        <v>21.592550992195481</v>
      </c>
    </row>
    <row r="14" spans="1:12" ht="26.25" x14ac:dyDescent="0.4">
      <c r="A14" s="187" t="s">
        <v>29</v>
      </c>
      <c r="B14" s="189">
        <f>+B13/B20</f>
        <v>0.29391820300911209</v>
      </c>
      <c r="C14" s="190"/>
      <c r="D14" s="190"/>
      <c r="E14" s="190"/>
      <c r="F14" s="191"/>
      <c r="G14" s="189">
        <f>+G13/G20</f>
        <v>0.2748632772939032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227</v>
      </c>
      <c r="C17" s="180">
        <f>+VLOOKUP($A$3,data!$A$4:$AH$32,16,0)/10^6</f>
        <v>9.6248E-2</v>
      </c>
      <c r="D17" s="181">
        <f>+VLOOKUP($A$3,data!$A$4:$AH$32,17,0)</f>
        <v>1.1851377558873326</v>
      </c>
      <c r="E17" s="180">
        <f>+VLOOKUP($A$3,data!$A$4:$AH$32,18,0)/10^6</f>
        <v>2.5408599500000002</v>
      </c>
      <c r="F17" s="182">
        <f>+E17/C17</f>
        <v>26.399093487656888</v>
      </c>
      <c r="G17" s="179">
        <f>+VLOOKUP($A$3,data!$A$4:$AH$32,31,0)</f>
        <v>246</v>
      </c>
      <c r="H17" s="180">
        <f>+VLOOKUP($A$3,data!$A$4:$AH$32,32,0)/10^6</f>
        <v>0.109544</v>
      </c>
      <c r="I17" s="181">
        <f>+VLOOKUP($A$3,data!$A$4:$AH$32,33,0)</f>
        <v>1.269008659387761</v>
      </c>
      <c r="J17" s="180">
        <f>+VLOOKUP($A$3,data!$A$4:$AH$32,34,0)/10^6</f>
        <v>2.9077377499999999</v>
      </c>
      <c r="K17" s="182">
        <f>+J17/H17</f>
        <v>26.544016559555978</v>
      </c>
    </row>
    <row r="18" spans="1:11" ht="26.25" x14ac:dyDescent="0.4">
      <c r="A18" s="187" t="s">
        <v>30</v>
      </c>
      <c r="B18" s="189">
        <f>+B17/B20</f>
        <v>4.8103411739775379E-2</v>
      </c>
      <c r="C18" s="190"/>
      <c r="D18" s="190"/>
      <c r="E18" s="190"/>
      <c r="F18" s="191"/>
      <c r="G18" s="189">
        <f>+G17/G20</f>
        <v>4.9827830666396594E-2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4719</v>
      </c>
      <c r="C20" s="180">
        <f>+VLOOKUP($A$3,data!$A$4:$AH$32,4,0)/10^6</f>
        <v>0.92636300000000005</v>
      </c>
      <c r="D20" s="181">
        <f>+VLOOKUP($A$3,data!$A$4:$AH$32,5,0)</f>
        <v>0.54556767453091326</v>
      </c>
      <c r="E20" s="180">
        <f>+VLOOKUP($A$3,data!$A$4:$AH$32,6,0)/10^6</f>
        <v>16.917772830000001</v>
      </c>
      <c r="F20" s="182">
        <f>+E20/C20</f>
        <v>18.262573990973301</v>
      </c>
      <c r="G20" s="179">
        <f>+VLOOKUP($A$3,data!$A$4:$AH$32,19,0)</f>
        <v>4937</v>
      </c>
      <c r="H20" s="180">
        <f>+VLOOKUP($A$3,data!$A$4:$AH$32,20,0)/10^6</f>
        <v>0.93932400000000005</v>
      </c>
      <c r="I20" s="181">
        <f>+VLOOKUP($A$3,data!$A$4:$AH$32,21,0)</f>
        <v>0.53303446788709696</v>
      </c>
      <c r="J20" s="180">
        <f>+VLOOKUP($A$3,data!$A$4:$AH$32,22,0)/10^6</f>
        <v>17.120336630000001</v>
      </c>
      <c r="K20" s="182">
        <f>+J20/H20</f>
        <v>18.226231449425331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ท่าวังผา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="77" zoomScaleNormal="100" zoomScalePageLayoutView="77" workbookViewId="0"/>
  </sheetViews>
  <sheetFormatPr defaultRowHeight="21" x14ac:dyDescent="0.35"/>
  <cols>
    <col min="1" max="1" width="9" style="158" bestFit="1" customWidth="1"/>
    <col min="2" max="2" width="6.375" style="158" bestFit="1" customWidth="1"/>
    <col min="3" max="5" width="5" style="158" bestFit="1" customWidth="1"/>
    <col min="6" max="6" width="5.25" style="158" bestFit="1" customWidth="1"/>
    <col min="7" max="8" width="5.375" style="158" bestFit="1" customWidth="1"/>
    <col min="9" max="9" width="6.25" style="158" bestFit="1" customWidth="1"/>
    <col min="10" max="10" width="6.125" style="158" bestFit="1" customWidth="1"/>
    <col min="11" max="12" width="6.25" style="158" bestFit="1" customWidth="1"/>
    <col min="13" max="13" width="6.125" style="158" bestFit="1" customWidth="1"/>
    <col min="14" max="14" width="6.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10.12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6.125" bestFit="1" customWidth="1"/>
    <col min="48" max="48" width="6.375" bestFit="1" customWidth="1"/>
    <col min="49" max="49" width="7.75" bestFit="1" customWidth="1"/>
    <col min="50" max="50" width="6.125" bestFit="1" customWidth="1"/>
    <col min="51" max="51" width="9" customWidth="1"/>
    <col min="52" max="56" width="6.875" bestFit="1" customWidth="1"/>
    <col min="57" max="57" width="7" bestFit="1" customWidth="1"/>
    <col min="58" max="59" width="6.875" bestFit="1" customWidth="1"/>
    <col min="60" max="60" width="7" bestFit="1" customWidth="1"/>
    <col min="61" max="62" width="6.875" bestFit="1" customWidth="1"/>
    <col min="63" max="65" width="7" bestFit="1" customWidth="1"/>
    <col min="66" max="67" width="6.875" bestFit="1" customWidth="1"/>
  </cols>
  <sheetData>
    <row r="1" spans="1:66" ht="27" thickBot="1" x14ac:dyDescent="0.25">
      <c r="A1" s="248">
        <v>1021</v>
      </c>
      <c r="B1" s="817" t="str">
        <f>+VLOOKUP($A$1,data!$A$4:$AH$32,2,0)</f>
        <v>ท่าวังผา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1021</v>
      </c>
      <c r="T1" s="817" t="str">
        <f>+VLOOKUP($A$1,data!$A$4:$AH$32,2,0)</f>
        <v>ท่าวังผา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1021</v>
      </c>
      <c r="AJ1" s="817" t="str">
        <f>+VLOOKUP($A$1,data!$A$4:$AH$32,2,0)</f>
        <v>ท่าวังผา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1021</v>
      </c>
      <c r="AZ1" s="817" t="str">
        <f>+VLOOKUP($A$1,data!$A$4:$AH$32,2,0)</f>
        <v>ท่าวังผา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11</v>
      </c>
      <c r="C18" s="406">
        <f>+VLOOKUP($A$1,data!$A$37:$AU$67,36)</f>
        <v>8</v>
      </c>
      <c r="D18" s="406">
        <f>+VLOOKUP($A$1,data!$A$37:$AU$67,37)</f>
        <v>10</v>
      </c>
      <c r="E18" s="406">
        <f>+VLOOKUP($A$1,data!$A$37:$AU$67,38)</f>
        <v>14</v>
      </c>
      <c r="F18" s="406">
        <f>+VLOOKUP($A$1,data!$A$37:$AU$67,39)</f>
        <v>17</v>
      </c>
      <c r="G18" s="406">
        <f>+VLOOKUP($A$1,data!$A$37:$AU$67,40)</f>
        <v>16</v>
      </c>
      <c r="H18" s="406">
        <f>+VLOOKUP($A$1,data!$A$37:$AU$67,41)</f>
        <v>12</v>
      </c>
      <c r="I18" s="406">
        <f>+VLOOKUP($A$1,data!$A$37:$AU$67,42)</f>
        <v>13</v>
      </c>
      <c r="J18" s="406">
        <f>+VLOOKUP($A$1,data!$A$37:$AU$67,43)</f>
        <v>13</v>
      </c>
      <c r="K18" s="406">
        <f>+VLOOKUP($A$1,data!$A$37:$AU$67,44)</f>
        <v>10</v>
      </c>
      <c r="L18" s="406">
        <f>+VLOOKUP($A$1,data!$A$37:$AU$67,45)</f>
        <v>18</v>
      </c>
      <c r="M18" s="406">
        <f>+VLOOKUP($A$1,data!$A$37:$AU$67,46)</f>
        <v>66</v>
      </c>
      <c r="N18" s="406">
        <f>SUM(B18:M18)</f>
        <v>208</v>
      </c>
      <c r="O18" s="406">
        <f>SUM(B18:M18)</f>
        <v>208</v>
      </c>
      <c r="P18" s="407">
        <f>+O20-O18</f>
        <v>-16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7.1025000000000005E-2</v>
      </c>
      <c r="AK18" s="418">
        <f>+VLOOKUP($A$1,data!$A$69:$AU$99,36)</f>
        <v>7.5434000000000001E-2</v>
      </c>
      <c r="AL18" s="418">
        <f>+VLOOKUP($A$1,data!$A$69:$AU$99,37)</f>
        <v>7.1959999999999996E-2</v>
      </c>
      <c r="AM18" s="418">
        <f>+VLOOKUP($A$1,data!$A$69:$AU$99,38)</f>
        <v>7.6971999999999999E-2</v>
      </c>
      <c r="AN18" s="418">
        <f>+VLOOKUP($A$1,data!$A$69:$AU$99,39)</f>
        <v>7.1333999999999995E-2</v>
      </c>
      <c r="AO18" s="418">
        <f>+VLOOKUP($A$1,data!$A$69:$AU$99,40)</f>
        <v>7.4371999999999994E-2</v>
      </c>
      <c r="AP18" s="418">
        <f>+VLOOKUP($A$1,data!$A$69:$AU$99,41)</f>
        <v>8.3623000000000003E-2</v>
      </c>
      <c r="AQ18" s="418">
        <f>+VLOOKUP($A$1,data!$A$69:$AU$99,42)</f>
        <v>8.4905999999999995E-2</v>
      </c>
      <c r="AR18" s="418">
        <f>+VLOOKUP($A$1,data!$A$69:$AU$99,43)</f>
        <v>8.2952999999999999E-2</v>
      </c>
      <c r="AS18" s="418">
        <f>+VLOOKUP($A$1,data!$A$69:$AU$99,44)</f>
        <v>8.6804000000000006E-2</v>
      </c>
      <c r="AT18" s="418">
        <f>+VLOOKUP($A$1,data!$A$69:$AU$99,45)</f>
        <v>6.7835999999999994E-2</v>
      </c>
      <c r="AU18" s="418">
        <f>+VLOOKUP($A$1,data!$A$69:$AU$99,46)</f>
        <v>7.9519999999999993E-2</v>
      </c>
      <c r="AV18" s="418">
        <f>SUM(AJ18:AU18)</f>
        <v>0.92673900000000009</v>
      </c>
      <c r="AW18" s="418">
        <f>SUM(AJ18:AU18)</f>
        <v>0.92673900000000009</v>
      </c>
      <c r="AX18" s="419">
        <f>+AW20-AW18</f>
        <v>1.4167999999999958E-2</v>
      </c>
      <c r="AY18" s="308" t="s">
        <v>92</v>
      </c>
      <c r="AZ18" s="309">
        <f>+VLOOKUP($A$1,data!$A$101:$AU$131,35)</f>
        <v>1.3963E-2</v>
      </c>
      <c r="BA18" s="309">
        <f>+VLOOKUP($A$1,data!$A$101:$AU$131,36)</f>
        <v>1.8436999999999999E-2</v>
      </c>
      <c r="BB18" s="309">
        <f>+VLOOKUP($A$1,data!$A$101:$AU$131,37)</f>
        <v>1.8911000000000001E-2</v>
      </c>
      <c r="BC18" s="309">
        <f>+VLOOKUP($A$1,data!$A$101:$AU$131,38)</f>
        <v>2.1113E-2</v>
      </c>
      <c r="BD18" s="309">
        <f>+VLOOKUP($A$1,data!$A$101:$AU$131,39)</f>
        <v>1.9434E-2</v>
      </c>
      <c r="BE18" s="309">
        <f>+VLOOKUP($A$1,data!$A$101:$AU$131,40)</f>
        <v>2.1600999999999999E-2</v>
      </c>
      <c r="BF18" s="309">
        <f>+VLOOKUP($A$1,data!$A$101:$AU$131,41)</f>
        <v>2.5075E-2</v>
      </c>
      <c r="BG18" s="309">
        <f>+VLOOKUP($A$1,data!$A$101:$AU$131,42)</f>
        <v>2.3435999999999998E-2</v>
      </c>
      <c r="BH18" s="309">
        <f>+VLOOKUP($A$1,data!$A$101:$AU$131,43)</f>
        <v>2.2648999999999999E-2</v>
      </c>
      <c r="BI18" s="309">
        <f>+VLOOKUP($A$1,data!$A$101:$AU$131,44)</f>
        <v>2.2880999999999999E-2</v>
      </c>
      <c r="BJ18" s="309">
        <f>+VLOOKUP($A$1,data!$A$101:$AU$131,45)</f>
        <v>1.8675000000000001E-2</v>
      </c>
      <c r="BK18" s="309">
        <f>+VLOOKUP($A$1,data!$A$101:$AU$131,46)</f>
        <v>2.9090000000000001E-2</v>
      </c>
      <c r="BL18" s="309">
        <f>SUM(AZ18:BK18)</f>
        <v>0.25526500000000002</v>
      </c>
      <c r="BM18" s="309">
        <f>SUM(AZ18:BK18)</f>
        <v>0.25526500000000002</v>
      </c>
      <c r="BN18" s="310">
        <f>+BM20-BM18</f>
        <v>0.20745618999999998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19.958949096880133</v>
      </c>
      <c r="C19" s="409">
        <f>+VLOOKUP($A$1,data!$A$37:$AU$67,20)</f>
        <v>15.604269293924466</v>
      </c>
      <c r="D19" s="409">
        <f>+VLOOKUP($A$1,data!$A$37:$AU$67,21)</f>
        <v>15.604269293924466</v>
      </c>
      <c r="E19" s="409">
        <f>+VLOOKUP($A$1,data!$A$37:$AU$67,22)</f>
        <v>19.958949096880133</v>
      </c>
      <c r="F19" s="409">
        <f>+VLOOKUP($A$1,data!$A$37:$AU$67,23)</f>
        <v>23.587848932676522</v>
      </c>
      <c r="G19" s="409">
        <f>+VLOOKUP($A$1,data!$A$37:$AU$67,24)</f>
        <v>21.410509031198689</v>
      </c>
      <c r="H19" s="409">
        <f>+VLOOKUP($A$1,data!$A$37:$AU$67,25)</f>
        <v>14.152709359605913</v>
      </c>
      <c r="I19" s="409">
        <f>+VLOOKUP($A$1,data!$A$37:$AU$67,26)</f>
        <v>17.055829228243024</v>
      </c>
      <c r="J19" s="409">
        <f>+VLOOKUP($A$1,data!$A$37:$AU$67,27)</f>
        <v>13.789819376026273</v>
      </c>
      <c r="K19" s="409">
        <f>+VLOOKUP($A$1,data!$A$37:$AU$67,28)</f>
        <v>12.701149425287356</v>
      </c>
      <c r="L19" s="409">
        <f>+VLOOKUP($A$1,data!$A$37:$AU$67,29)</f>
        <v>15.241379310344827</v>
      </c>
      <c r="M19" s="409">
        <f>+VLOOKUP($A$1,data!$A$37:$AU$67,30)</f>
        <v>31.934318555008208</v>
      </c>
      <c r="N19" s="409">
        <f>SUM(B19:M19)</f>
        <v>221</v>
      </c>
      <c r="O19" s="630">
        <f t="shared" ref="O19:O20" si="0">SUM(B19:M19)</f>
        <v>221</v>
      </c>
      <c r="P19" s="412">
        <f>+O20-O19</f>
        <v>-29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7.4012999999999995E-2</v>
      </c>
      <c r="AK19" s="423">
        <f>+VLOOKUP($A$1,data!$A$69:$AU$99,20)</f>
        <v>7.6523999999999995E-2</v>
      </c>
      <c r="AL19" s="423">
        <f>+VLOOKUP($A$1,data!$A$69:$AU$99,21)</f>
        <v>7.4476000000000001E-2</v>
      </c>
      <c r="AM19" s="423">
        <f>+VLOOKUP($A$1,data!$A$69:$AU$99,22)</f>
        <v>8.4203E-2</v>
      </c>
      <c r="AN19" s="423">
        <f>+VLOOKUP($A$1,data!$A$69:$AU$99,23)</f>
        <v>7.1516999999999997E-2</v>
      </c>
      <c r="AO19" s="423">
        <f>+VLOOKUP($A$1,data!$A$69:$AU$99,24)</f>
        <v>7.2711999999999999E-2</v>
      </c>
      <c r="AP19" s="423">
        <f>+VLOOKUP($A$1,data!$A$69:$AU$99,25)</f>
        <v>8.3489999999999995E-2</v>
      </c>
      <c r="AQ19" s="423">
        <f>+VLOOKUP($A$1,data!$A$69:$AU$99,26)</f>
        <v>8.3946000000000007E-2</v>
      </c>
      <c r="AR19" s="423">
        <f>+VLOOKUP($A$1,data!$A$69:$AU$99,27)</f>
        <v>8.3570000000000005E-2</v>
      </c>
      <c r="AS19" s="423">
        <f>+VLOOKUP($A$1,data!$A$69:$AU$99,28)</f>
        <v>8.2869999999999999E-2</v>
      </c>
      <c r="AT19" s="423">
        <f>+VLOOKUP($A$1,data!$A$69:$AU$99,29)</f>
        <v>7.6053999999999997E-2</v>
      </c>
      <c r="AU19" s="423">
        <f>+VLOOKUP($A$1,data!$A$69:$AU$99,30)</f>
        <v>7.9055E-2</v>
      </c>
      <c r="AV19" s="423">
        <f>SUM(AJ19:AU19)</f>
        <v>0.94242999999999988</v>
      </c>
      <c r="AW19" s="424">
        <f t="shared" ref="AW19:AW20" si="1">SUM(AJ19:AU19)</f>
        <v>0.94242999999999988</v>
      </c>
      <c r="AX19" s="425">
        <f>+AW20-AW19</f>
        <v>-1.52299999999983E-3</v>
      </c>
      <c r="AY19" s="311" t="s">
        <v>94</v>
      </c>
      <c r="AZ19" s="312">
        <f>+VLOOKUP($A$1,data!$A$101:$AU$131,19)</f>
        <v>1.15E-2</v>
      </c>
      <c r="BA19" s="312">
        <f>+VLOOKUP($A$1,data!$A$101:$AU$131,20)</f>
        <v>1.3162999999999999E-2</v>
      </c>
      <c r="BB19" s="312">
        <f>+VLOOKUP($A$1,data!$A$101:$AU$131,21)</f>
        <v>1.3231E-2</v>
      </c>
      <c r="BC19" s="312">
        <f>+VLOOKUP($A$1,data!$A$101:$AU$131,22)</f>
        <v>1.5183E-2</v>
      </c>
      <c r="BD19" s="312">
        <f>+VLOOKUP($A$1,data!$A$101:$AU$131,23)</f>
        <v>1.3006E-2</v>
      </c>
      <c r="BE19" s="312">
        <f>+VLOOKUP($A$1,data!$A$101:$AU$131,24)</f>
        <v>1.3990000000000001E-2</v>
      </c>
      <c r="BF19" s="312">
        <f>+VLOOKUP($A$1,data!$A$101:$AU$131,25)</f>
        <v>1.6240999999999998E-2</v>
      </c>
      <c r="BG19" s="312">
        <f>+VLOOKUP($A$1,data!$A$101:$AU$131,26)</f>
        <v>1.6091000000000001E-2</v>
      </c>
      <c r="BH19" s="312">
        <f>+VLOOKUP($A$1,data!$A$101:$AU$131,27)</f>
        <v>1.5069000000000001E-2</v>
      </c>
      <c r="BI19" s="312">
        <f>+VLOOKUP($A$1,data!$A$101:$AU$131,28)</f>
        <v>1.5025E-2</v>
      </c>
      <c r="BJ19" s="312">
        <f>+VLOOKUP($A$1,data!$A$101:$AU$131,29)</f>
        <v>1.3457999999999999E-2</v>
      </c>
      <c r="BK19" s="312">
        <f>+VLOOKUP($A$1,data!$A$101:$AU$131,30)</f>
        <v>1.6913000000000001E-2</v>
      </c>
      <c r="BL19" s="312">
        <f>SUM(AZ19:BK19)</f>
        <v>0.17287000000000002</v>
      </c>
      <c r="BM19" s="313">
        <f t="shared" ref="BM19:BM20" si="2">SUM(AZ19:BK19)</f>
        <v>0.17287000000000002</v>
      </c>
      <c r="BN19" s="314">
        <f>+BM20-BM19</f>
        <v>0.28985118999999998</v>
      </c>
    </row>
    <row r="20" spans="1:66" s="247" customFormat="1" ht="19.5" thickBot="1" x14ac:dyDescent="0.35">
      <c r="A20" s="413" t="s">
        <v>93</v>
      </c>
      <c r="B20" s="414">
        <f>+VLOOKUP($A$1,data!$A$37:$AU$67,3)</f>
        <v>5</v>
      </c>
      <c r="C20" s="414">
        <f>+VLOOKUP($A$1,data!$A$37:$AU$67,4)</f>
        <v>16</v>
      </c>
      <c r="D20" s="414">
        <f>+VLOOKUP($A$1,data!$A$37:$AU$67,5)</f>
        <v>11</v>
      </c>
      <c r="E20" s="414">
        <f>+VLOOKUP($A$1,data!$A$37:$AU$67,6)</f>
        <v>8</v>
      </c>
      <c r="F20" s="414">
        <f>+VLOOKUP($A$1,data!$A$37:$AU$67,7)</f>
        <v>16</v>
      </c>
      <c r="G20" s="414">
        <f>+VLOOKUP($A$1,data!$A$37:$AU$67,8)</f>
        <v>14</v>
      </c>
      <c r="H20" s="414">
        <f>+VLOOKUP($A$1,data!$A$37:$AU$67,9)</f>
        <v>7</v>
      </c>
      <c r="I20" s="414">
        <f>+VLOOKUP($A$1,data!$A$37:$AU$67,10)</f>
        <v>17</v>
      </c>
      <c r="J20" s="414">
        <f>+VLOOKUP($A$1,data!$A$37:$AU$67,11)</f>
        <v>25</v>
      </c>
      <c r="K20" s="414">
        <f>+VLOOKUP($A$1,data!$A$37:$AU$67,12)</f>
        <v>35</v>
      </c>
      <c r="L20" s="414">
        <f>+VLOOKUP($A$1,data!$A$37:$AU$67,13)</f>
        <v>21</v>
      </c>
      <c r="M20" s="414">
        <f>+VLOOKUP($A$1,data!$A$37:$AU$67,14)</f>
        <v>17</v>
      </c>
      <c r="N20" s="414">
        <f>SUM(B20:M20)</f>
        <v>192</v>
      </c>
      <c r="O20" s="631">
        <f t="shared" si="0"/>
        <v>192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7.5199000000000002E-2</v>
      </c>
      <c r="AK20" s="420">
        <f>+VLOOKUP($A$1,data!$A$69:$AU$99,4)</f>
        <v>7.5902999999999998E-2</v>
      </c>
      <c r="AL20" s="420">
        <f>+VLOOKUP($A$1,data!$A$69:$AU$99,5)</f>
        <v>7.4317999999999995E-2</v>
      </c>
      <c r="AM20" s="420">
        <f>+VLOOKUP($A$1,data!$A$69:$AU$99,6)</f>
        <v>8.6447999999999997E-2</v>
      </c>
      <c r="AN20" s="420">
        <f>+VLOOKUP($A$1,data!$A$69:$AU$99,7)</f>
        <v>7.0379999999999998E-2</v>
      </c>
      <c r="AO20" s="420">
        <f>+VLOOKUP($A$1,data!$A$69:$AU$99,8)</f>
        <v>7.4039999999999995E-2</v>
      </c>
      <c r="AP20" s="420">
        <f>+VLOOKUP($A$1,data!$A$69:$AU$99,9)</f>
        <v>8.4048999999999999E-2</v>
      </c>
      <c r="AQ20" s="420">
        <f>+VLOOKUP($A$1,data!$A$69:$AU$99,10)</f>
        <v>8.2111000000000003E-2</v>
      </c>
      <c r="AR20" s="420">
        <f>+VLOOKUP($A$1,data!$A$69:$AU$99,11)</f>
        <v>8.4583000000000005E-2</v>
      </c>
      <c r="AS20" s="420">
        <f>+VLOOKUP($A$1,data!$A$69:$AU$99,12)</f>
        <v>7.9880999999999994E-2</v>
      </c>
      <c r="AT20" s="420">
        <f>+VLOOKUP($A$1,data!$A$69:$AU$99,13)</f>
        <v>7.6355999999999993E-2</v>
      </c>
      <c r="AU20" s="420">
        <f>+VLOOKUP($A$1,data!$A$69:$AU$99,14)</f>
        <v>7.7639E-2</v>
      </c>
      <c r="AV20" s="420">
        <f>SUM(AJ20:AU20)</f>
        <v>0.94090700000000005</v>
      </c>
      <c r="AW20" s="421">
        <f t="shared" si="1"/>
        <v>0.94090700000000005</v>
      </c>
      <c r="AX20" s="422"/>
      <c r="AY20" s="315" t="s">
        <v>93</v>
      </c>
      <c r="AZ20" s="316">
        <f>+VLOOKUP($A$1,data!$A$101:$AU$131,3)</f>
        <v>2.1145000000000001E-2</v>
      </c>
      <c r="BA20" s="316">
        <f>+VLOOKUP($A$1,data!$A$101:$AU$131,4)</f>
        <v>3.6020999999999997E-2</v>
      </c>
      <c r="BB20" s="316">
        <f>+VLOOKUP($A$1,data!$A$101:$AU$131,5)</f>
        <v>4.8044999999999997E-2</v>
      </c>
      <c r="BC20" s="316">
        <f>+VLOOKUP($A$1,data!$A$101:$AU$131,6)</f>
        <v>2.9021999999999999E-2</v>
      </c>
      <c r="BD20" s="316">
        <f>+VLOOKUP($A$1,data!$A$101:$AU$131,7)</f>
        <v>3.7812809999999995E-2</v>
      </c>
      <c r="BE20" s="316">
        <f>+VLOOKUP($A$1,data!$A$101:$AU$131,8)</f>
        <v>4.5384440000000005E-2</v>
      </c>
      <c r="BF20" s="316">
        <f>+VLOOKUP($A$1,data!$A$101:$AU$131,9)</f>
        <v>3.5748519999999992E-2</v>
      </c>
      <c r="BG20" s="316">
        <f>+VLOOKUP($A$1,data!$A$101:$AU$131,10)</f>
        <v>4.4183460000000008E-2</v>
      </c>
      <c r="BH20" s="316">
        <f>+VLOOKUP($A$1,data!$A$101:$AU$131,11)</f>
        <v>3.8293150000000012E-2</v>
      </c>
      <c r="BI20" s="316">
        <f>+VLOOKUP($A$1,data!$A$101:$AU$131,12)</f>
        <v>3.7246609999999999E-2</v>
      </c>
      <c r="BJ20" s="316">
        <f>+VLOOKUP($A$1,data!$A$101:$AU$131,13)</f>
        <v>3.8094910000000003E-2</v>
      </c>
      <c r="BK20" s="316">
        <f>+VLOOKUP($A$1,data!$A$101:$AU$131,14)</f>
        <v>5.1724290000000006E-2</v>
      </c>
      <c r="BL20" s="316">
        <f>SUM(AZ20:BK20)</f>
        <v>0.46272119</v>
      </c>
      <c r="BM20" s="317">
        <f t="shared" si="2"/>
        <v>0.46272119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49.167487684729068</v>
      </c>
      <c r="W21" s="671">
        <f>+VLOOKUP($A$1,data!$A$261:$AK$291,16)</f>
        <v>31</v>
      </c>
      <c r="X21" s="671">
        <f>+VLOOKUP($A$1,data!$A$261:$AK$291,36)</f>
        <v>112.12479474548441</v>
      </c>
      <c r="Y21" s="671">
        <f>+VLOOKUP($A$1,data!$A$261:$AK$291,17)</f>
        <v>68</v>
      </c>
      <c r="Z21" s="671">
        <f>+VLOOKUP($A$1,data!$A$261:$AK$291,37)</f>
        <v>154.1231527093596</v>
      </c>
      <c r="AA21" s="671">
        <f>+VLOOKUP($A$1,data!$A$261:$AK$291,18)</f>
        <v>110</v>
      </c>
      <c r="AB21" s="671">
        <f>+VLOOKUP($A$1,data!$A$261:$AK$291,34)</f>
        <v>209</v>
      </c>
      <c r="AC21" s="671">
        <f>+VLOOKUP($A$1,data!$A$261:$AK$291,15)</f>
        <v>162</v>
      </c>
      <c r="AD21" s="671">
        <f>+AA21-Z21</f>
        <v>-44.123152709359601</v>
      </c>
      <c r="AE21" s="684">
        <f>+AC21-AB21</f>
        <v>-47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customHeight="1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2</v>
      </c>
      <c r="W22" s="672">
        <f>+VLOOKUP($A$1,data!$A$229:$AK$259,16)</f>
        <v>1</v>
      </c>
      <c r="X22" s="672">
        <f>+VLOOKUP($A$1,data!$A$229:$AK$259,36)</f>
        <v>4</v>
      </c>
      <c r="Y22" s="672">
        <f>+VLOOKUP($A$1,data!$A$229:$AK$259,17)</f>
        <v>2</v>
      </c>
      <c r="Z22" s="672">
        <f>+VLOOKUP($A$1,data!$A$229:$AK$259,37)</f>
        <v>7</v>
      </c>
      <c r="AA22" s="672">
        <f>+VLOOKUP($A$1,data!$A$229:$AK$259,18)</f>
        <v>9</v>
      </c>
      <c r="AB22" s="672">
        <f>+VLOOKUP($A$1,data!$A$229:$AK$259,34)</f>
        <v>12</v>
      </c>
      <c r="AC22" s="765">
        <f>+VLOOKUP($A$1,data!$A$229:$AK$259,15)</f>
        <v>30</v>
      </c>
      <c r="AD22" s="671">
        <f>+AA22-Z22</f>
        <v>2</v>
      </c>
      <c r="AE22" s="685">
        <f>+AC22-AB22</f>
        <v>18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51.167487684729068</v>
      </c>
      <c r="W23" s="689">
        <f t="shared" ref="W23:AC23" si="3">SUM(W21:W22)</f>
        <v>32</v>
      </c>
      <c r="X23" s="689">
        <f t="shared" si="3"/>
        <v>116.12479474548441</v>
      </c>
      <c r="Y23" s="689">
        <f t="shared" si="3"/>
        <v>70</v>
      </c>
      <c r="Z23" s="689">
        <f t="shared" si="3"/>
        <v>161.1231527093596</v>
      </c>
      <c r="AA23" s="689">
        <f t="shared" si="3"/>
        <v>119</v>
      </c>
      <c r="AB23" s="689">
        <f t="shared" si="3"/>
        <v>221</v>
      </c>
      <c r="AC23" s="764">
        <f t="shared" si="3"/>
        <v>192</v>
      </c>
      <c r="AD23" s="689">
        <f>+AA23-Z23</f>
        <v>-42.123152709359601</v>
      </c>
      <c r="AE23" s="686">
        <f>+AC23-AB23</f>
        <v>-29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11</v>
      </c>
      <c r="D39" s="406">
        <f t="shared" ref="D39:N41" si="4">+C39+C18</f>
        <v>19</v>
      </c>
      <c r="E39" s="406">
        <f t="shared" si="4"/>
        <v>29</v>
      </c>
      <c r="F39" s="406">
        <f t="shared" si="4"/>
        <v>43</v>
      </c>
      <c r="G39" s="406">
        <f t="shared" si="4"/>
        <v>60</v>
      </c>
      <c r="H39" s="406">
        <f t="shared" si="4"/>
        <v>76</v>
      </c>
      <c r="I39" s="406">
        <f t="shared" si="4"/>
        <v>88</v>
      </c>
      <c r="J39" s="406">
        <f t="shared" si="4"/>
        <v>101</v>
      </c>
      <c r="K39" s="406">
        <f t="shared" si="4"/>
        <v>114</v>
      </c>
      <c r="L39" s="406">
        <f t="shared" si="4"/>
        <v>124</v>
      </c>
      <c r="M39" s="406">
        <f t="shared" si="4"/>
        <v>142</v>
      </c>
      <c r="N39" s="406">
        <f t="shared" si="4"/>
        <v>208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7.1025000000000005E-2</v>
      </c>
      <c r="AL39" s="418">
        <f t="shared" ref="AL39:AV41" si="5">+AK39+AK18</f>
        <v>0.14645900000000001</v>
      </c>
      <c r="AM39" s="418">
        <f t="shared" si="5"/>
        <v>0.218419</v>
      </c>
      <c r="AN39" s="418">
        <f t="shared" si="5"/>
        <v>0.29539100000000001</v>
      </c>
      <c r="AO39" s="418">
        <f t="shared" si="5"/>
        <v>0.36672500000000002</v>
      </c>
      <c r="AP39" s="418">
        <f t="shared" si="5"/>
        <v>0.44109700000000002</v>
      </c>
      <c r="AQ39" s="418">
        <f t="shared" si="5"/>
        <v>0.52472000000000008</v>
      </c>
      <c r="AR39" s="418">
        <f t="shared" si="5"/>
        <v>0.60962600000000011</v>
      </c>
      <c r="AS39" s="418">
        <f t="shared" si="5"/>
        <v>0.69257900000000006</v>
      </c>
      <c r="AT39" s="418">
        <f t="shared" si="5"/>
        <v>0.77938300000000005</v>
      </c>
      <c r="AU39" s="418">
        <f t="shared" si="5"/>
        <v>0.84721900000000006</v>
      </c>
      <c r="AV39" s="418">
        <f t="shared" si="5"/>
        <v>0.92673900000000009</v>
      </c>
      <c r="AW39" s="158"/>
      <c r="AX39" s="158"/>
      <c r="AY39" s="308" t="s">
        <v>92</v>
      </c>
      <c r="AZ39" s="464">
        <f>+VLOOKUP($A$1,data!$A$133:$BK$163,26)</f>
        <v>16.416243416102333</v>
      </c>
      <c r="BA39" s="464">
        <f>+VLOOKUP($A$1,data!$A$133:$BK$163,27)</f>
        <v>19.61216066717726</v>
      </c>
      <c r="BB39" s="464">
        <f>+VLOOKUP($A$1,data!$A$133:$BK$163,28)</f>
        <v>20.790685913433524</v>
      </c>
      <c r="BC39" s="464">
        <f>+VLOOKUP($A$1,data!$A$133:$BK$163,29)</f>
        <v>19.002455346396417</v>
      </c>
      <c r="BD39" s="464">
        <f>+VLOOKUP($A$1,data!$A$133:$BK$163,30)</f>
        <v>21.506132094690951</v>
      </c>
      <c r="BE39" s="464">
        <f>+VLOOKUP($A$1,data!$A$133:$BK$163,31)</f>
        <v>21.376951084027233</v>
      </c>
      <c r="BF39" s="464">
        <f>+VLOOKUP($A$1,data!$A$133:$BK$163,32)</f>
        <v>22.437468838291508</v>
      </c>
      <c r="BG39" s="464">
        <f>+VLOOKUP($A$1,data!$A$133:$BK$163,33)</f>
        <v>20.429149156070281</v>
      </c>
      <c r="BH39" s="464">
        <f>+VLOOKUP($A$1,data!$A$133:$BK$163,34)</f>
        <v>22.988769195507679</v>
      </c>
      <c r="BI39" s="464">
        <f>+VLOOKUP($A$1,data!$A$133:$BK$163,35)</f>
        <v>21.447004776982631</v>
      </c>
      <c r="BJ39" s="464">
        <f>+VLOOKUP($A$1,data!$A$133:$BK$163,36)</f>
        <v>21.357712690719122</v>
      </c>
      <c r="BK39" s="464">
        <f>+VLOOKUP($A$1,data!$A$133:$BK$163,37)</f>
        <v>20.984844954323446</v>
      </c>
      <c r="BL39" s="464">
        <f>+VLOOKUP($A$1,data!$A$133:$BK$163,38)</f>
        <v>20.839367195825023</v>
      </c>
      <c r="BM39" s="464">
        <f>+VLOOKUP($A$1,data!$A$133:$BK$163,39)</f>
        <v>21.571390618322109</v>
      </c>
      <c r="BN39" s="464">
        <f>+VLOOKUP($A$1,data!$A$133:$BK$163,40)</f>
        <v>26.736640870572231</v>
      </c>
      <c r="BO39" s="464">
        <f>+VLOOKUP($A$1,data!$A$133:$BK$163,41)</f>
        <v>21.54235006688074</v>
      </c>
    </row>
    <row r="40" spans="1:67" ht="21.75" thickBot="1" x14ac:dyDescent="0.4">
      <c r="A40"/>
      <c r="B40" s="408" t="s">
        <v>94</v>
      </c>
      <c r="C40" s="409">
        <f>+B19</f>
        <v>19.958949096880133</v>
      </c>
      <c r="D40" s="409">
        <f t="shared" si="4"/>
        <v>35.5632183908046</v>
      </c>
      <c r="E40" s="409">
        <f t="shared" si="4"/>
        <v>51.167487684729068</v>
      </c>
      <c r="F40" s="409">
        <f t="shared" si="4"/>
        <v>71.1264367816092</v>
      </c>
      <c r="G40" s="409">
        <f t="shared" si="4"/>
        <v>94.714285714285722</v>
      </c>
      <c r="H40" s="409">
        <f t="shared" si="4"/>
        <v>116.12479474548441</v>
      </c>
      <c r="I40" s="409">
        <f t="shared" si="4"/>
        <v>130.27750410509032</v>
      </c>
      <c r="J40" s="409">
        <f t="shared" si="4"/>
        <v>147.33333333333334</v>
      </c>
      <c r="K40" s="409">
        <f t="shared" si="4"/>
        <v>161.1231527093596</v>
      </c>
      <c r="L40" s="409">
        <f t="shared" si="4"/>
        <v>173.82430213464696</v>
      </c>
      <c r="M40" s="409">
        <f t="shared" si="4"/>
        <v>189.06568144499178</v>
      </c>
      <c r="N40" s="409">
        <f t="shared" si="4"/>
        <v>221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7.4012999999999995E-2</v>
      </c>
      <c r="AL40" s="423">
        <f t="shared" si="5"/>
        <v>0.15053699999999998</v>
      </c>
      <c r="AM40" s="423">
        <f t="shared" si="5"/>
        <v>0.22501299999999996</v>
      </c>
      <c r="AN40" s="423">
        <f t="shared" si="5"/>
        <v>0.30921599999999994</v>
      </c>
      <c r="AO40" s="423">
        <f t="shared" si="5"/>
        <v>0.38073299999999993</v>
      </c>
      <c r="AP40" s="423">
        <f t="shared" si="5"/>
        <v>0.45344499999999993</v>
      </c>
      <c r="AQ40" s="423">
        <f t="shared" si="5"/>
        <v>0.53693499999999994</v>
      </c>
      <c r="AR40" s="423">
        <f t="shared" si="5"/>
        <v>0.62088099999999991</v>
      </c>
      <c r="AS40" s="423">
        <f t="shared" si="5"/>
        <v>0.70445099999999994</v>
      </c>
      <c r="AT40" s="423">
        <f t="shared" si="5"/>
        <v>0.78732099999999994</v>
      </c>
      <c r="AU40" s="423">
        <f t="shared" si="5"/>
        <v>0.86337499999999989</v>
      </c>
      <c r="AV40" s="423">
        <f t="shared" si="5"/>
        <v>0.94242999999999988</v>
      </c>
      <c r="AW40" s="158"/>
      <c r="AX40" s="158"/>
      <c r="AY40" s="311" t="s">
        <v>94</v>
      </c>
      <c r="AZ40" s="458">
        <f>+VLOOKUP($A$1,data!$A$133:$BK$163,22)</f>
        <v>15.499865507038466</v>
      </c>
      <c r="BA40" s="458">
        <f>+$AZ$40</f>
        <v>15.499865507038466</v>
      </c>
      <c r="BB40" s="458">
        <f t="shared" ref="BB40:BO40" si="6">+$AZ$40</f>
        <v>15.499865507038466</v>
      </c>
      <c r="BC40" s="458">
        <f t="shared" si="6"/>
        <v>15.499865507038466</v>
      </c>
      <c r="BD40" s="458">
        <f t="shared" si="6"/>
        <v>15.499865507038466</v>
      </c>
      <c r="BE40" s="458">
        <f t="shared" si="6"/>
        <v>15.499865507038466</v>
      </c>
      <c r="BF40" s="458">
        <f t="shared" si="6"/>
        <v>15.499865507038466</v>
      </c>
      <c r="BG40" s="458">
        <f t="shared" si="6"/>
        <v>15.499865507038466</v>
      </c>
      <c r="BH40" s="458">
        <f t="shared" si="6"/>
        <v>15.499865507038466</v>
      </c>
      <c r="BI40" s="458">
        <f t="shared" si="6"/>
        <v>15.499865507038466</v>
      </c>
      <c r="BJ40" s="458">
        <f t="shared" si="6"/>
        <v>15.499865507038466</v>
      </c>
      <c r="BK40" s="458">
        <f t="shared" si="6"/>
        <v>15.499865507038466</v>
      </c>
      <c r="BL40" s="458">
        <f t="shared" si="6"/>
        <v>15.499865507038466</v>
      </c>
      <c r="BM40" s="458">
        <f t="shared" si="6"/>
        <v>15.499865507038466</v>
      </c>
      <c r="BN40" s="458">
        <f t="shared" si="6"/>
        <v>15.499865507038466</v>
      </c>
      <c r="BO40" s="458">
        <f t="shared" si="6"/>
        <v>15.499865507038466</v>
      </c>
    </row>
    <row r="41" spans="1:67" ht="21.75" thickBot="1" x14ac:dyDescent="0.4">
      <c r="A41"/>
      <c r="B41" s="413" t="s">
        <v>93</v>
      </c>
      <c r="C41" s="414">
        <f>+B20</f>
        <v>5</v>
      </c>
      <c r="D41" s="414">
        <f t="shared" si="4"/>
        <v>21</v>
      </c>
      <c r="E41" s="414">
        <f t="shared" si="4"/>
        <v>32</v>
      </c>
      <c r="F41" s="414">
        <f t="shared" si="4"/>
        <v>40</v>
      </c>
      <c r="G41" s="414">
        <f t="shared" si="4"/>
        <v>56</v>
      </c>
      <c r="H41" s="414">
        <f t="shared" si="4"/>
        <v>70</v>
      </c>
      <c r="I41" s="414">
        <f t="shared" si="4"/>
        <v>77</v>
      </c>
      <c r="J41" s="414">
        <f t="shared" si="4"/>
        <v>94</v>
      </c>
      <c r="K41" s="414">
        <f t="shared" si="4"/>
        <v>119</v>
      </c>
      <c r="L41" s="414">
        <f t="shared" si="4"/>
        <v>154</v>
      </c>
      <c r="M41" s="414">
        <f t="shared" si="4"/>
        <v>175</v>
      </c>
      <c r="N41" s="414">
        <f t="shared" si="4"/>
        <v>192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7.5199000000000002E-2</v>
      </c>
      <c r="AL41" s="420">
        <f t="shared" si="5"/>
        <v>0.15110200000000001</v>
      </c>
      <c r="AM41" s="420">
        <f t="shared" si="5"/>
        <v>0.22542000000000001</v>
      </c>
      <c r="AN41" s="420">
        <f t="shared" si="5"/>
        <v>0.31186800000000003</v>
      </c>
      <c r="AO41" s="420">
        <f t="shared" si="5"/>
        <v>0.38224800000000003</v>
      </c>
      <c r="AP41" s="420">
        <f t="shared" si="5"/>
        <v>0.45628800000000003</v>
      </c>
      <c r="AQ41" s="420">
        <f t="shared" si="5"/>
        <v>0.54033700000000007</v>
      </c>
      <c r="AR41" s="420">
        <f t="shared" si="5"/>
        <v>0.62244800000000011</v>
      </c>
      <c r="AS41" s="420">
        <f t="shared" si="5"/>
        <v>0.70703100000000008</v>
      </c>
      <c r="AT41" s="420">
        <f t="shared" si="5"/>
        <v>0.78691200000000006</v>
      </c>
      <c r="AU41" s="420">
        <f t="shared" si="5"/>
        <v>0.86326800000000004</v>
      </c>
      <c r="AV41" s="420">
        <f t="shared" si="5"/>
        <v>0.94090700000000005</v>
      </c>
      <c r="AW41" s="158"/>
      <c r="AX41" s="158"/>
      <c r="AY41" s="315" t="s">
        <v>93</v>
      </c>
      <c r="AZ41" s="442">
        <f>+VLOOKUP($A$1,data!$A$133:$BK$163,3)</f>
        <v>21.933054653707718</v>
      </c>
      <c r="BA41" s="442">
        <f>+VLOOKUP($A$1,data!$A$133:$BK$163,4)</f>
        <v>32.15041191013843</v>
      </c>
      <c r="BB41" s="442">
        <f>+VLOOKUP($A$1,data!$A$133:$BK$163,5)</f>
        <v>39.224250538828294</v>
      </c>
      <c r="BC41" s="442">
        <f>+VLOOKUP($A$1,data!$A$133:$BK$163,6)</f>
        <v>31.792139822441939</v>
      </c>
      <c r="BD41" s="442">
        <f>+VLOOKUP($A$1,data!$A$133:$BK$163,7)</f>
        <v>25.118356254489747</v>
      </c>
      <c r="BE41" s="442">
        <f>+VLOOKUP($A$1,data!$A$133:$BK$163,8)</f>
        <v>34.909779098729906</v>
      </c>
      <c r="BF41" s="442">
        <f>+VLOOKUP($A$1,data!$A$133:$BK$163,9)</f>
        <v>37.902982534263849</v>
      </c>
      <c r="BG41" s="442">
        <f>+VLOOKUP($A$1,data!$A$133:$BK$163,10)</f>
        <v>32.234369376865423</v>
      </c>
      <c r="BH41" s="442">
        <f>+VLOOKUP($A$1,data!$A$133:$BK$163,11)</f>
        <v>29.782858559639656</v>
      </c>
      <c r="BI41" s="442">
        <f>+VLOOKUP($A$1,data!$A$133:$BK$163,12)</f>
        <v>34.926681056786904</v>
      </c>
      <c r="BJ41" s="442">
        <f>+VLOOKUP($A$1,data!$A$133:$BK$163,13)</f>
        <v>31.133110538654446</v>
      </c>
      <c r="BK41" s="442">
        <f>+VLOOKUP($A$1,data!$A$133:$BK$163,14)</f>
        <v>32.149008327460592</v>
      </c>
      <c r="BL41" s="442">
        <f>+VLOOKUP($A$1,data!$A$133:$BK$163,15)</f>
        <v>31.755832798550543</v>
      </c>
      <c r="BM41" s="442">
        <f>+VLOOKUP($A$1,data!$A$133:$BK$163,16)</f>
        <v>33.260522927027232</v>
      </c>
      <c r="BN41" s="442">
        <f>+VLOOKUP($A$1,data!$A$133:$BK$163,17)</f>
        <v>39.958109266785478</v>
      </c>
      <c r="BO41" s="442">
        <f>+VLOOKUP($A$1,data!$A$133:$BK$163,18)</f>
        <v>32.926084240563618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21.54235006688074</v>
      </c>
      <c r="BA43" s="826">
        <f>+VLOOKUP($A$1,data!$A$133:$BK$163,26)</f>
        <v>16.416243416102333</v>
      </c>
      <c r="BB43" s="473">
        <f>+AZ45-AZ43</f>
        <v>11.383734173682878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15.499865507038466</v>
      </c>
      <c r="BA44" s="830"/>
      <c r="BB44" s="472">
        <f>+AZ45-AZ44</f>
        <v>17.426218733525154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32.926084240563618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1021</v>
      </c>
      <c r="B47" s="817" t="str">
        <f>+VLOOKUP($A$1,data!$A$4:$AH$32,2,0)</f>
        <v>ท่าวังผา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1021</v>
      </c>
      <c r="T47" s="817" t="str">
        <f>+VLOOKUP($A$1,data!$A$4:$AH$32,2,0)</f>
        <v>ท่าวังผา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1021</v>
      </c>
      <c r="AJ47" s="817" t="str">
        <f>+VLOOKUP($A$1,data!$A$4:$AH$32,2,0)</f>
        <v>ท่าวังผา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1.4698253600000004</v>
      </c>
      <c r="C64" s="632">
        <f>+VLOOKUP($A$1,data!$A$165:$AU$195,36)</f>
        <v>1.53859346</v>
      </c>
      <c r="D64" s="632">
        <f>+VLOOKUP($A$1,data!$A$165:$AU$195,37)</f>
        <v>1.4658808499999998</v>
      </c>
      <c r="E64" s="632">
        <f>+VLOOKUP($A$1,data!$A$165:$AU$195,38)</f>
        <v>1.5725406</v>
      </c>
      <c r="F64" s="632">
        <f>+VLOOKUP($A$1,data!$A$165:$AU$195,39)</f>
        <v>1.4677709899999998</v>
      </c>
      <c r="G64" s="632">
        <f>+VLOOKUP($A$1,data!$A$165:$AU$195,40)</f>
        <v>1.5214286499999998</v>
      </c>
      <c r="H64" s="632">
        <f>+VLOOKUP($A$1,data!$A$165:$AU$195,41)</f>
        <v>1.68893479</v>
      </c>
      <c r="I64" s="632">
        <f>+VLOOKUP($A$1,data!$A$165:$AU$195,42)</f>
        <v>1.6949025200000001</v>
      </c>
      <c r="J64" s="632">
        <f>+VLOOKUP($A$1,data!$A$165:$AU$195,43)</f>
        <v>1.6939389499999999</v>
      </c>
      <c r="K64" s="632">
        <f>+VLOOKUP($A$1,data!$A$165:$AU$195,44)</f>
        <v>1.7406487999999998</v>
      </c>
      <c r="L64" s="632">
        <f>+VLOOKUP($A$1,data!$A$165:$AU$195,45)</f>
        <v>1.41316946</v>
      </c>
      <c r="M64" s="632">
        <f>+VLOOKUP($A$1,data!$A$165:$AU$195,46)</f>
        <v>1.6935075400000001</v>
      </c>
      <c r="N64" s="632">
        <f>SUM(B64:M64)</f>
        <v>18.961141969999996</v>
      </c>
      <c r="O64" s="632">
        <f>SUM(B64:M64)</f>
        <v>18.961141969999996</v>
      </c>
      <c r="P64" s="635">
        <f>+O66-O64</f>
        <v>0.41841322000000503</v>
      </c>
      <c r="S64" s="605" t="s">
        <v>92</v>
      </c>
      <c r="T64" s="640">
        <f>+VLOOKUP($A$1,data!$A$197:$AU$227,35)</f>
        <v>0.70256987000000004</v>
      </c>
      <c r="U64" s="640">
        <f>+VLOOKUP($A$1,data!$A$197:$AU$227,36)</f>
        <v>0.75160369999999999</v>
      </c>
      <c r="V64" s="640">
        <f>+VLOOKUP($A$1,data!$A$197:$AU$227,37)</f>
        <v>0.71103057999999986</v>
      </c>
      <c r="W64" s="640">
        <f>+VLOOKUP($A$1,data!$A$197:$AU$227,38)</f>
        <v>0.73622114999999988</v>
      </c>
      <c r="X64" s="640">
        <f>+VLOOKUP($A$1,data!$A$197:$AU$227,39)</f>
        <v>0.78522822999999997</v>
      </c>
      <c r="Y64" s="640">
        <f>+VLOOKUP($A$1,data!$A$197:$AU$227,40)</f>
        <v>0.83708202999999992</v>
      </c>
      <c r="Z64" s="640">
        <f>+VLOOKUP($A$1,data!$A$197:$AU$227,41)</f>
        <v>0.73154384999999988</v>
      </c>
      <c r="AA64" s="640">
        <f>+VLOOKUP($A$1,data!$A$197:$AU$227,42)</f>
        <v>0.83912334999999993</v>
      </c>
      <c r="AB64" s="640">
        <f>+VLOOKUP($A$1,data!$A$197:$AU$227,43)</f>
        <v>0.8430213099999998</v>
      </c>
      <c r="AC64" s="640">
        <f>+VLOOKUP($A$1,data!$A$197:$AU$227,44)</f>
        <v>0.79030898999999999</v>
      </c>
      <c r="AD64" s="640">
        <f>+VLOOKUP($A$1,data!$A$197:$AU$227,45)</f>
        <v>0.88800747000000002</v>
      </c>
      <c r="AE64" s="640">
        <f>+VLOOKUP($A$1,data!$A$197:$AU$227,46)</f>
        <v>0.77246735999999994</v>
      </c>
      <c r="AF64" s="640">
        <f>SUM(T64:AE64)</f>
        <v>9.3882078900000003</v>
      </c>
      <c r="AG64" s="640">
        <f>SUM(T64:AE64)</f>
        <v>9.3882078900000003</v>
      </c>
      <c r="AH64" s="641">
        <f>+AG66-AG64</f>
        <v>0.81879762999999883</v>
      </c>
      <c r="AI64" s="621" t="s">
        <v>92</v>
      </c>
      <c r="AJ64" s="648">
        <f>+B64-T64</f>
        <v>0.76725549000000037</v>
      </c>
      <c r="AK64" s="648">
        <f t="shared" ref="AK64:AU66" si="7">+C64-U64</f>
        <v>0.78698975999999998</v>
      </c>
      <c r="AL64" s="648">
        <f t="shared" si="7"/>
        <v>0.75485026999999993</v>
      </c>
      <c r="AM64" s="648">
        <f t="shared" si="7"/>
        <v>0.83631945000000008</v>
      </c>
      <c r="AN64" s="648">
        <f t="shared" si="7"/>
        <v>0.6825427599999998</v>
      </c>
      <c r="AO64" s="648">
        <f t="shared" si="7"/>
        <v>0.68434661999999991</v>
      </c>
      <c r="AP64" s="648">
        <f t="shared" si="7"/>
        <v>0.95739094000000013</v>
      </c>
      <c r="AQ64" s="648">
        <f t="shared" si="7"/>
        <v>0.85577917000000014</v>
      </c>
      <c r="AR64" s="648">
        <f t="shared" si="7"/>
        <v>0.85091764000000014</v>
      </c>
      <c r="AS64" s="648">
        <f t="shared" si="7"/>
        <v>0.95033980999999979</v>
      </c>
      <c r="AT64" s="648">
        <f t="shared" si="7"/>
        <v>0.52516198999999997</v>
      </c>
      <c r="AU64" s="648">
        <f t="shared" si="7"/>
        <v>0.92104018000000021</v>
      </c>
      <c r="AV64" s="648">
        <f>SUM(AJ64:AU64)</f>
        <v>9.5729340800000013</v>
      </c>
      <c r="AW64" s="648">
        <f>SUM(AJ64:AU64)</f>
        <v>9.5729340800000013</v>
      </c>
      <c r="AX64" s="651">
        <f>+AW66-AW64</f>
        <v>-0.40038440999999914</v>
      </c>
    </row>
    <row r="65" spans="1:50" ht="21.75" thickBot="1" x14ac:dyDescent="0.4">
      <c r="A65" s="538" t="s">
        <v>94</v>
      </c>
      <c r="B65" s="633">
        <f>+VLOOKUP($A$1,data!$A$165:$AU$195,19)</f>
        <v>1.544548</v>
      </c>
      <c r="C65" s="633">
        <f>+VLOOKUP($A$1,data!$A$165:$AU$195,20)</f>
        <v>1.569113</v>
      </c>
      <c r="D65" s="633">
        <f>+VLOOKUP($A$1,data!$A$165:$AU$195,21)</f>
        <v>1.5393129999999999</v>
      </c>
      <c r="E65" s="633">
        <f>+VLOOKUP($A$1,data!$A$165:$AU$195,22)</f>
        <v>1.7139390000000001</v>
      </c>
      <c r="F65" s="633">
        <f>+VLOOKUP($A$1,data!$A$165:$AU$195,23)</f>
        <v>1.5024420000000001</v>
      </c>
      <c r="G65" s="633">
        <f>+VLOOKUP($A$1,data!$A$165:$AU$195,24)</f>
        <v>1.5162960000000001</v>
      </c>
      <c r="H65" s="633">
        <f>+VLOOKUP($A$1,data!$A$165:$AU$195,25)</f>
        <v>1.6873199999999999</v>
      </c>
      <c r="I65" s="633">
        <f>+VLOOKUP($A$1,data!$A$165:$AU$195,26)</f>
        <v>1.6888810000000001</v>
      </c>
      <c r="J65" s="633">
        <f>+VLOOKUP($A$1,data!$A$165:$AU$195,27)</f>
        <v>1.713069</v>
      </c>
      <c r="K65" s="633">
        <f>+VLOOKUP($A$1,data!$A$165:$AU$195,28)</f>
        <v>1.693292</v>
      </c>
      <c r="L65" s="633">
        <f>+VLOOKUP($A$1,data!$A$165:$AU$195,29)</f>
        <v>1.562613</v>
      </c>
      <c r="M65" s="633">
        <f>+VLOOKUP($A$1,data!$A$165:$AU$195,30)</f>
        <v>1.6414329999999999</v>
      </c>
      <c r="N65" s="633">
        <f>SUM(B65:M65)</f>
        <v>19.372259</v>
      </c>
      <c r="O65" s="636">
        <f t="shared" ref="O65:O66" si="8">SUM(B65:M65)</f>
        <v>19.372259</v>
      </c>
      <c r="P65" s="637">
        <f>+O66-O65</f>
        <v>7.296190000001701E-3</v>
      </c>
      <c r="S65" s="601" t="s">
        <v>94</v>
      </c>
      <c r="T65" s="642">
        <f>+VLOOKUP($A$1,data!$A$197:$AU$227,19)</f>
        <v>0.75307400000000002</v>
      </c>
      <c r="U65" s="642">
        <f>+VLOOKUP($A$1,data!$A$197:$AU$227,20)</f>
        <v>0.73602299999999998</v>
      </c>
      <c r="V65" s="642">
        <f>+VLOOKUP($A$1,data!$A$197:$AU$227,21)</f>
        <v>0.74809899999999996</v>
      </c>
      <c r="W65" s="642">
        <f>+VLOOKUP($A$1,data!$A$197:$AU$227,22)</f>
        <v>0.75318300000000005</v>
      </c>
      <c r="X65" s="642">
        <f>+VLOOKUP($A$1,data!$A$197:$AU$227,23)</f>
        <v>0.76867099999999999</v>
      </c>
      <c r="Y65" s="642">
        <f>+VLOOKUP($A$1,data!$A$197:$AU$227,24)</f>
        <v>0.83149300000000004</v>
      </c>
      <c r="Z65" s="642">
        <f>+VLOOKUP($A$1,data!$A$197:$AU$227,25)</f>
        <v>0.74338099999999996</v>
      </c>
      <c r="AA65" s="642">
        <f>+VLOOKUP($A$1,data!$A$197:$AU$227,26)</f>
        <v>0.79232199999999997</v>
      </c>
      <c r="AB65" s="642">
        <f>+VLOOKUP($A$1,data!$A$197:$AU$227,27)</f>
        <v>0.82380699999999996</v>
      </c>
      <c r="AC65" s="642">
        <f>+VLOOKUP($A$1,data!$A$197:$AU$227,28)</f>
        <v>0.78442400000000001</v>
      </c>
      <c r="AD65" s="642">
        <f>+VLOOKUP($A$1,data!$A$197:$AU$227,29)</f>
        <v>0.83418899999999996</v>
      </c>
      <c r="AE65" s="642">
        <f>+VLOOKUP($A$1,data!$A$197:$AU$227,30)</f>
        <v>0.88678500000000005</v>
      </c>
      <c r="AF65" s="642">
        <f>SUM(T65:AE65)</f>
        <v>9.4554510000000001</v>
      </c>
      <c r="AG65" s="643">
        <f t="shared" ref="AG65:AG66" si="9">SUM(T65:AE65)</f>
        <v>9.4554510000000001</v>
      </c>
      <c r="AH65" s="644">
        <f>+AG66-AG65</f>
        <v>0.75155451999999912</v>
      </c>
      <c r="AI65" s="617" t="s">
        <v>94</v>
      </c>
      <c r="AJ65" s="649">
        <f>+B65-T65</f>
        <v>0.79147400000000001</v>
      </c>
      <c r="AK65" s="649">
        <f t="shared" si="7"/>
        <v>0.83309</v>
      </c>
      <c r="AL65" s="649">
        <f t="shared" si="7"/>
        <v>0.79121399999999997</v>
      </c>
      <c r="AM65" s="649">
        <f t="shared" si="7"/>
        <v>0.96075600000000005</v>
      </c>
      <c r="AN65" s="649">
        <f t="shared" si="7"/>
        <v>0.73377100000000006</v>
      </c>
      <c r="AO65" s="649">
        <f t="shared" si="7"/>
        <v>0.68480300000000005</v>
      </c>
      <c r="AP65" s="649">
        <f t="shared" si="7"/>
        <v>0.94393899999999997</v>
      </c>
      <c r="AQ65" s="649">
        <f t="shared" si="7"/>
        <v>0.89655900000000011</v>
      </c>
      <c r="AR65" s="649">
        <f t="shared" si="7"/>
        <v>0.889262</v>
      </c>
      <c r="AS65" s="649">
        <f t="shared" si="7"/>
        <v>0.90886800000000001</v>
      </c>
      <c r="AT65" s="649">
        <f t="shared" si="7"/>
        <v>0.72842400000000007</v>
      </c>
      <c r="AU65" s="649">
        <f t="shared" si="7"/>
        <v>0.75464799999999987</v>
      </c>
      <c r="AV65" s="649">
        <f>SUM(AJ65:AU65)</f>
        <v>9.9168080000000014</v>
      </c>
      <c r="AW65" s="652">
        <f t="shared" ref="AW65:AW66" si="10">SUM(AJ65:AU65)</f>
        <v>9.9168080000000014</v>
      </c>
      <c r="AX65" s="653">
        <f>+AW66-AW65</f>
        <v>-0.74425832999999919</v>
      </c>
    </row>
    <row r="66" spans="1:50" ht="21.75" thickBot="1" x14ac:dyDescent="0.4">
      <c r="A66" s="546" t="s">
        <v>93</v>
      </c>
      <c r="B66" s="634">
        <f>+VLOOKUP($A$1,data!$A$165:$AU$195,3)</f>
        <v>1.5451455799999998</v>
      </c>
      <c r="C66" s="634">
        <f>+VLOOKUP($A$1,data!$A$165:$AU$195,4)</f>
        <v>1.5535927</v>
      </c>
      <c r="D66" s="634">
        <f>+VLOOKUP($A$1,data!$A$165:$AU$195,5)</f>
        <v>1.5177580299999998</v>
      </c>
      <c r="E66" s="634">
        <f>+VLOOKUP($A$1,data!$A$165:$AU$195,6)</f>
        <v>1.74326146</v>
      </c>
      <c r="F66" s="634">
        <f>+VLOOKUP($A$1,data!$A$165:$AU$195,7)</f>
        <v>1.4809601400000001</v>
      </c>
      <c r="G66" s="634">
        <f>+VLOOKUP($A$1,data!$A$165:$AU$195,8)</f>
        <v>1.5434863300000001</v>
      </c>
      <c r="H66" s="634">
        <f>+VLOOKUP($A$1,data!$A$165:$AU$195,9)</f>
        <v>1.70054561</v>
      </c>
      <c r="I66" s="634">
        <f>+VLOOKUP($A$1,data!$A$165:$AU$195,10)</f>
        <v>1.6597763099999998</v>
      </c>
      <c r="J66" s="634">
        <f>+VLOOKUP($A$1,data!$A$165:$AU$195,11)</f>
        <v>1.7382859099999999</v>
      </c>
      <c r="K66" s="634">
        <f>+VLOOKUP($A$1,data!$A$165:$AU$195,12)</f>
        <v>1.6475979600000001</v>
      </c>
      <c r="L66" s="634">
        <f>+VLOOKUP($A$1,data!$A$165:$AU$195,13)</f>
        <v>1.6199209999999999</v>
      </c>
      <c r="M66" s="634">
        <f>+VLOOKUP($A$1,data!$A$165:$AU$195,14)</f>
        <v>1.6292241599999997</v>
      </c>
      <c r="N66" s="634">
        <f>SUM(B66:M66)</f>
        <v>19.379555190000001</v>
      </c>
      <c r="O66" s="638">
        <f t="shared" si="8"/>
        <v>19.379555190000001</v>
      </c>
      <c r="P66" s="639"/>
      <c r="S66" s="608" t="s">
        <v>93</v>
      </c>
      <c r="T66" s="645">
        <f>+VLOOKUP($A$1,data!$A$197:$AU$227,3)</f>
        <v>0.7753829499999999</v>
      </c>
      <c r="U66" s="645">
        <f>+VLOOKUP($A$1,data!$A$197:$AU$227,4)</f>
        <v>0.73560298000000024</v>
      </c>
      <c r="V66" s="645">
        <f>+VLOOKUP($A$1,data!$A$197:$AU$227,5)</f>
        <v>0.96090560999999997</v>
      </c>
      <c r="W66" s="645">
        <f>+VLOOKUP($A$1,data!$A$197:$AU$227,6)</f>
        <v>0.79469700999999993</v>
      </c>
      <c r="X66" s="645">
        <f>+VLOOKUP($A$1,data!$A$197:$AU$227,7)</f>
        <v>0.73783538000000015</v>
      </c>
      <c r="Y66" s="645">
        <f>+VLOOKUP($A$1,data!$A$197:$AU$227,8)</f>
        <v>0.87369266999999984</v>
      </c>
      <c r="Z66" s="645">
        <f>+VLOOKUP($A$1,data!$A$197:$AU$227,9)</f>
        <v>0.73958425000000005</v>
      </c>
      <c r="AA66" s="645">
        <f>+VLOOKUP($A$1,data!$A$197:$AU$227,10)</f>
        <v>0.82643591999999999</v>
      </c>
      <c r="AB66" s="645">
        <f>+VLOOKUP($A$1,data!$A$197:$AU$227,11)</f>
        <v>0.90173856000000019</v>
      </c>
      <c r="AC66" s="645">
        <f>+VLOOKUP($A$1,data!$A$197:$AU$227,12)</f>
        <v>0.82361386999999997</v>
      </c>
      <c r="AD66" s="645">
        <f>+VLOOKUP($A$1,data!$A$197:$AU$227,13)</f>
        <v>0.92731838000000011</v>
      </c>
      <c r="AE66" s="645">
        <f>+VLOOKUP($A$1,data!$A$197:$AU$227,14)</f>
        <v>1.1101979399999999</v>
      </c>
      <c r="AF66" s="645">
        <f>SUM(T66:AE66)</f>
        <v>10.207005519999999</v>
      </c>
      <c r="AG66" s="646">
        <f t="shared" si="9"/>
        <v>10.207005519999999</v>
      </c>
      <c r="AH66" s="647"/>
      <c r="AI66" s="624" t="s">
        <v>93</v>
      </c>
      <c r="AJ66" s="650">
        <f>+B66-T66</f>
        <v>0.76976262999999989</v>
      </c>
      <c r="AK66" s="650">
        <f t="shared" si="7"/>
        <v>0.81798971999999981</v>
      </c>
      <c r="AL66" s="650">
        <f t="shared" si="7"/>
        <v>0.55685241999999979</v>
      </c>
      <c r="AM66" s="650">
        <f t="shared" si="7"/>
        <v>0.94856445000000011</v>
      </c>
      <c r="AN66" s="650">
        <f t="shared" si="7"/>
        <v>0.74312475999999994</v>
      </c>
      <c r="AO66" s="650">
        <f t="shared" si="7"/>
        <v>0.66979366000000029</v>
      </c>
      <c r="AP66" s="650">
        <f t="shared" si="7"/>
        <v>0.96096135999999999</v>
      </c>
      <c r="AQ66" s="650">
        <f t="shared" si="7"/>
        <v>0.83334038999999982</v>
      </c>
      <c r="AR66" s="650">
        <f t="shared" si="7"/>
        <v>0.83654734999999969</v>
      </c>
      <c r="AS66" s="650">
        <f>+K66-AC66</f>
        <v>0.82398409000000017</v>
      </c>
      <c r="AT66" s="650">
        <f>+L66-AD66</f>
        <v>0.69260261999999984</v>
      </c>
      <c r="AU66" s="650">
        <f>+M66-AE66</f>
        <v>0.51902621999999976</v>
      </c>
      <c r="AV66" s="650">
        <f>SUM(AJ66:AU66)</f>
        <v>9.1725496700000022</v>
      </c>
      <c r="AW66" s="654">
        <f t="shared" si="10"/>
        <v>9.1725496700000022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1.4698253600000004</v>
      </c>
      <c r="D85" s="628">
        <f t="shared" ref="D85:N87" si="11">+C85+C64</f>
        <v>3.0084188200000002</v>
      </c>
      <c r="E85" s="628">
        <f t="shared" si="11"/>
        <v>4.4742996699999997</v>
      </c>
      <c r="F85" s="628">
        <f t="shared" si="11"/>
        <v>6.0468402699999997</v>
      </c>
      <c r="G85" s="628">
        <f t="shared" si="11"/>
        <v>7.5146112599999997</v>
      </c>
      <c r="H85" s="628">
        <f t="shared" si="11"/>
        <v>9.0360399099999995</v>
      </c>
      <c r="I85" s="628">
        <f t="shared" si="11"/>
        <v>10.724974699999999</v>
      </c>
      <c r="J85" s="628">
        <f t="shared" si="11"/>
        <v>12.419877219999998</v>
      </c>
      <c r="K85" s="628">
        <f t="shared" si="11"/>
        <v>14.113816169999998</v>
      </c>
      <c r="L85" s="628">
        <f t="shared" si="11"/>
        <v>15.854464969999999</v>
      </c>
      <c r="M85" s="628">
        <f t="shared" si="11"/>
        <v>17.267634429999998</v>
      </c>
      <c r="N85" s="628">
        <f t="shared" si="11"/>
        <v>18.961141969999996</v>
      </c>
      <c r="S85"/>
      <c r="T85" s="605" t="s">
        <v>92</v>
      </c>
      <c r="U85" s="640">
        <f>+T64</f>
        <v>0.70256987000000004</v>
      </c>
      <c r="V85" s="640">
        <f t="shared" ref="V85:AF87" si="12">+U85+U64</f>
        <v>1.45417357</v>
      </c>
      <c r="W85" s="640">
        <f t="shared" si="12"/>
        <v>2.1652041500000001</v>
      </c>
      <c r="X85" s="640">
        <f t="shared" si="12"/>
        <v>2.9014253000000001</v>
      </c>
      <c r="Y85" s="640">
        <f t="shared" si="12"/>
        <v>3.6866535300000001</v>
      </c>
      <c r="Z85" s="640">
        <f t="shared" si="12"/>
        <v>4.5237355600000004</v>
      </c>
      <c r="AA85" s="640">
        <f t="shared" si="12"/>
        <v>5.25527941</v>
      </c>
      <c r="AB85" s="640">
        <f t="shared" si="12"/>
        <v>6.0944027599999995</v>
      </c>
      <c r="AC85" s="640">
        <f t="shared" si="12"/>
        <v>6.9374240699999996</v>
      </c>
      <c r="AD85" s="640">
        <f t="shared" si="12"/>
        <v>7.7277330599999994</v>
      </c>
      <c r="AE85" s="640">
        <f t="shared" si="12"/>
        <v>8.6157405300000001</v>
      </c>
      <c r="AF85" s="640">
        <f t="shared" si="12"/>
        <v>9.3882078900000003</v>
      </c>
      <c r="AG85" s="158"/>
      <c r="AH85" s="158"/>
      <c r="AI85"/>
      <c r="AJ85" s="621" t="s">
        <v>92</v>
      </c>
      <c r="AK85" s="648">
        <f>+AJ64</f>
        <v>0.76725549000000037</v>
      </c>
      <c r="AL85" s="648">
        <f t="shared" ref="AL85:AV87" si="13">+AK85+AK64</f>
        <v>1.5542452500000004</v>
      </c>
      <c r="AM85" s="648">
        <f t="shared" si="13"/>
        <v>2.3090955200000005</v>
      </c>
      <c r="AN85" s="648">
        <f t="shared" si="13"/>
        <v>3.1454149700000005</v>
      </c>
      <c r="AO85" s="648">
        <f t="shared" si="13"/>
        <v>3.8279577300000005</v>
      </c>
      <c r="AP85" s="648">
        <f t="shared" si="13"/>
        <v>4.5123043500000009</v>
      </c>
      <c r="AQ85" s="648">
        <f t="shared" si="13"/>
        <v>5.4696952900000007</v>
      </c>
      <c r="AR85" s="648">
        <f t="shared" si="13"/>
        <v>6.3254744600000006</v>
      </c>
      <c r="AS85" s="648">
        <f t="shared" si="13"/>
        <v>7.1763921000000011</v>
      </c>
      <c r="AT85" s="648">
        <f t="shared" si="13"/>
        <v>8.1267319100000002</v>
      </c>
      <c r="AU85" s="648">
        <f t="shared" si="13"/>
        <v>8.651893900000001</v>
      </c>
      <c r="AV85" s="648">
        <f t="shared" si="13"/>
        <v>9.5729340800000013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1.544548</v>
      </c>
      <c r="D86" s="633">
        <f t="shared" si="11"/>
        <v>3.113661</v>
      </c>
      <c r="E86" s="633">
        <f t="shared" si="11"/>
        <v>4.6529740000000004</v>
      </c>
      <c r="F86" s="633">
        <f t="shared" si="11"/>
        <v>6.3669130000000003</v>
      </c>
      <c r="G86" s="633">
        <f t="shared" si="11"/>
        <v>7.8693550000000005</v>
      </c>
      <c r="H86" s="633">
        <f t="shared" si="11"/>
        <v>9.3856510000000011</v>
      </c>
      <c r="I86" s="633">
        <f t="shared" si="11"/>
        <v>11.072971000000001</v>
      </c>
      <c r="J86" s="633">
        <f t="shared" si="11"/>
        <v>12.761852000000001</v>
      </c>
      <c r="K86" s="633">
        <f t="shared" si="11"/>
        <v>14.474921000000002</v>
      </c>
      <c r="L86" s="633">
        <f t="shared" si="11"/>
        <v>16.168213000000002</v>
      </c>
      <c r="M86" s="633">
        <f t="shared" si="11"/>
        <v>17.730826</v>
      </c>
      <c r="N86" s="633">
        <f t="shared" si="11"/>
        <v>19.372259</v>
      </c>
      <c r="S86"/>
      <c r="T86" s="601" t="s">
        <v>94</v>
      </c>
      <c r="U86" s="642">
        <f>+T65</f>
        <v>0.75307400000000002</v>
      </c>
      <c r="V86" s="642">
        <f t="shared" si="12"/>
        <v>1.4890970000000001</v>
      </c>
      <c r="W86" s="642">
        <f t="shared" si="12"/>
        <v>2.237196</v>
      </c>
      <c r="X86" s="642">
        <f t="shared" si="12"/>
        <v>2.9903789999999999</v>
      </c>
      <c r="Y86" s="642">
        <f t="shared" si="12"/>
        <v>3.7590499999999998</v>
      </c>
      <c r="Z86" s="642">
        <f t="shared" si="12"/>
        <v>4.5905430000000003</v>
      </c>
      <c r="AA86" s="642">
        <f t="shared" si="12"/>
        <v>5.3339240000000006</v>
      </c>
      <c r="AB86" s="642">
        <f t="shared" si="12"/>
        <v>6.1262460000000001</v>
      </c>
      <c r="AC86" s="642">
        <f t="shared" si="12"/>
        <v>6.9500530000000005</v>
      </c>
      <c r="AD86" s="642">
        <f t="shared" si="12"/>
        <v>7.734477</v>
      </c>
      <c r="AE86" s="642">
        <f t="shared" si="12"/>
        <v>8.5686660000000003</v>
      </c>
      <c r="AF86" s="642">
        <f t="shared" si="12"/>
        <v>9.4554510000000001</v>
      </c>
      <c r="AG86" s="158"/>
      <c r="AH86" s="158"/>
      <c r="AI86"/>
      <c r="AJ86" s="617" t="s">
        <v>94</v>
      </c>
      <c r="AK86" s="649">
        <f>+AJ65</f>
        <v>0.79147400000000001</v>
      </c>
      <c r="AL86" s="649">
        <f t="shared" si="13"/>
        <v>1.6245639999999999</v>
      </c>
      <c r="AM86" s="649">
        <f t="shared" si="13"/>
        <v>2.415778</v>
      </c>
      <c r="AN86" s="649">
        <f t="shared" si="13"/>
        <v>3.3765339999999999</v>
      </c>
      <c r="AO86" s="649">
        <f t="shared" si="13"/>
        <v>4.1103050000000003</v>
      </c>
      <c r="AP86" s="649">
        <f t="shared" si="13"/>
        <v>4.7951080000000008</v>
      </c>
      <c r="AQ86" s="649">
        <f t="shared" si="13"/>
        <v>5.7390470000000011</v>
      </c>
      <c r="AR86" s="649">
        <f t="shared" si="13"/>
        <v>6.635606000000001</v>
      </c>
      <c r="AS86" s="649">
        <f t="shared" si="13"/>
        <v>7.5248680000000014</v>
      </c>
      <c r="AT86" s="649">
        <f t="shared" si="13"/>
        <v>8.4337360000000015</v>
      </c>
      <c r="AU86" s="649">
        <f t="shared" si="13"/>
        <v>9.1621600000000019</v>
      </c>
      <c r="AV86" s="649">
        <f t="shared" si="13"/>
        <v>9.9168080000000014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1.5451455799999998</v>
      </c>
      <c r="D87" s="629">
        <f t="shared" si="11"/>
        <v>3.0987382800000001</v>
      </c>
      <c r="E87" s="629">
        <f t="shared" si="11"/>
        <v>4.6164963099999996</v>
      </c>
      <c r="F87" s="629">
        <f t="shared" si="11"/>
        <v>6.3597577699999999</v>
      </c>
      <c r="G87" s="629">
        <f t="shared" si="11"/>
        <v>7.8407179100000004</v>
      </c>
      <c r="H87" s="629">
        <f t="shared" si="11"/>
        <v>9.3842042400000008</v>
      </c>
      <c r="I87" s="629">
        <f t="shared" si="11"/>
        <v>11.084749850000001</v>
      </c>
      <c r="J87" s="629">
        <f t="shared" si="11"/>
        <v>12.744526160000001</v>
      </c>
      <c r="K87" s="629">
        <f t="shared" si="11"/>
        <v>14.482812070000001</v>
      </c>
      <c r="L87" s="629">
        <f t="shared" si="11"/>
        <v>16.13041003</v>
      </c>
      <c r="M87" s="629">
        <f t="shared" si="11"/>
        <v>17.750331030000002</v>
      </c>
      <c r="N87" s="629">
        <f t="shared" si="11"/>
        <v>19.379555190000001</v>
      </c>
      <c r="S87"/>
      <c r="T87" s="608" t="s">
        <v>93</v>
      </c>
      <c r="U87" s="645">
        <f>+T66</f>
        <v>0.7753829499999999</v>
      </c>
      <c r="V87" s="645">
        <f t="shared" si="12"/>
        <v>1.5109859300000001</v>
      </c>
      <c r="W87" s="645">
        <f t="shared" si="12"/>
        <v>2.4718915400000001</v>
      </c>
      <c r="X87" s="645">
        <f t="shared" si="12"/>
        <v>3.2665885499999998</v>
      </c>
      <c r="Y87" s="645">
        <f t="shared" si="12"/>
        <v>4.0044239299999997</v>
      </c>
      <c r="Z87" s="645">
        <f t="shared" si="12"/>
        <v>4.8781165999999994</v>
      </c>
      <c r="AA87" s="645">
        <f t="shared" si="12"/>
        <v>5.6177008499999994</v>
      </c>
      <c r="AB87" s="645">
        <f t="shared" si="12"/>
        <v>6.4441367699999992</v>
      </c>
      <c r="AC87" s="645">
        <f t="shared" si="12"/>
        <v>7.3458753299999993</v>
      </c>
      <c r="AD87" s="645">
        <f t="shared" si="12"/>
        <v>8.1694891999999992</v>
      </c>
      <c r="AE87" s="645">
        <f t="shared" si="12"/>
        <v>9.0968075800000001</v>
      </c>
      <c r="AF87" s="645">
        <f t="shared" si="12"/>
        <v>10.207005519999999</v>
      </c>
      <c r="AG87" s="158"/>
      <c r="AH87" s="158"/>
      <c r="AI87"/>
      <c r="AJ87" s="624" t="s">
        <v>93</v>
      </c>
      <c r="AK87" s="650">
        <f>+AJ66</f>
        <v>0.76976262999999989</v>
      </c>
      <c r="AL87" s="650">
        <f t="shared" si="13"/>
        <v>1.5877523499999997</v>
      </c>
      <c r="AM87" s="650">
        <f t="shared" si="13"/>
        <v>2.1446047699999995</v>
      </c>
      <c r="AN87" s="650">
        <f t="shared" si="13"/>
        <v>3.0931692199999996</v>
      </c>
      <c r="AO87" s="650">
        <f t="shared" si="13"/>
        <v>3.8362939799999998</v>
      </c>
      <c r="AP87" s="650">
        <f t="shared" si="13"/>
        <v>4.5060876400000005</v>
      </c>
      <c r="AQ87" s="650">
        <f t="shared" si="13"/>
        <v>5.4670490000000003</v>
      </c>
      <c r="AR87" s="650">
        <f t="shared" si="13"/>
        <v>6.3003893900000003</v>
      </c>
      <c r="AS87" s="650">
        <f t="shared" si="13"/>
        <v>7.1369367400000003</v>
      </c>
      <c r="AT87" s="650">
        <f t="shared" si="13"/>
        <v>7.9609208300000009</v>
      </c>
      <c r="AU87" s="650">
        <f t="shared" si="13"/>
        <v>8.6535234500000016</v>
      </c>
      <c r="AV87" s="650">
        <f t="shared" si="13"/>
        <v>9.1725496700000022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 AH18:AH22">
    <cfRule type="cellIs" dxfId="137" priority="15" operator="lessThan">
      <formula>0</formula>
    </cfRule>
  </conditionalFormatting>
  <conditionalFormatting sqref="O41">
    <cfRule type="cellIs" dxfId="136" priority="14" operator="lessThan">
      <formula>0</formula>
    </cfRule>
  </conditionalFormatting>
  <conditionalFormatting sqref="AX18:AX22">
    <cfRule type="cellIs" dxfId="135" priority="13" operator="lessThan">
      <formula>0</formula>
    </cfRule>
  </conditionalFormatting>
  <conditionalFormatting sqref="BN21:BN22">
    <cfRule type="cellIs" dxfId="134" priority="12" operator="lessThan">
      <formula>0</formula>
    </cfRule>
  </conditionalFormatting>
  <conditionalFormatting sqref="BB43:BB46">
    <cfRule type="cellIs" dxfId="133" priority="11" operator="greaterThan">
      <formula>0</formula>
    </cfRule>
  </conditionalFormatting>
  <conditionalFormatting sqref="AX18:AX20">
    <cfRule type="cellIs" dxfId="132" priority="10" operator="lessThan">
      <formula>0</formula>
    </cfRule>
  </conditionalFormatting>
  <conditionalFormatting sqref="BN18:BN20">
    <cfRule type="cellIs" dxfId="131" priority="9" operator="greaterThan">
      <formula>0</formula>
    </cfRule>
  </conditionalFormatting>
  <conditionalFormatting sqref="P18:P20">
    <cfRule type="cellIs" dxfId="130" priority="8" operator="lessThan">
      <formula>0</formula>
    </cfRule>
  </conditionalFormatting>
  <conditionalFormatting sqref="P67:P68">
    <cfRule type="cellIs" dxfId="129" priority="7" operator="lessThan">
      <formula>0</formula>
    </cfRule>
  </conditionalFormatting>
  <conditionalFormatting sqref="P64:P66">
    <cfRule type="cellIs" dxfId="128" priority="6" operator="lessThan">
      <formula>0</formula>
    </cfRule>
  </conditionalFormatting>
  <conditionalFormatting sqref="AH67:AH68">
    <cfRule type="cellIs" dxfId="127" priority="5" operator="lessThan">
      <formula>0</formula>
    </cfRule>
  </conditionalFormatting>
  <conditionalFormatting sqref="AH64:AH66">
    <cfRule type="cellIs" dxfId="126" priority="4" operator="greaterThan">
      <formula>0</formula>
    </cfRule>
  </conditionalFormatting>
  <conditionalFormatting sqref="AX67:AX68">
    <cfRule type="cellIs" dxfId="125" priority="3" operator="lessThan">
      <formula>0</formula>
    </cfRule>
  </conditionalFormatting>
  <conditionalFormatting sqref="AX64:AX66">
    <cfRule type="cellIs" dxfId="124" priority="2" operator="lessThan">
      <formula>0</formula>
    </cfRule>
  </conditionalFormatting>
  <conditionalFormatting sqref="S21:T23 V21:AG23">
    <cfRule type="cellIs" dxfId="123" priority="1" operator="lessThan">
      <formula>0</formula>
    </cfRule>
  </conditionalFormatting>
  <pageMargins left="0.39370078740157483" right="0.19685039370078741" top="0.74803149606299213" bottom="0.17" header="0.31496062992125984" footer="0.31496062992125984"/>
  <pageSetup paperSize="9" scale="80" pageOrder="overThenDown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34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1022</v>
      </c>
      <c r="B3" s="807" t="str">
        <f>+VLOOKUP($A3,data!$A$4:$AH$32,2,0)</f>
        <v>พะเยา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17543</v>
      </c>
      <c r="C9" s="180">
        <f>+VLOOKUP($A$3,data!$A$4:$AH$32,8,0)/10^6</f>
        <v>2.6956190000000002</v>
      </c>
      <c r="D9" s="181">
        <f>+VLOOKUP($A$3,data!$A$4:$AH$32,9,0)</f>
        <v>0.42987529302948635</v>
      </c>
      <c r="E9" s="180">
        <f>+VLOOKUP($A$3,data!$A$4:$AH$32,10,0)/10^6</f>
        <v>36.210785940000001</v>
      </c>
      <c r="F9" s="182">
        <f>+E9/C9</f>
        <v>13.433198808882116</v>
      </c>
      <c r="G9" s="179">
        <f>+VLOOKUP($A$3,data!$A$4:$AH$32,23,0)</f>
        <v>18547</v>
      </c>
      <c r="H9" s="180">
        <f>+VLOOKUP($A$3,data!$A$4:$AH$32,24,0)/10^6</f>
        <v>2.8071130000000002</v>
      </c>
      <c r="I9" s="181">
        <f>+VLOOKUP($A$3,data!$A$4:$AH$32,25,0)</f>
        <v>0.42619676076171825</v>
      </c>
      <c r="J9" s="180">
        <f>+VLOOKUP($A$3,data!$A$4:$AH$32,26,0)/10^6</f>
        <v>37.844571889999997</v>
      </c>
      <c r="K9" s="182">
        <f>+J9/H9</f>
        <v>13.481670274762717</v>
      </c>
    </row>
    <row r="10" spans="1:12" ht="26.25" x14ac:dyDescent="0.4">
      <c r="A10" s="187" t="s">
        <v>4</v>
      </c>
      <c r="B10" s="189">
        <f>+B9/B20</f>
        <v>0.83849536373195677</v>
      </c>
      <c r="C10" s="190"/>
      <c r="D10" s="190"/>
      <c r="E10" s="190"/>
      <c r="F10" s="191"/>
      <c r="G10" s="189">
        <f>+G9/G20</f>
        <v>0.84461951819299608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2451</v>
      </c>
      <c r="C13" s="180">
        <f>+VLOOKUP($A$3,data!$A$4:$AH$32,12,0)/10^6</f>
        <v>1.238939</v>
      </c>
      <c r="D13" s="181">
        <f>+VLOOKUP($A$3,data!$A$4:$AH$32,13,0)</f>
        <v>1.4413390338248553</v>
      </c>
      <c r="E13" s="180">
        <f>+VLOOKUP($A$3,data!$A$4:$AH$32,14,0)/10^6</f>
        <v>26.796472179999999</v>
      </c>
      <c r="F13" s="182">
        <f>+E13/C13</f>
        <v>21.628564586311352</v>
      </c>
      <c r="G13" s="179">
        <f>+VLOOKUP($A$3,data!$A$4:$AH$32,27,0)</f>
        <v>2540</v>
      </c>
      <c r="H13" s="180">
        <f>+VLOOKUP($A$3,data!$A$4:$AH$32,28,0)/10^6</f>
        <v>1.2615209999999999</v>
      </c>
      <c r="I13" s="181">
        <f>+VLOOKUP($A$3,data!$A$4:$AH$32,29,0)</f>
        <v>1.3849817342449287</v>
      </c>
      <c r="J13" s="180">
        <f>+VLOOKUP($A$3,data!$A$4:$AH$32,30,0)/10^6</f>
        <v>27.321847599999995</v>
      </c>
      <c r="K13" s="182">
        <f>+J13/H13</f>
        <v>21.657861898454325</v>
      </c>
    </row>
    <row r="14" spans="1:12" ht="26.25" x14ac:dyDescent="0.4">
      <c r="A14" s="187" t="s">
        <v>29</v>
      </c>
      <c r="B14" s="189">
        <f>+B13/B20</f>
        <v>0.11714941210209349</v>
      </c>
      <c r="C14" s="190"/>
      <c r="D14" s="190"/>
      <c r="E14" s="190"/>
      <c r="F14" s="191"/>
      <c r="G14" s="189">
        <f>+G13/G20</f>
        <v>0.11567011248235348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928</v>
      </c>
      <c r="C17" s="180">
        <f>+VLOOKUP($A$3,data!$A$4:$AH$32,16,0)/10^6</f>
        <v>0.64060700000000004</v>
      </c>
      <c r="D17" s="181">
        <f>+VLOOKUP($A$3,data!$A$4:$AH$32,17,0)</f>
        <v>1.8671145438647625</v>
      </c>
      <c r="E17" s="180">
        <f>+VLOOKUP($A$3,data!$A$4:$AH$32,18,0)/10^6</f>
        <v>17.470785399999997</v>
      </c>
      <c r="F17" s="182">
        <f>+E17/C17</f>
        <v>27.272236176001815</v>
      </c>
      <c r="G17" s="179">
        <f>+VLOOKUP($A$3,data!$A$4:$AH$32,31,0)</f>
        <v>872</v>
      </c>
      <c r="H17" s="180">
        <f>+VLOOKUP($A$3,data!$A$4:$AH$32,32,0)/10^6</f>
        <v>0.62353899999999995</v>
      </c>
      <c r="I17" s="181">
        <f>+VLOOKUP($A$3,data!$A$4:$AH$32,33,0)</f>
        <v>1.8981400304414002</v>
      </c>
      <c r="J17" s="180">
        <f>+VLOOKUP($A$3,data!$A$4:$AH$32,34,0)/10^6</f>
        <v>17.072776550000004</v>
      </c>
      <c r="K17" s="182">
        <f>+J17/H17</f>
        <v>27.380447012937452</v>
      </c>
    </row>
    <row r="18" spans="1:11" ht="26.25" x14ac:dyDescent="0.4">
      <c r="A18" s="187" t="s">
        <v>30</v>
      </c>
      <c r="B18" s="189">
        <f>+B17/B20</f>
        <v>4.4355224165949718E-2</v>
      </c>
      <c r="C18" s="190"/>
      <c r="D18" s="190"/>
      <c r="E18" s="190"/>
      <c r="F18" s="191"/>
      <c r="G18" s="189">
        <f>+G17/G20</f>
        <v>3.9710369324650482E-2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20922</v>
      </c>
      <c r="C20" s="180">
        <f>+VLOOKUP($A$3,data!$A$4:$AH$32,4,0)/10^6</f>
        <v>4.5751650000000001</v>
      </c>
      <c r="D20" s="181">
        <f>+VLOOKUP($A$3,data!$A$4:$AH$32,5,0)</f>
        <v>0.61219529329118372</v>
      </c>
      <c r="E20" s="180">
        <f>+VLOOKUP($A$3,data!$A$4:$AH$32,6,0)/10^6</f>
        <v>80.478043520000014</v>
      </c>
      <c r="F20" s="182">
        <f>+E20/C20</f>
        <v>17.590194784231826</v>
      </c>
      <c r="G20" s="179">
        <f>+VLOOKUP($A$3,data!$A$4:$AH$32,19,0)</f>
        <v>21959</v>
      </c>
      <c r="H20" s="180">
        <f>+VLOOKUP($A$3,data!$A$4:$AH$32,20,0)/10^6</f>
        <v>4.6921730000000004</v>
      </c>
      <c r="I20" s="181">
        <f>+VLOOKUP($A$3,data!$A$4:$AH$32,21,0)</f>
        <v>0.59957876416831157</v>
      </c>
      <c r="J20" s="180">
        <f>+VLOOKUP($A$3,data!$A$4:$AH$32,22,0)/10^6</f>
        <v>82.239196040000024</v>
      </c>
      <c r="K20" s="182">
        <f>+J20/H20</f>
        <v>17.526889149227877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พะเยา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topLeftCell="I1" zoomScale="78" zoomScaleNormal="100" zoomScalePageLayoutView="78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6.75" style="158" bestFit="1" customWidth="1"/>
    <col min="3" max="3" width="5.75" style="158" bestFit="1" customWidth="1"/>
    <col min="4" max="4" width="6.75" style="158" bestFit="1" customWidth="1"/>
    <col min="5" max="14" width="6.87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3.3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7" width="6.75" bestFit="1" customWidth="1"/>
    <col min="48" max="48" width="6.875" bestFit="1" customWidth="1"/>
    <col min="49" max="49" width="8.125" bestFit="1" customWidth="1"/>
    <col min="50" max="50" width="7.375" bestFit="1" customWidth="1"/>
    <col min="51" max="51" width="8.75" customWidth="1"/>
    <col min="52" max="64" width="6.875" bestFit="1" customWidth="1"/>
    <col min="65" max="65" width="7.125" bestFit="1" customWidth="1"/>
    <col min="66" max="66" width="7.375" bestFit="1" customWidth="1"/>
    <col min="67" max="67" width="6.75" bestFit="1" customWidth="1"/>
  </cols>
  <sheetData>
    <row r="1" spans="1:66" ht="27" thickBot="1" x14ac:dyDescent="0.25">
      <c r="A1" s="248">
        <v>1022</v>
      </c>
      <c r="B1" s="817" t="str">
        <f>+VLOOKUP($A$1,data!$A$4:$AH$32,2,0)</f>
        <v>พะเยา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1022</v>
      </c>
      <c r="T1" s="817" t="str">
        <f>+VLOOKUP($A$1,data!$A$4:$AH$32,2,0)</f>
        <v>พะเยา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1022</v>
      </c>
      <c r="AJ1" s="817" t="str">
        <f>+VLOOKUP($A$1,data!$A$4:$AH$32,2,0)</f>
        <v>พะเยา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1022</v>
      </c>
      <c r="AZ1" s="817" t="str">
        <f>+VLOOKUP($A$1,data!$A$4:$AH$32,2,0)</f>
        <v>พะเยา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40</v>
      </c>
      <c r="C18" s="406">
        <f>+VLOOKUP($A$1,data!$A$37:$AU$67,36)</f>
        <v>37</v>
      </c>
      <c r="D18" s="406">
        <f>+VLOOKUP($A$1,data!$A$37:$AU$67,37)</f>
        <v>173</v>
      </c>
      <c r="E18" s="406">
        <f>+VLOOKUP($A$1,data!$A$37:$AU$67,38)</f>
        <v>106</v>
      </c>
      <c r="F18" s="406">
        <f>+VLOOKUP($A$1,data!$A$37:$AU$67,39)</f>
        <v>90</v>
      </c>
      <c r="G18" s="406">
        <f>+VLOOKUP($A$1,data!$A$37:$AU$67,40)</f>
        <v>161</v>
      </c>
      <c r="H18" s="406">
        <f>+VLOOKUP($A$1,data!$A$37:$AU$67,41)</f>
        <v>71</v>
      </c>
      <c r="I18" s="406">
        <f>+VLOOKUP($A$1,data!$A$37:$AU$67,42)</f>
        <v>81</v>
      </c>
      <c r="J18" s="406">
        <f>+VLOOKUP($A$1,data!$A$37:$AU$67,43)</f>
        <v>98</v>
      </c>
      <c r="K18" s="406">
        <f>+VLOOKUP($A$1,data!$A$37:$AU$67,44)</f>
        <v>45</v>
      </c>
      <c r="L18" s="406">
        <f>+VLOOKUP($A$1,data!$A$37:$AU$67,45)</f>
        <v>72</v>
      </c>
      <c r="M18" s="406">
        <f>+VLOOKUP($A$1,data!$A$37:$AU$67,46)</f>
        <v>91</v>
      </c>
      <c r="N18" s="406">
        <f>SUM(B18:M18)</f>
        <v>1065</v>
      </c>
      <c r="O18" s="406">
        <f>SUM(B18:M18)</f>
        <v>1065</v>
      </c>
      <c r="P18" s="407">
        <f>+O20-O18</f>
        <v>161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0.36039199999999999</v>
      </c>
      <c r="AK18" s="418">
        <f>+VLOOKUP($A$1,data!$A$69:$AU$99,36)</f>
        <v>0.36973800000000001</v>
      </c>
      <c r="AL18" s="418">
        <f>+VLOOKUP($A$1,data!$A$69:$AU$99,37)</f>
        <v>0.35999199999999998</v>
      </c>
      <c r="AM18" s="418">
        <f>+VLOOKUP($A$1,data!$A$69:$AU$99,38)</f>
        <v>0.37143999999999999</v>
      </c>
      <c r="AN18" s="418">
        <f>+VLOOKUP($A$1,data!$A$69:$AU$99,39)</f>
        <v>0.36340499999999998</v>
      </c>
      <c r="AO18" s="418">
        <f>+VLOOKUP($A$1,data!$A$69:$AU$99,40)</f>
        <v>0.354711</v>
      </c>
      <c r="AP18" s="418">
        <f>+VLOOKUP($A$1,data!$A$69:$AU$99,41)</f>
        <v>0.42513299999999998</v>
      </c>
      <c r="AQ18" s="418">
        <f>+VLOOKUP($A$1,data!$A$69:$AU$99,42)</f>
        <v>0.42613600000000001</v>
      </c>
      <c r="AR18" s="418">
        <f>+VLOOKUP($A$1,data!$A$69:$AU$99,43)</f>
        <v>0.40430700000000003</v>
      </c>
      <c r="AS18" s="418">
        <f>+VLOOKUP($A$1,data!$A$69:$AU$99,44)</f>
        <v>0.406524</v>
      </c>
      <c r="AT18" s="418">
        <f>+VLOOKUP($A$1,data!$A$69:$AU$99,45)</f>
        <v>0.34144099999999999</v>
      </c>
      <c r="AU18" s="418">
        <f>+VLOOKUP($A$1,data!$A$69:$AU$99,46)</f>
        <v>0.39335599999999998</v>
      </c>
      <c r="AV18" s="418">
        <f>SUM(AJ18:AU18)</f>
        <v>4.5765750000000001</v>
      </c>
      <c r="AW18" s="418">
        <f>SUM(AJ18:AU18)</f>
        <v>4.5765750000000001</v>
      </c>
      <c r="AX18" s="419">
        <f>+AW20-AW18</f>
        <v>0.11644499999999969</v>
      </c>
      <c r="AY18" s="308" t="s">
        <v>92</v>
      </c>
      <c r="AZ18" s="309">
        <f>+VLOOKUP($A$1,data!$A$101:$AU$131,35)</f>
        <v>0.17577799999999999</v>
      </c>
      <c r="BA18" s="309">
        <f>+VLOOKUP($A$1,data!$A$101:$AU$131,36)</f>
        <v>5.7799999999999997E-2</v>
      </c>
      <c r="BB18" s="309">
        <f>+VLOOKUP($A$1,data!$A$101:$AU$131,37)</f>
        <v>0.13831599999999999</v>
      </c>
      <c r="BC18" s="309">
        <f>+VLOOKUP($A$1,data!$A$101:$AU$131,38)</f>
        <v>0.16941000000000001</v>
      </c>
      <c r="BD18" s="309">
        <f>+VLOOKUP($A$1,data!$A$101:$AU$131,39)</f>
        <v>0.14202500000000001</v>
      </c>
      <c r="BE18" s="309">
        <f>+VLOOKUP($A$1,data!$A$101:$AU$131,40)</f>
        <v>0.206149</v>
      </c>
      <c r="BF18" s="309">
        <f>+VLOOKUP($A$1,data!$A$101:$AU$131,41)</f>
        <v>0.14405100000000001</v>
      </c>
      <c r="BG18" s="309">
        <f>+VLOOKUP($A$1,data!$A$101:$AU$131,42)</f>
        <v>0.118808</v>
      </c>
      <c r="BH18" s="309">
        <f>+VLOOKUP($A$1,data!$A$101:$AU$131,43)</f>
        <v>9.6652000000000002E-2</v>
      </c>
      <c r="BI18" s="309">
        <f>+VLOOKUP($A$1,data!$A$101:$AU$131,44)</f>
        <v>0.104046</v>
      </c>
      <c r="BJ18" s="309">
        <f>+VLOOKUP($A$1,data!$A$101:$AU$131,45)</f>
        <v>0.15417400000000001</v>
      </c>
      <c r="BK18" s="309">
        <f>+VLOOKUP($A$1,data!$A$101:$AU$131,46)</f>
        <v>0.110024</v>
      </c>
      <c r="BL18" s="309">
        <f>SUM(AZ18:BK18)</f>
        <v>1.6172330000000001</v>
      </c>
      <c r="BM18" s="309">
        <f>SUM(AZ18:BK18)</f>
        <v>1.6172330000000001</v>
      </c>
      <c r="BN18" s="310">
        <f>+BM20-BM18</f>
        <v>2.8900000000020576E-4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69.928491620111728</v>
      </c>
      <c r="C19" s="409">
        <f>+VLOOKUP($A$1,data!$A$37:$AU$67,20)</f>
        <v>51.1173184357542</v>
      </c>
      <c r="D19" s="409">
        <f>+VLOOKUP($A$1,data!$A$37:$AU$67,21)</f>
        <v>114.09385474860336</v>
      </c>
      <c r="E19" s="409">
        <f>+VLOOKUP($A$1,data!$A$37:$AU$67,22)</f>
        <v>142.7195530726257</v>
      </c>
      <c r="F19" s="409">
        <f>+VLOOKUP($A$1,data!$A$37:$AU$67,23)</f>
        <v>88.739664804469285</v>
      </c>
      <c r="G19" s="409">
        <f>+VLOOKUP($A$1,data!$A$37:$AU$67,24)</f>
        <v>119.81899441340785</v>
      </c>
      <c r="H19" s="409">
        <f>+VLOOKUP($A$1,data!$A$37:$AU$67,25)</f>
        <v>92.829050279329635</v>
      </c>
      <c r="I19" s="409">
        <f>+VLOOKUP($A$1,data!$A$37:$AU$67,26)</f>
        <v>80.560893854748628</v>
      </c>
      <c r="J19" s="409">
        <f>+VLOOKUP($A$1,data!$A$37:$AU$67,27)</f>
        <v>103.05251396648046</v>
      </c>
      <c r="K19" s="409">
        <f>+VLOOKUP($A$1,data!$A$37:$AU$67,28)</f>
        <v>62.158659217877101</v>
      </c>
      <c r="L19" s="409">
        <f>+VLOOKUP($A$1,data!$A$37:$AU$67,29)</f>
        <v>74.83575418994414</v>
      </c>
      <c r="M19" s="409">
        <f>+VLOOKUP($A$1,data!$A$37:$AU$67,30)</f>
        <v>98.145251396648064</v>
      </c>
      <c r="N19" s="409">
        <f>SUM(B19:M19)</f>
        <v>1098.0000000000002</v>
      </c>
      <c r="O19" s="630">
        <f t="shared" ref="O19:O20" si="0">SUM(B19:M19)</f>
        <v>1098.0000000000002</v>
      </c>
      <c r="P19" s="412">
        <f>+O20-O19</f>
        <v>127.99999999999977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0.36637199999999998</v>
      </c>
      <c r="AK19" s="423">
        <f>+VLOOKUP($A$1,data!$A$69:$AU$99,20)</f>
        <v>0.37842900000000002</v>
      </c>
      <c r="AL19" s="423">
        <f>+VLOOKUP($A$1,data!$A$69:$AU$99,21)</f>
        <v>0.367732</v>
      </c>
      <c r="AM19" s="423">
        <f>+VLOOKUP($A$1,data!$A$69:$AU$99,22)</f>
        <v>0.38961600000000002</v>
      </c>
      <c r="AN19" s="423">
        <f>+VLOOKUP($A$1,data!$A$69:$AU$99,23)</f>
        <v>0.366537</v>
      </c>
      <c r="AO19" s="423">
        <f>+VLOOKUP($A$1,data!$A$69:$AU$99,24)</f>
        <v>0.36166199999999998</v>
      </c>
      <c r="AP19" s="423">
        <f>+VLOOKUP($A$1,data!$A$69:$AU$99,25)</f>
        <v>0.43435499999999999</v>
      </c>
      <c r="AQ19" s="423">
        <f>+VLOOKUP($A$1,data!$A$69:$AU$99,26)</f>
        <v>0.43180099999999999</v>
      </c>
      <c r="AR19" s="423">
        <f>+VLOOKUP($A$1,data!$A$69:$AU$99,27)</f>
        <v>0.426205</v>
      </c>
      <c r="AS19" s="423">
        <f>+VLOOKUP($A$1,data!$A$69:$AU$99,28)</f>
        <v>0.41583399999999998</v>
      </c>
      <c r="AT19" s="423">
        <f>+VLOOKUP($A$1,data!$A$69:$AU$99,29)</f>
        <v>0.38861499999999999</v>
      </c>
      <c r="AU19" s="423">
        <f>+VLOOKUP($A$1,data!$A$69:$AU$99,30)</f>
        <v>0.39866000000000001</v>
      </c>
      <c r="AV19" s="423">
        <f>SUM(AJ19:AU19)</f>
        <v>4.7258180000000003</v>
      </c>
      <c r="AW19" s="424">
        <f t="shared" ref="AW19:AW20" si="1">SUM(AJ19:AU19)</f>
        <v>4.7258180000000003</v>
      </c>
      <c r="AX19" s="425">
        <f>+AW20-AW19</f>
        <v>-3.2798000000000549E-2</v>
      </c>
      <c r="AY19" s="311" t="s">
        <v>94</v>
      </c>
      <c r="AZ19" s="312">
        <f>+VLOOKUP($A$1,data!$A$101:$AU$131,19)</f>
        <v>0.16639599999999999</v>
      </c>
      <c r="BA19" s="312">
        <f>+VLOOKUP($A$1,data!$A$101:$AU$131,20)</f>
        <v>9.0282000000000001E-2</v>
      </c>
      <c r="BB19" s="312">
        <f>+VLOOKUP($A$1,data!$A$101:$AU$131,21)</f>
        <v>0.138376</v>
      </c>
      <c r="BC19" s="312">
        <f>+VLOOKUP($A$1,data!$A$101:$AU$131,22)</f>
        <v>0.128856</v>
      </c>
      <c r="BD19" s="312">
        <f>+VLOOKUP($A$1,data!$A$101:$AU$131,23)</f>
        <v>0.13004199999999999</v>
      </c>
      <c r="BE19" s="312">
        <f>+VLOOKUP($A$1,data!$A$101:$AU$131,24)</f>
        <v>0.20554600000000001</v>
      </c>
      <c r="BF19" s="312">
        <f>+VLOOKUP($A$1,data!$A$101:$AU$131,25)</f>
        <v>0.13675200000000001</v>
      </c>
      <c r="BG19" s="312">
        <f>+VLOOKUP($A$1,data!$A$101:$AU$131,26)</f>
        <v>0.144931</v>
      </c>
      <c r="BH19" s="312">
        <f>+VLOOKUP($A$1,data!$A$101:$AU$131,27)</f>
        <v>0.11648600000000001</v>
      </c>
      <c r="BI19" s="312">
        <f>+VLOOKUP($A$1,data!$A$101:$AU$131,28)</f>
        <v>0.13033600000000001</v>
      </c>
      <c r="BJ19" s="312">
        <f>+VLOOKUP($A$1,data!$A$101:$AU$131,29)</f>
        <v>0.135377</v>
      </c>
      <c r="BK19" s="312">
        <f>+VLOOKUP($A$1,data!$A$101:$AU$131,30)</f>
        <v>0.137042</v>
      </c>
      <c r="BL19" s="312">
        <f>SUM(AZ19:BK19)</f>
        <v>1.6604220000000001</v>
      </c>
      <c r="BM19" s="313">
        <f t="shared" ref="BM19:BM20" si="2">SUM(AZ19:BK19)</f>
        <v>1.6604220000000001</v>
      </c>
      <c r="BN19" s="314">
        <f>+BM20-BM19</f>
        <v>-4.2899999999999716E-2</v>
      </c>
    </row>
    <row r="20" spans="1:66" s="247" customFormat="1" ht="19.5" thickBot="1" x14ac:dyDescent="0.35">
      <c r="A20" s="413" t="s">
        <v>93</v>
      </c>
      <c r="B20" s="414">
        <f>+VLOOKUP($A$1,data!$A$37:$AU$67,3)</f>
        <v>87</v>
      </c>
      <c r="C20" s="414">
        <f>+VLOOKUP($A$1,data!$A$37:$AU$67,4)</f>
        <v>121</v>
      </c>
      <c r="D20" s="414">
        <f>+VLOOKUP($A$1,data!$A$37:$AU$67,5)</f>
        <v>69</v>
      </c>
      <c r="E20" s="414">
        <f>+VLOOKUP($A$1,data!$A$37:$AU$67,6)</f>
        <v>91</v>
      </c>
      <c r="F20" s="414">
        <f>+VLOOKUP($A$1,data!$A$37:$AU$67,7)</f>
        <v>144</v>
      </c>
      <c r="G20" s="414">
        <f>+VLOOKUP($A$1,data!$A$37:$AU$67,8)</f>
        <v>141</v>
      </c>
      <c r="H20" s="414">
        <f>+VLOOKUP($A$1,data!$A$37:$AU$67,9)</f>
        <v>122</v>
      </c>
      <c r="I20" s="414">
        <f>+VLOOKUP($A$1,data!$A$37:$AU$67,10)</f>
        <v>105</v>
      </c>
      <c r="J20" s="414">
        <f>+VLOOKUP($A$1,data!$A$37:$AU$67,11)</f>
        <v>73</v>
      </c>
      <c r="K20" s="414">
        <f>+VLOOKUP($A$1,data!$A$37:$AU$67,12)</f>
        <v>67</v>
      </c>
      <c r="L20" s="414">
        <f>+VLOOKUP($A$1,data!$A$37:$AU$67,13)</f>
        <v>101</v>
      </c>
      <c r="M20" s="414">
        <f>+VLOOKUP($A$1,data!$A$37:$AU$67,14)</f>
        <v>105</v>
      </c>
      <c r="N20" s="414">
        <f>SUM(B20:M20)</f>
        <v>1226</v>
      </c>
      <c r="O20" s="631">
        <f t="shared" si="0"/>
        <v>1226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0.37310100000000002</v>
      </c>
      <c r="AK20" s="420">
        <f>+VLOOKUP($A$1,data!$A$69:$AU$99,4)</f>
        <v>0.37618200000000002</v>
      </c>
      <c r="AL20" s="420">
        <f>+VLOOKUP($A$1,data!$A$69:$AU$99,5)</f>
        <v>0.36683100000000002</v>
      </c>
      <c r="AM20" s="420">
        <f>+VLOOKUP($A$1,data!$A$69:$AU$99,6)</f>
        <v>0.37280799999999997</v>
      </c>
      <c r="AN20" s="420">
        <f>+VLOOKUP($A$1,data!$A$69:$AU$99,7)</f>
        <v>0.36417699999999997</v>
      </c>
      <c r="AO20" s="420">
        <f>+VLOOKUP($A$1,data!$A$69:$AU$99,8)</f>
        <v>0.36271500000000001</v>
      </c>
      <c r="AP20" s="420">
        <f>+VLOOKUP($A$1,data!$A$69:$AU$99,9)</f>
        <v>0.442637</v>
      </c>
      <c r="AQ20" s="420">
        <f>+VLOOKUP($A$1,data!$A$69:$AU$99,10)</f>
        <v>0.41869099999999998</v>
      </c>
      <c r="AR20" s="420">
        <f>+VLOOKUP($A$1,data!$A$69:$AU$99,11)</f>
        <v>0.41687400000000002</v>
      </c>
      <c r="AS20" s="420">
        <f>+VLOOKUP($A$1,data!$A$69:$AU$99,12)</f>
        <v>0.39508900000000002</v>
      </c>
      <c r="AT20" s="420">
        <f>+VLOOKUP($A$1,data!$A$69:$AU$99,13)</f>
        <v>0.40223500000000001</v>
      </c>
      <c r="AU20" s="420">
        <f>+VLOOKUP($A$1,data!$A$69:$AU$99,14)</f>
        <v>0.40167999999999998</v>
      </c>
      <c r="AV20" s="420">
        <f>SUM(AJ20:AU20)</f>
        <v>4.6930199999999997</v>
      </c>
      <c r="AW20" s="421">
        <f t="shared" si="1"/>
        <v>4.6930199999999997</v>
      </c>
      <c r="AX20" s="422"/>
      <c r="AY20" s="315" t="s">
        <v>93</v>
      </c>
      <c r="AZ20" s="316">
        <f>+VLOOKUP($A$1,data!$A$101:$AU$131,3)</f>
        <v>0.16103300000000001</v>
      </c>
      <c r="BA20" s="316">
        <f>+VLOOKUP($A$1,data!$A$101:$AU$131,4)</f>
        <v>0.13220399999999999</v>
      </c>
      <c r="BB20" s="316">
        <f>+VLOOKUP($A$1,data!$A$101:$AU$131,5)</f>
        <v>0.16125800000000001</v>
      </c>
      <c r="BC20" s="316">
        <f>+VLOOKUP($A$1,data!$A$101:$AU$131,6)</f>
        <v>0.15976000000000001</v>
      </c>
      <c r="BD20" s="316">
        <f>+VLOOKUP($A$1,data!$A$101:$AU$131,7)</f>
        <v>0.14613300000000001</v>
      </c>
      <c r="BE20" s="316">
        <f>+VLOOKUP($A$1,data!$A$101:$AU$131,8)</f>
        <v>0.19917899999999999</v>
      </c>
      <c r="BF20" s="316">
        <f>+VLOOKUP($A$1,data!$A$101:$AU$131,9)</f>
        <v>7.1322999999999998E-2</v>
      </c>
      <c r="BG20" s="316">
        <f>+VLOOKUP($A$1,data!$A$101:$AU$131,10)</f>
        <v>0.114943</v>
      </c>
      <c r="BH20" s="316">
        <f>+VLOOKUP($A$1,data!$A$101:$AU$131,11)</f>
        <v>9.7433000000000006E-2</v>
      </c>
      <c r="BI20" s="316">
        <f>+VLOOKUP($A$1,data!$A$101:$AU$131,12)</f>
        <v>0.12793299999999999</v>
      </c>
      <c r="BJ20" s="316">
        <f>+VLOOKUP($A$1,data!$A$101:$AU$131,13)</f>
        <v>0.12686900000000001</v>
      </c>
      <c r="BK20" s="316">
        <f>+VLOOKUP($A$1,data!$A$101:$AU$131,14)</f>
        <v>0.119454</v>
      </c>
      <c r="BL20" s="316">
        <f>SUM(AZ20:BK20)</f>
        <v>1.6175220000000003</v>
      </c>
      <c r="BM20" s="317">
        <f t="shared" si="2"/>
        <v>1.6175220000000003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219.13966480446931</v>
      </c>
      <c r="W21" s="671">
        <f>+VLOOKUP($A$1,data!$A$261:$AK$291,16)</f>
        <v>153</v>
      </c>
      <c r="X21" s="671">
        <f>+VLOOKUP($A$1,data!$A$261:$AK$291,36)</f>
        <v>555.41787709497214</v>
      </c>
      <c r="Y21" s="671">
        <f>+VLOOKUP($A$1,data!$A$261:$AK$291,17)</f>
        <v>501</v>
      </c>
      <c r="Z21" s="671">
        <f>+VLOOKUP($A$1,data!$A$261:$AK$291,37)</f>
        <v>805.86033519553087</v>
      </c>
      <c r="AA21" s="671">
        <f>+VLOOKUP($A$1,data!$A$261:$AK$291,18)</f>
        <v>752</v>
      </c>
      <c r="AB21" s="671">
        <f>+VLOOKUP($A$1,data!$A$261:$AK$291,34)</f>
        <v>994.00000000000023</v>
      </c>
      <c r="AC21" s="671">
        <f>+VLOOKUP($A$1,data!$A$261:$AK$291,15)</f>
        <v>1021</v>
      </c>
      <c r="AD21" s="671">
        <f>+AA21-Z21</f>
        <v>-53.860335195530865</v>
      </c>
      <c r="AE21" s="684">
        <f>+AC21-AB21</f>
        <v>26.999999999999773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customHeight="1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16</v>
      </c>
      <c r="W22" s="672">
        <f>+VLOOKUP($A$1,data!$A$229:$AK$259,16)</f>
        <v>124</v>
      </c>
      <c r="X22" s="672">
        <f>+VLOOKUP($A$1,data!$A$229:$AK$259,36)</f>
        <v>31</v>
      </c>
      <c r="Y22" s="672">
        <f>+VLOOKUP($A$1,data!$A$229:$AK$259,17)</f>
        <v>152</v>
      </c>
      <c r="Z22" s="672">
        <f>+VLOOKUP($A$1,data!$A$229:$AK$259,37)</f>
        <v>57</v>
      </c>
      <c r="AA22" s="672">
        <f>+VLOOKUP($A$1,data!$A$229:$AK$259,18)</f>
        <v>201</v>
      </c>
      <c r="AB22" s="672">
        <f>+VLOOKUP($A$1,data!$A$229:$AK$259,34)</f>
        <v>104</v>
      </c>
      <c r="AC22" s="765">
        <f>+VLOOKUP($A$1,data!$A$229:$AK$259,15)</f>
        <v>205</v>
      </c>
      <c r="AD22" s="671">
        <f>+AA22-Z22</f>
        <v>144</v>
      </c>
      <c r="AE22" s="685">
        <f>+AC22-AB22</f>
        <v>101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235.13966480446931</v>
      </c>
      <c r="W23" s="689">
        <f t="shared" ref="W23:AC23" si="3">SUM(W21:W22)</f>
        <v>277</v>
      </c>
      <c r="X23" s="689">
        <f t="shared" si="3"/>
        <v>586.41787709497214</v>
      </c>
      <c r="Y23" s="689">
        <f t="shared" si="3"/>
        <v>653</v>
      </c>
      <c r="Z23" s="689">
        <f t="shared" si="3"/>
        <v>862.86033519553087</v>
      </c>
      <c r="AA23" s="689">
        <f t="shared" si="3"/>
        <v>953</v>
      </c>
      <c r="AB23" s="689">
        <f t="shared" si="3"/>
        <v>1098.0000000000002</v>
      </c>
      <c r="AC23" s="764">
        <f t="shared" si="3"/>
        <v>1226</v>
      </c>
      <c r="AD23" s="689">
        <f>+AA23-Z23</f>
        <v>90.139664804469135</v>
      </c>
      <c r="AE23" s="686">
        <f>+AC23-AB23</f>
        <v>127.99999999999977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40</v>
      </c>
      <c r="D39" s="406">
        <f t="shared" ref="D39:N41" si="4">+C39+C18</f>
        <v>77</v>
      </c>
      <c r="E39" s="406">
        <f t="shared" si="4"/>
        <v>250</v>
      </c>
      <c r="F39" s="406">
        <f t="shared" si="4"/>
        <v>356</v>
      </c>
      <c r="G39" s="406">
        <f t="shared" si="4"/>
        <v>446</v>
      </c>
      <c r="H39" s="406">
        <f t="shared" si="4"/>
        <v>607</v>
      </c>
      <c r="I39" s="406">
        <f t="shared" si="4"/>
        <v>678</v>
      </c>
      <c r="J39" s="406">
        <f t="shared" si="4"/>
        <v>759</v>
      </c>
      <c r="K39" s="406">
        <f t="shared" si="4"/>
        <v>857</v>
      </c>
      <c r="L39" s="406">
        <f t="shared" si="4"/>
        <v>902</v>
      </c>
      <c r="M39" s="406">
        <f t="shared" si="4"/>
        <v>974</v>
      </c>
      <c r="N39" s="406">
        <f t="shared" si="4"/>
        <v>1065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0.36039199999999999</v>
      </c>
      <c r="AL39" s="418">
        <f t="shared" ref="AL39:AV41" si="5">+AK39+AK18</f>
        <v>0.73012999999999995</v>
      </c>
      <c r="AM39" s="418">
        <f t="shared" si="5"/>
        <v>1.090122</v>
      </c>
      <c r="AN39" s="418">
        <f t="shared" si="5"/>
        <v>1.461562</v>
      </c>
      <c r="AO39" s="418">
        <f t="shared" si="5"/>
        <v>1.824967</v>
      </c>
      <c r="AP39" s="418">
        <f t="shared" si="5"/>
        <v>2.179678</v>
      </c>
      <c r="AQ39" s="418">
        <f t="shared" si="5"/>
        <v>2.6048109999999998</v>
      </c>
      <c r="AR39" s="418">
        <f t="shared" si="5"/>
        <v>3.0309469999999998</v>
      </c>
      <c r="AS39" s="418">
        <f t="shared" si="5"/>
        <v>3.435254</v>
      </c>
      <c r="AT39" s="418">
        <f t="shared" si="5"/>
        <v>3.8417780000000001</v>
      </c>
      <c r="AU39" s="418">
        <f t="shared" si="5"/>
        <v>4.1832190000000002</v>
      </c>
      <c r="AV39" s="418">
        <f t="shared" si="5"/>
        <v>4.5765750000000001</v>
      </c>
      <c r="AW39" s="158"/>
      <c r="AX39" s="158"/>
      <c r="AY39" s="308" t="s">
        <v>92</v>
      </c>
      <c r="AZ39" s="717">
        <f>+VLOOKUP($A$1,data!$A$133:$BK$163,26)</f>
        <v>32.769092529277764</v>
      </c>
      <c r="BA39" s="717">
        <f>+VLOOKUP($A$1,data!$A$133:$BK$163,27)</f>
        <v>13.508334034457937</v>
      </c>
      <c r="BB39" s="717">
        <f>+VLOOKUP($A$1,data!$A$133:$BK$163,28)</f>
        <v>27.725137958198616</v>
      </c>
      <c r="BC39" s="717">
        <f>+VLOOKUP($A$1,data!$A$133:$BK$163,29)</f>
        <v>25.416814461095385</v>
      </c>
      <c r="BD39" s="717">
        <f>+VLOOKUP($A$1,data!$A$133:$BK$163,30)</f>
        <v>31.284914137767377</v>
      </c>
      <c r="BE39" s="717">
        <f>+VLOOKUP($A$1,data!$A$133:$BK$163,31)</f>
        <v>28.067072447729341</v>
      </c>
      <c r="BF39" s="717">
        <f>+VLOOKUP($A$1,data!$A$133:$BK$163,32)</f>
        <v>36.682817980095273</v>
      </c>
      <c r="BG39" s="717">
        <f>+VLOOKUP($A$1,data!$A$133:$BK$163,33)</f>
        <v>28.947907123574335</v>
      </c>
      <c r="BH39" s="717">
        <f>+VLOOKUP($A$1,data!$A$133:$BK$163,34)</f>
        <v>25.268470149908257</v>
      </c>
      <c r="BI39" s="717">
        <f>+VLOOKUP($A$1,data!$A$133:$BK$163,35)</f>
        <v>21.777336231894683</v>
      </c>
      <c r="BJ39" s="717">
        <f>+VLOOKUP($A$1,data!$A$133:$BK$163,36)</f>
        <v>19.279809779139537</v>
      </c>
      <c r="BK39" s="717">
        <f>+VLOOKUP($A$1,data!$A$133:$BK$163,37)</f>
        <v>26.632956879178494</v>
      </c>
      <c r="BL39" s="717">
        <f>+VLOOKUP($A$1,data!$A$133:$BK$163,38)</f>
        <v>20.375567179290343</v>
      </c>
      <c r="BM39" s="717">
        <f>+VLOOKUP($A$1,data!$A$133:$BK$163,39)</f>
        <v>31.103848287688507</v>
      </c>
      <c r="BN39" s="717">
        <f>+VLOOKUP($A$1,data!$A$133:$BK$163,40)</f>
        <v>21.857046366562042</v>
      </c>
      <c r="BO39" s="717">
        <f>+VLOOKUP($A$1,data!$A$133:$BK$163,41)</f>
        <v>26.087209704656939</v>
      </c>
    </row>
    <row r="40" spans="1:67" ht="21.75" thickBot="1" x14ac:dyDescent="0.4">
      <c r="A40"/>
      <c r="B40" s="408" t="s">
        <v>94</v>
      </c>
      <c r="C40" s="409">
        <f>+B19</f>
        <v>69.928491620111728</v>
      </c>
      <c r="D40" s="409">
        <f t="shared" si="4"/>
        <v>121.04581005586593</v>
      </c>
      <c r="E40" s="409">
        <f t="shared" si="4"/>
        <v>235.13966480446931</v>
      </c>
      <c r="F40" s="409">
        <f t="shared" si="4"/>
        <v>377.85921787709503</v>
      </c>
      <c r="G40" s="409">
        <f t="shared" si="4"/>
        <v>466.59888268156431</v>
      </c>
      <c r="H40" s="409">
        <f t="shared" si="4"/>
        <v>586.41787709497214</v>
      </c>
      <c r="I40" s="409">
        <f t="shared" si="4"/>
        <v>679.24692737430178</v>
      </c>
      <c r="J40" s="409">
        <f t="shared" si="4"/>
        <v>759.80782122905043</v>
      </c>
      <c r="K40" s="409">
        <f t="shared" si="4"/>
        <v>862.86033519553087</v>
      </c>
      <c r="L40" s="409">
        <f t="shared" si="4"/>
        <v>925.018994413408</v>
      </c>
      <c r="M40" s="409">
        <f t="shared" si="4"/>
        <v>999.85474860335216</v>
      </c>
      <c r="N40" s="409">
        <f t="shared" si="4"/>
        <v>1098.0000000000002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0.36637199999999998</v>
      </c>
      <c r="AL40" s="423">
        <f t="shared" si="5"/>
        <v>0.74480100000000005</v>
      </c>
      <c r="AM40" s="423">
        <f t="shared" si="5"/>
        <v>1.112533</v>
      </c>
      <c r="AN40" s="423">
        <f t="shared" si="5"/>
        <v>1.502149</v>
      </c>
      <c r="AO40" s="423">
        <f t="shared" si="5"/>
        <v>1.8686859999999998</v>
      </c>
      <c r="AP40" s="423">
        <f t="shared" si="5"/>
        <v>2.2303479999999998</v>
      </c>
      <c r="AQ40" s="423">
        <f t="shared" si="5"/>
        <v>2.6647029999999998</v>
      </c>
      <c r="AR40" s="423">
        <f t="shared" si="5"/>
        <v>3.0965039999999999</v>
      </c>
      <c r="AS40" s="423">
        <f t="shared" si="5"/>
        <v>3.5227089999999999</v>
      </c>
      <c r="AT40" s="423">
        <f t="shared" si="5"/>
        <v>3.9385429999999997</v>
      </c>
      <c r="AU40" s="423">
        <f t="shared" si="5"/>
        <v>4.3271579999999998</v>
      </c>
      <c r="AV40" s="423">
        <f t="shared" si="5"/>
        <v>4.7258180000000003</v>
      </c>
      <c r="AW40" s="158"/>
      <c r="AX40" s="158"/>
      <c r="AY40" s="311" t="s">
        <v>94</v>
      </c>
      <c r="AZ40" s="718">
        <f>+VLOOKUP($A$1,data!$A$133:$BK$163,22)</f>
        <v>25.999993736533551</v>
      </c>
      <c r="BA40" s="718">
        <f>+$AZ$40</f>
        <v>25.999993736533551</v>
      </c>
      <c r="BB40" s="718">
        <f t="shared" ref="BB40:BO40" si="6">+$AZ$40</f>
        <v>25.999993736533551</v>
      </c>
      <c r="BC40" s="718">
        <f t="shared" si="6"/>
        <v>25.999993736533551</v>
      </c>
      <c r="BD40" s="718">
        <f t="shared" si="6"/>
        <v>25.999993736533551</v>
      </c>
      <c r="BE40" s="718">
        <f t="shared" si="6"/>
        <v>25.999993736533551</v>
      </c>
      <c r="BF40" s="718">
        <f t="shared" si="6"/>
        <v>25.999993736533551</v>
      </c>
      <c r="BG40" s="718">
        <f t="shared" si="6"/>
        <v>25.999993736533551</v>
      </c>
      <c r="BH40" s="718">
        <f t="shared" si="6"/>
        <v>25.999993736533551</v>
      </c>
      <c r="BI40" s="718">
        <f t="shared" si="6"/>
        <v>25.999993736533551</v>
      </c>
      <c r="BJ40" s="718">
        <f t="shared" si="6"/>
        <v>25.999993736533551</v>
      </c>
      <c r="BK40" s="718">
        <f t="shared" si="6"/>
        <v>25.999993736533551</v>
      </c>
      <c r="BL40" s="718">
        <f t="shared" si="6"/>
        <v>25.999993736533551</v>
      </c>
      <c r="BM40" s="718">
        <f t="shared" si="6"/>
        <v>25.999993736533551</v>
      </c>
      <c r="BN40" s="718">
        <f t="shared" si="6"/>
        <v>25.999993736533551</v>
      </c>
      <c r="BO40" s="718">
        <f t="shared" si="6"/>
        <v>25.999993736533551</v>
      </c>
    </row>
    <row r="41" spans="1:67" ht="21.75" thickBot="1" x14ac:dyDescent="0.4">
      <c r="A41"/>
      <c r="B41" s="413" t="s">
        <v>93</v>
      </c>
      <c r="C41" s="414">
        <f>+B20</f>
        <v>87</v>
      </c>
      <c r="D41" s="414">
        <f t="shared" si="4"/>
        <v>208</v>
      </c>
      <c r="E41" s="414">
        <f t="shared" si="4"/>
        <v>277</v>
      </c>
      <c r="F41" s="414">
        <f t="shared" si="4"/>
        <v>368</v>
      </c>
      <c r="G41" s="414">
        <f t="shared" si="4"/>
        <v>512</v>
      </c>
      <c r="H41" s="414">
        <f t="shared" si="4"/>
        <v>653</v>
      </c>
      <c r="I41" s="414">
        <f t="shared" si="4"/>
        <v>775</v>
      </c>
      <c r="J41" s="414">
        <f t="shared" si="4"/>
        <v>880</v>
      </c>
      <c r="K41" s="414">
        <f t="shared" si="4"/>
        <v>953</v>
      </c>
      <c r="L41" s="414">
        <f t="shared" si="4"/>
        <v>1020</v>
      </c>
      <c r="M41" s="414">
        <f t="shared" si="4"/>
        <v>1121</v>
      </c>
      <c r="N41" s="414">
        <f t="shared" si="4"/>
        <v>1226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0.37310100000000002</v>
      </c>
      <c r="AL41" s="420">
        <f t="shared" si="5"/>
        <v>0.74928300000000003</v>
      </c>
      <c r="AM41" s="420">
        <f t="shared" si="5"/>
        <v>1.1161140000000001</v>
      </c>
      <c r="AN41" s="420">
        <f t="shared" si="5"/>
        <v>1.4889220000000001</v>
      </c>
      <c r="AO41" s="420">
        <f t="shared" si="5"/>
        <v>1.8530990000000001</v>
      </c>
      <c r="AP41" s="420">
        <f t="shared" si="5"/>
        <v>2.215814</v>
      </c>
      <c r="AQ41" s="420">
        <f t="shared" si="5"/>
        <v>2.6584509999999999</v>
      </c>
      <c r="AR41" s="420">
        <f t="shared" si="5"/>
        <v>3.0771419999999998</v>
      </c>
      <c r="AS41" s="420">
        <f t="shared" si="5"/>
        <v>3.4940159999999998</v>
      </c>
      <c r="AT41" s="420">
        <f t="shared" si="5"/>
        <v>3.8891049999999998</v>
      </c>
      <c r="AU41" s="420">
        <f t="shared" si="5"/>
        <v>4.2913399999999999</v>
      </c>
      <c r="AV41" s="420">
        <f t="shared" si="5"/>
        <v>4.6930199999999997</v>
      </c>
      <c r="AW41" s="158"/>
      <c r="AX41" s="158"/>
      <c r="AY41" s="315" t="s">
        <v>93</v>
      </c>
      <c r="AZ41" s="719">
        <f>+VLOOKUP($A$1,data!$A$133:$BK$163,3)</f>
        <v>30.141429796091028</v>
      </c>
      <c r="BA41" s="719">
        <f>+VLOOKUP($A$1,data!$A$133:$BK$163,4)</f>
        <v>26.00275754637379</v>
      </c>
      <c r="BB41" s="719">
        <f>+VLOOKUP($A$1,data!$A$133:$BK$163,5)</f>
        <v>30.536140688406689</v>
      </c>
      <c r="BC41" s="719">
        <f>+VLOOKUP($A$1,data!$A$133:$BK$163,6)</f>
        <v>28.934535291608576</v>
      </c>
      <c r="BD41" s="719">
        <f>+VLOOKUP($A$1,data!$A$133:$BK$163,7)</f>
        <v>29.996751728812544</v>
      </c>
      <c r="BE41" s="719">
        <f>+VLOOKUP($A$1,data!$A$133:$BK$163,8)</f>
        <v>28.634552002790308</v>
      </c>
      <c r="BF41" s="719">
        <f>+VLOOKUP($A$1,data!$A$133:$BK$163,9)</f>
        <v>35.447221317558366</v>
      </c>
      <c r="BG41" s="719">
        <f>+VLOOKUP($A$1,data!$A$133:$BK$163,10)</f>
        <v>30.216853371423746</v>
      </c>
      <c r="BH41" s="719">
        <f>+VLOOKUP($A$1,data!$A$133:$BK$163,11)</f>
        <v>13.875017265226958</v>
      </c>
      <c r="BI41" s="719">
        <f>+VLOOKUP($A$1,data!$A$133:$BK$163,12)</f>
        <v>21.538014709326838</v>
      </c>
      <c r="BJ41" s="719">
        <f>+VLOOKUP($A$1,data!$A$133:$BK$163,13)</f>
        <v>18.94242209796953</v>
      </c>
      <c r="BK41" s="719">
        <f>+VLOOKUP($A$1,data!$A$133:$BK$163,14)</f>
        <v>26.242084733456039</v>
      </c>
      <c r="BL41" s="719">
        <f>+VLOOKUP($A$1,data!$A$133:$BK$163,15)</f>
        <v>24.460347748278274</v>
      </c>
      <c r="BM41" s="719">
        <f>+VLOOKUP($A$1,data!$A$133:$BK$163,16)</f>
        <v>23.977539896733418</v>
      </c>
      <c r="BN41" s="719">
        <f>+VLOOKUP($A$1,data!$A$133:$BK$163,17)</f>
        <v>22.920616159212841</v>
      </c>
      <c r="BO41" s="719">
        <f>+VLOOKUP($A$1,data!$A$133:$BK$163,18)</f>
        <v>25.630274337654583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690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26.087209704656939</v>
      </c>
      <c r="BA43" s="826">
        <f>+VLOOKUP($A$1,data!$A$133:$BK$163,26)</f>
        <v>32.769092529277764</v>
      </c>
      <c r="BB43" s="473">
        <f>+AZ45-AZ43</f>
        <v>-0.45693536700235526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25.999993736533551</v>
      </c>
      <c r="BA44" s="830"/>
      <c r="BB44" s="472">
        <f>+AZ45-AZ44</f>
        <v>-0.3697193988789671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25.630274337654583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1022</v>
      </c>
      <c r="B47" s="817" t="str">
        <f>+VLOOKUP($A$1,data!$A$4:$AH$32,2,0)</f>
        <v>พะเยา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1022</v>
      </c>
      <c r="T47" s="817" t="str">
        <f>+VLOOKUP($A$1,data!$A$4:$AH$32,2,0)</f>
        <v>พะเยา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1022</v>
      </c>
      <c r="AJ47" s="817" t="str">
        <f>+VLOOKUP($A$1,data!$A$4:$AH$32,2,0)</f>
        <v>พะเยา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7.2342956799999998</v>
      </c>
      <c r="C64" s="632">
        <f>+VLOOKUP($A$1,data!$A$165:$AU$195,36)</f>
        <v>8.8343267300000008</v>
      </c>
      <c r="D64" s="632">
        <f>+VLOOKUP($A$1,data!$A$165:$AU$195,37)</f>
        <v>7.1062332700000006</v>
      </c>
      <c r="E64" s="632">
        <f>+VLOOKUP($A$1,data!$A$165:$AU$195,38)</f>
        <v>7.4633507799999999</v>
      </c>
      <c r="F64" s="632">
        <f>+VLOOKUP($A$1,data!$A$165:$AU$195,39)</f>
        <v>7.0978042099999996</v>
      </c>
      <c r="G64" s="632">
        <f>+VLOOKUP($A$1,data!$A$165:$AU$195,40)</f>
        <v>7.0084158299999997</v>
      </c>
      <c r="H64" s="632">
        <f>+VLOOKUP($A$1,data!$A$165:$AU$195,41)</f>
        <v>8.2400433599999996</v>
      </c>
      <c r="I64" s="632">
        <f>+VLOOKUP($A$1,data!$A$165:$AU$195,42)</f>
        <v>8.3095590900000005</v>
      </c>
      <c r="J64" s="632">
        <f>+VLOOKUP($A$1,data!$A$165:$AU$195,43)</f>
        <v>8.0670844900000009</v>
      </c>
      <c r="K64" s="632">
        <f>+VLOOKUP($A$1,data!$A$165:$AU$195,44)</f>
        <v>7.9333437200000008</v>
      </c>
      <c r="L64" s="632">
        <f>+VLOOKUP($A$1,data!$A$165:$AU$195,45)</f>
        <v>6.7620922899999991</v>
      </c>
      <c r="M64" s="632">
        <f>+VLOOKUP($A$1,data!$A$165:$AU$195,46)</f>
        <v>7.7535651699999981</v>
      </c>
      <c r="N64" s="632">
        <f>SUM(B64:M64)</f>
        <v>91.810114619999993</v>
      </c>
      <c r="O64" s="632">
        <f>SUM(B64:M64)</f>
        <v>91.810114619999993</v>
      </c>
      <c r="P64" s="635">
        <f>+O66-O64</f>
        <v>2.4781508300000183</v>
      </c>
      <c r="S64" s="605" t="s">
        <v>92</v>
      </c>
      <c r="T64" s="640">
        <f>+VLOOKUP($A$1,data!$A$197:$AU$227,35)</f>
        <v>3.5229893000000003</v>
      </c>
      <c r="U64" s="640">
        <f>+VLOOKUP($A$1,data!$A$197:$AU$227,36)</f>
        <v>2.8407080800000002</v>
      </c>
      <c r="V64" s="640">
        <f>+VLOOKUP($A$1,data!$A$197:$AU$227,37)</f>
        <v>2.9348585599999999</v>
      </c>
      <c r="W64" s="640">
        <f>+VLOOKUP($A$1,data!$A$197:$AU$227,38)</f>
        <v>2.7347710700000003</v>
      </c>
      <c r="X64" s="640">
        <f>+VLOOKUP($A$1,data!$A$197:$AU$227,39)</f>
        <v>2.8736233799999993</v>
      </c>
      <c r="Y64" s="640">
        <f>+VLOOKUP($A$1,data!$A$197:$AU$227,40)</f>
        <v>3.6027654899999995</v>
      </c>
      <c r="Z64" s="640">
        <f>+VLOOKUP($A$1,data!$A$197:$AU$227,41)</f>
        <v>2.9293327700000007</v>
      </c>
      <c r="AA64" s="640">
        <f>+VLOOKUP($A$1,data!$A$197:$AU$227,42)</f>
        <v>2.8969031899999997</v>
      </c>
      <c r="AB64" s="640">
        <f>+VLOOKUP($A$1,data!$A$197:$AU$227,43)</f>
        <v>3.1063785199999994</v>
      </c>
      <c r="AC64" s="640">
        <f>+VLOOKUP($A$1,data!$A$197:$AU$227,44)</f>
        <v>2.4323047200000003</v>
      </c>
      <c r="AD64" s="640">
        <f>+VLOOKUP($A$1,data!$A$197:$AU$227,45)</f>
        <v>2.5937810100000003</v>
      </c>
      <c r="AE64" s="640">
        <f>+VLOOKUP($A$1,data!$A$197:$AU$227,46)</f>
        <v>-0.13885906000000053</v>
      </c>
      <c r="AF64" s="640">
        <f>SUM(T64:AE64)</f>
        <v>32.329557030000004</v>
      </c>
      <c r="AG64" s="640">
        <f>SUM(T64:AE64)</f>
        <v>32.329557030000004</v>
      </c>
      <c r="AH64" s="641">
        <f>+AG66-AG64</f>
        <v>2.2539635800000042</v>
      </c>
      <c r="AI64" s="621" t="s">
        <v>92</v>
      </c>
      <c r="AJ64" s="648">
        <f>+B64-T64</f>
        <v>3.7113063799999995</v>
      </c>
      <c r="AK64" s="648">
        <f t="shared" ref="AK64:AU66" si="7">+C64-U64</f>
        <v>5.9936186500000002</v>
      </c>
      <c r="AL64" s="648">
        <f t="shared" si="7"/>
        <v>4.1713747100000003</v>
      </c>
      <c r="AM64" s="648">
        <f t="shared" si="7"/>
        <v>4.72857971</v>
      </c>
      <c r="AN64" s="648">
        <f t="shared" si="7"/>
        <v>4.2241808299999999</v>
      </c>
      <c r="AO64" s="648">
        <f t="shared" si="7"/>
        <v>3.4056503400000002</v>
      </c>
      <c r="AP64" s="648">
        <f t="shared" si="7"/>
        <v>5.3107105899999993</v>
      </c>
      <c r="AQ64" s="648">
        <f t="shared" si="7"/>
        <v>5.4126559000000007</v>
      </c>
      <c r="AR64" s="648">
        <f t="shared" si="7"/>
        <v>4.9607059700000011</v>
      </c>
      <c r="AS64" s="648">
        <f t="shared" si="7"/>
        <v>5.5010390000000005</v>
      </c>
      <c r="AT64" s="648">
        <f t="shared" si="7"/>
        <v>4.1683112799999993</v>
      </c>
      <c r="AU64" s="648">
        <f t="shared" si="7"/>
        <v>7.8924242299999987</v>
      </c>
      <c r="AV64" s="648">
        <f>SUM(AJ64:AU64)</f>
        <v>59.480557589999997</v>
      </c>
      <c r="AW64" s="648">
        <f>SUM(AJ64:AU64)</f>
        <v>59.480557589999997</v>
      </c>
      <c r="AX64" s="651">
        <f>+AW66-AW64</f>
        <v>0.22418725000000705</v>
      </c>
    </row>
    <row r="65" spans="1:50" ht="21.75" thickBot="1" x14ac:dyDescent="0.4">
      <c r="A65" s="538" t="s">
        <v>94</v>
      </c>
      <c r="B65" s="633">
        <f>+VLOOKUP($A$1,data!$A$165:$AU$195,19)</f>
        <v>7.2393489999999998</v>
      </c>
      <c r="C65" s="633">
        <f>+VLOOKUP($A$1,data!$A$165:$AU$195,20)</f>
        <v>8.0945280000000004</v>
      </c>
      <c r="D65" s="633">
        <f>+VLOOKUP($A$1,data!$A$165:$AU$195,21)</f>
        <v>7.2434789999999998</v>
      </c>
      <c r="E65" s="633">
        <f>+VLOOKUP($A$1,data!$A$165:$AU$195,22)</f>
        <v>7.6456160000000004</v>
      </c>
      <c r="F65" s="633">
        <f>+VLOOKUP($A$1,data!$A$165:$AU$195,23)</f>
        <v>7.1823889999999997</v>
      </c>
      <c r="G65" s="633">
        <f>+VLOOKUP($A$1,data!$A$165:$AU$195,24)</f>
        <v>7.0529200000000003</v>
      </c>
      <c r="H65" s="633">
        <f>+VLOOKUP($A$1,data!$A$165:$AU$195,25)</f>
        <v>8.3806700000000003</v>
      </c>
      <c r="I65" s="633">
        <f>+VLOOKUP($A$1,data!$A$165:$AU$195,26)</f>
        <v>8.4418290000000002</v>
      </c>
      <c r="J65" s="633">
        <f>+VLOOKUP($A$1,data!$A$165:$AU$195,27)</f>
        <v>8.4204129999999999</v>
      </c>
      <c r="K65" s="633">
        <f>+VLOOKUP($A$1,data!$A$165:$AU$195,28)</f>
        <v>8.1189660000000003</v>
      </c>
      <c r="L65" s="633">
        <f>+VLOOKUP($A$1,data!$A$165:$AU$195,29)</f>
        <v>7.5853809999999999</v>
      </c>
      <c r="M65" s="633">
        <f>+VLOOKUP($A$1,data!$A$165:$AU$195,30)</f>
        <v>7.8998020000000002</v>
      </c>
      <c r="N65" s="633">
        <f>SUM(B65:M65)</f>
        <v>93.305341999999996</v>
      </c>
      <c r="O65" s="636">
        <f t="shared" ref="O65:O66" si="8">SUM(B65:M65)</f>
        <v>93.305341999999996</v>
      </c>
      <c r="P65" s="637">
        <f>+O66-O65</f>
        <v>0.98292345000001546</v>
      </c>
      <c r="S65" s="601" t="s">
        <v>94</v>
      </c>
      <c r="T65" s="642">
        <f>+VLOOKUP($A$1,data!$A$197:$AU$227,19)</f>
        <v>3.046198</v>
      </c>
      <c r="U65" s="642">
        <f>+VLOOKUP($A$1,data!$A$197:$AU$227,20)</f>
        <v>2.8059159999999999</v>
      </c>
      <c r="V65" s="642">
        <f>+VLOOKUP($A$1,data!$A$197:$AU$227,21)</f>
        <v>2.8770250000000002</v>
      </c>
      <c r="W65" s="642">
        <f>+VLOOKUP($A$1,data!$A$197:$AU$227,22)</f>
        <v>2.8419509999999999</v>
      </c>
      <c r="X65" s="642">
        <f>+VLOOKUP($A$1,data!$A$197:$AU$227,23)</f>
        <v>2.8011400000000002</v>
      </c>
      <c r="Y65" s="642">
        <f>+VLOOKUP($A$1,data!$A$197:$AU$227,24)</f>
        <v>3.2688920000000001</v>
      </c>
      <c r="Z65" s="642">
        <f>+VLOOKUP($A$1,data!$A$197:$AU$227,25)</f>
        <v>3.1193119999999999</v>
      </c>
      <c r="AA65" s="642">
        <f>+VLOOKUP($A$1,data!$A$197:$AU$227,26)</f>
        <v>2.994332</v>
      </c>
      <c r="AB65" s="642">
        <f>+VLOOKUP($A$1,data!$A$197:$AU$227,27)</f>
        <v>3.3838620000000001</v>
      </c>
      <c r="AC65" s="642">
        <f>+VLOOKUP($A$1,data!$A$197:$AU$227,28)</f>
        <v>3.1265890000000001</v>
      </c>
      <c r="AD65" s="642">
        <f>+VLOOKUP($A$1,data!$A$197:$AU$227,29)</f>
        <v>3.0230329999999999</v>
      </c>
      <c r="AE65" s="642">
        <f>+VLOOKUP($A$1,data!$A$197:$AU$227,30)</f>
        <v>3.0770840000000002</v>
      </c>
      <c r="AF65" s="642">
        <f>SUM(T65:AE65)</f>
        <v>36.365333999999997</v>
      </c>
      <c r="AG65" s="643">
        <f t="shared" ref="AG65:AG66" si="9">SUM(T65:AE65)</f>
        <v>36.365333999999997</v>
      </c>
      <c r="AH65" s="644">
        <f>+AG66-AG65</f>
        <v>-1.7818133899999893</v>
      </c>
      <c r="AI65" s="617" t="s">
        <v>94</v>
      </c>
      <c r="AJ65" s="649">
        <f>+B65-T65</f>
        <v>4.1931510000000003</v>
      </c>
      <c r="AK65" s="649">
        <f t="shared" si="7"/>
        <v>5.2886120000000005</v>
      </c>
      <c r="AL65" s="649">
        <f t="shared" si="7"/>
        <v>4.3664539999999992</v>
      </c>
      <c r="AM65" s="649">
        <f t="shared" si="7"/>
        <v>4.8036650000000005</v>
      </c>
      <c r="AN65" s="649">
        <f t="shared" si="7"/>
        <v>4.3812489999999995</v>
      </c>
      <c r="AO65" s="649">
        <f t="shared" si="7"/>
        <v>3.7840280000000002</v>
      </c>
      <c r="AP65" s="649">
        <f t="shared" si="7"/>
        <v>5.2613580000000004</v>
      </c>
      <c r="AQ65" s="649">
        <f t="shared" si="7"/>
        <v>5.4474970000000003</v>
      </c>
      <c r="AR65" s="649">
        <f t="shared" si="7"/>
        <v>5.0365509999999993</v>
      </c>
      <c r="AS65" s="649">
        <f t="shared" si="7"/>
        <v>4.9923770000000003</v>
      </c>
      <c r="AT65" s="649">
        <f t="shared" si="7"/>
        <v>4.5623480000000001</v>
      </c>
      <c r="AU65" s="649">
        <f t="shared" si="7"/>
        <v>4.8227180000000001</v>
      </c>
      <c r="AV65" s="649">
        <f>SUM(AJ65:AU65)</f>
        <v>56.940007999999992</v>
      </c>
      <c r="AW65" s="652">
        <f t="shared" ref="AW65:AW66" si="10">SUM(AJ65:AU65)</f>
        <v>56.940007999999992</v>
      </c>
      <c r="AX65" s="653">
        <f>+AW66-AW65</f>
        <v>2.7647368400000119</v>
      </c>
    </row>
    <row r="66" spans="1:50" ht="21.75" thickBot="1" x14ac:dyDescent="0.4">
      <c r="A66" s="546" t="s">
        <v>93</v>
      </c>
      <c r="B66" s="634">
        <f>+VLOOKUP($A$1,data!$A$165:$AU$195,3)</f>
        <v>7.3426620800000011</v>
      </c>
      <c r="C66" s="634">
        <f>+VLOOKUP($A$1,data!$A$165:$AU$195,4)</f>
        <v>7.730755470000001</v>
      </c>
      <c r="D66" s="634">
        <f>+VLOOKUP($A$1,data!$A$165:$AU$195,5)</f>
        <v>7.2604511699999996</v>
      </c>
      <c r="E66" s="634">
        <f>+VLOOKUP($A$1,data!$A$165:$AU$195,6)</f>
        <v>8.0811979800000007</v>
      </c>
      <c r="F66" s="634">
        <f>+VLOOKUP($A$1,data!$A$165:$AU$195,7)</f>
        <v>7.1307086599999989</v>
      </c>
      <c r="G66" s="634">
        <f>+VLOOKUP($A$1,data!$A$165:$AU$195,8)</f>
        <v>8.0365754499999991</v>
      </c>
      <c r="H66" s="634">
        <f>+VLOOKUP($A$1,data!$A$165:$AU$195,9)</f>
        <v>8.8858583000000007</v>
      </c>
      <c r="I66" s="634">
        <f>+VLOOKUP($A$1,data!$A$165:$AU$195,10)</f>
        <v>8.1038040200000001</v>
      </c>
      <c r="J66" s="634">
        <f>+VLOOKUP($A$1,data!$A$165:$AU$195,11)</f>
        <v>8.1048670000000005</v>
      </c>
      <c r="K66" s="634">
        <f>+VLOOKUP($A$1,data!$A$165:$AU$195,12)</f>
        <v>7.74243185</v>
      </c>
      <c r="L66" s="634">
        <f>+VLOOKUP($A$1,data!$A$165:$AU$195,13)</f>
        <v>7.9098970200000016</v>
      </c>
      <c r="M66" s="634">
        <f>+VLOOKUP($A$1,data!$A$165:$AU$195,14)</f>
        <v>7.9590564500000003</v>
      </c>
      <c r="N66" s="634">
        <f>SUM(B66:M66)</f>
        <v>94.288265450000011</v>
      </c>
      <c r="O66" s="638">
        <f t="shared" si="8"/>
        <v>94.288265450000011</v>
      </c>
      <c r="P66" s="639"/>
      <c r="S66" s="608" t="s">
        <v>93</v>
      </c>
      <c r="T66" s="645">
        <f>+VLOOKUP($A$1,data!$A$197:$AU$227,3)</f>
        <v>2.9219070499999997</v>
      </c>
      <c r="U66" s="645">
        <f>+VLOOKUP($A$1,data!$A$197:$AU$227,4)</f>
        <v>2.6042152000000001</v>
      </c>
      <c r="V66" s="645">
        <f>+VLOOKUP($A$1,data!$A$197:$AU$227,5)</f>
        <v>2.8201797000000002</v>
      </c>
      <c r="W66" s="645">
        <f>+VLOOKUP($A$1,data!$A$197:$AU$227,6)</f>
        <v>2.5798502899999991</v>
      </c>
      <c r="X66" s="645">
        <f>+VLOOKUP($A$1,data!$A$197:$AU$227,7)</f>
        <v>2.6115142699999998</v>
      </c>
      <c r="Y66" s="645">
        <f>+VLOOKUP($A$1,data!$A$197:$AU$227,8)</f>
        <v>3.6622545099999999</v>
      </c>
      <c r="Z66" s="645">
        <f>+VLOOKUP($A$1,data!$A$197:$AU$227,9)</f>
        <v>2.7145194099999999</v>
      </c>
      <c r="AA66" s="645">
        <f>+VLOOKUP($A$1,data!$A$197:$AU$227,10)</f>
        <v>3.1701046000000006</v>
      </c>
      <c r="AB66" s="645">
        <f>+VLOOKUP($A$1,data!$A$197:$AU$227,11)</f>
        <v>2.76135318</v>
      </c>
      <c r="AC66" s="645">
        <f>+VLOOKUP($A$1,data!$A$197:$AU$227,12)</f>
        <v>2.8125237300000001</v>
      </c>
      <c r="AD66" s="645">
        <f>+VLOOKUP($A$1,data!$A$197:$AU$227,13)</f>
        <v>3.1220663999999996</v>
      </c>
      <c r="AE66" s="645">
        <f>+VLOOKUP($A$1,data!$A$197:$AU$227,14)</f>
        <v>2.8030322700000001</v>
      </c>
      <c r="AF66" s="645">
        <f>SUM(T66:AE66)</f>
        <v>34.583520610000008</v>
      </c>
      <c r="AG66" s="646">
        <f t="shared" si="9"/>
        <v>34.583520610000008</v>
      </c>
      <c r="AH66" s="647"/>
      <c r="AI66" s="624" t="s">
        <v>93</v>
      </c>
      <c r="AJ66" s="650">
        <f>+B66-T66</f>
        <v>4.4207550300000014</v>
      </c>
      <c r="AK66" s="650">
        <f t="shared" si="7"/>
        <v>5.1265402700000013</v>
      </c>
      <c r="AL66" s="650">
        <f t="shared" si="7"/>
        <v>4.440271469999999</v>
      </c>
      <c r="AM66" s="650">
        <f t="shared" si="7"/>
        <v>5.5013476900000011</v>
      </c>
      <c r="AN66" s="650">
        <f t="shared" si="7"/>
        <v>4.5191943899999991</v>
      </c>
      <c r="AO66" s="650">
        <f t="shared" si="7"/>
        <v>4.3743209399999987</v>
      </c>
      <c r="AP66" s="650">
        <f t="shared" si="7"/>
        <v>6.1713388900000012</v>
      </c>
      <c r="AQ66" s="650">
        <f t="shared" si="7"/>
        <v>4.9336994199999999</v>
      </c>
      <c r="AR66" s="650">
        <f t="shared" si="7"/>
        <v>5.3435138200000001</v>
      </c>
      <c r="AS66" s="650">
        <f>+K66-AC66</f>
        <v>4.9299081200000003</v>
      </c>
      <c r="AT66" s="650">
        <f>+L66-AD66</f>
        <v>4.787830620000002</v>
      </c>
      <c r="AU66" s="650">
        <f>+M66-AE66</f>
        <v>5.1560241800000002</v>
      </c>
      <c r="AV66" s="650">
        <f>SUM(AJ66:AU66)</f>
        <v>59.704744840000004</v>
      </c>
      <c r="AW66" s="654">
        <f t="shared" si="10"/>
        <v>59.704744840000004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7.2342956799999998</v>
      </c>
      <c r="D85" s="628">
        <f t="shared" ref="D85:N87" si="11">+C85+C64</f>
        <v>16.06862241</v>
      </c>
      <c r="E85" s="628">
        <f t="shared" si="11"/>
        <v>23.17485568</v>
      </c>
      <c r="F85" s="628">
        <f t="shared" si="11"/>
        <v>30.638206459999999</v>
      </c>
      <c r="G85" s="628">
        <f t="shared" si="11"/>
        <v>37.736010669999999</v>
      </c>
      <c r="H85" s="628">
        <f t="shared" si="11"/>
        <v>44.744426499999996</v>
      </c>
      <c r="I85" s="628">
        <f t="shared" si="11"/>
        <v>52.984469859999997</v>
      </c>
      <c r="J85" s="628">
        <f t="shared" si="11"/>
        <v>61.294028949999998</v>
      </c>
      <c r="K85" s="628">
        <f t="shared" si="11"/>
        <v>69.361113439999997</v>
      </c>
      <c r="L85" s="628">
        <f t="shared" si="11"/>
        <v>77.294457159999993</v>
      </c>
      <c r="M85" s="628">
        <f t="shared" si="11"/>
        <v>84.056549449999991</v>
      </c>
      <c r="N85" s="628">
        <f t="shared" si="11"/>
        <v>91.810114619999993</v>
      </c>
      <c r="S85"/>
      <c r="T85" s="605" t="s">
        <v>92</v>
      </c>
      <c r="U85" s="640">
        <f>+T64</f>
        <v>3.5229893000000003</v>
      </c>
      <c r="V85" s="640">
        <f t="shared" ref="V85:AF87" si="12">+U85+U64</f>
        <v>6.3636973800000005</v>
      </c>
      <c r="W85" s="640">
        <f t="shared" si="12"/>
        <v>9.29855594</v>
      </c>
      <c r="X85" s="640">
        <f t="shared" si="12"/>
        <v>12.033327010000001</v>
      </c>
      <c r="Y85" s="640">
        <f t="shared" si="12"/>
        <v>14.90695039</v>
      </c>
      <c r="Z85" s="640">
        <f t="shared" si="12"/>
        <v>18.509715880000002</v>
      </c>
      <c r="AA85" s="640">
        <f t="shared" si="12"/>
        <v>21.439048650000004</v>
      </c>
      <c r="AB85" s="640">
        <f t="shared" si="12"/>
        <v>24.335951840000003</v>
      </c>
      <c r="AC85" s="640">
        <f t="shared" si="12"/>
        <v>27.442330360000003</v>
      </c>
      <c r="AD85" s="640">
        <f t="shared" si="12"/>
        <v>29.874635080000004</v>
      </c>
      <c r="AE85" s="640">
        <f t="shared" si="12"/>
        <v>32.468416090000005</v>
      </c>
      <c r="AF85" s="640">
        <f t="shared" si="12"/>
        <v>32.329557030000004</v>
      </c>
      <c r="AG85" s="158"/>
      <c r="AH85" s="158"/>
      <c r="AI85"/>
      <c r="AJ85" s="621" t="s">
        <v>92</v>
      </c>
      <c r="AK85" s="648">
        <f>+AJ64</f>
        <v>3.7113063799999995</v>
      </c>
      <c r="AL85" s="648">
        <f t="shared" ref="AL85:AV87" si="13">+AK85+AK64</f>
        <v>9.7049250300000001</v>
      </c>
      <c r="AM85" s="648">
        <f t="shared" si="13"/>
        <v>13.87629974</v>
      </c>
      <c r="AN85" s="648">
        <f t="shared" si="13"/>
        <v>18.604879449999999</v>
      </c>
      <c r="AO85" s="648">
        <f t="shared" si="13"/>
        <v>22.82906028</v>
      </c>
      <c r="AP85" s="648">
        <f t="shared" si="13"/>
        <v>26.234710620000001</v>
      </c>
      <c r="AQ85" s="648">
        <f t="shared" si="13"/>
        <v>31.545421210000001</v>
      </c>
      <c r="AR85" s="648">
        <f t="shared" si="13"/>
        <v>36.958077110000005</v>
      </c>
      <c r="AS85" s="648">
        <f t="shared" si="13"/>
        <v>41.918783080000004</v>
      </c>
      <c r="AT85" s="648">
        <f t="shared" si="13"/>
        <v>47.419822080000003</v>
      </c>
      <c r="AU85" s="648">
        <f t="shared" si="13"/>
        <v>51.58813336</v>
      </c>
      <c r="AV85" s="648">
        <f t="shared" si="13"/>
        <v>59.480557589999997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7.2393489999999998</v>
      </c>
      <c r="D86" s="633">
        <f t="shared" si="11"/>
        <v>15.333877000000001</v>
      </c>
      <c r="E86" s="633">
        <f t="shared" si="11"/>
        <v>22.577356000000002</v>
      </c>
      <c r="F86" s="633">
        <f t="shared" si="11"/>
        <v>30.222972000000002</v>
      </c>
      <c r="G86" s="633">
        <f t="shared" si="11"/>
        <v>37.405360999999999</v>
      </c>
      <c r="H86" s="633">
        <f t="shared" si="11"/>
        <v>44.458280999999999</v>
      </c>
      <c r="I86" s="633">
        <f t="shared" si="11"/>
        <v>52.838951000000002</v>
      </c>
      <c r="J86" s="633">
        <f t="shared" si="11"/>
        <v>61.28078</v>
      </c>
      <c r="K86" s="633">
        <f t="shared" si="11"/>
        <v>69.701193000000004</v>
      </c>
      <c r="L86" s="633">
        <f t="shared" si="11"/>
        <v>77.820159000000004</v>
      </c>
      <c r="M86" s="633">
        <f t="shared" si="11"/>
        <v>85.405540000000002</v>
      </c>
      <c r="N86" s="633">
        <f t="shared" si="11"/>
        <v>93.305341999999996</v>
      </c>
      <c r="S86"/>
      <c r="T86" s="601" t="s">
        <v>94</v>
      </c>
      <c r="U86" s="642">
        <f>+T65</f>
        <v>3.046198</v>
      </c>
      <c r="V86" s="642">
        <f t="shared" si="12"/>
        <v>5.8521140000000003</v>
      </c>
      <c r="W86" s="642">
        <f t="shared" si="12"/>
        <v>8.729139</v>
      </c>
      <c r="X86" s="642">
        <f t="shared" si="12"/>
        <v>11.57109</v>
      </c>
      <c r="Y86" s="642">
        <f t="shared" si="12"/>
        <v>14.37223</v>
      </c>
      <c r="Z86" s="642">
        <f t="shared" si="12"/>
        <v>17.641121999999999</v>
      </c>
      <c r="AA86" s="642">
        <f t="shared" si="12"/>
        <v>20.760434</v>
      </c>
      <c r="AB86" s="642">
        <f t="shared" si="12"/>
        <v>23.754766</v>
      </c>
      <c r="AC86" s="642">
        <f t="shared" si="12"/>
        <v>27.138628000000001</v>
      </c>
      <c r="AD86" s="642">
        <f t="shared" si="12"/>
        <v>30.265217</v>
      </c>
      <c r="AE86" s="642">
        <f t="shared" si="12"/>
        <v>33.288249999999998</v>
      </c>
      <c r="AF86" s="642">
        <f t="shared" si="12"/>
        <v>36.365333999999997</v>
      </c>
      <c r="AG86" s="158"/>
      <c r="AH86" s="158"/>
      <c r="AI86"/>
      <c r="AJ86" s="617" t="s">
        <v>94</v>
      </c>
      <c r="AK86" s="649">
        <f>+AJ65</f>
        <v>4.1931510000000003</v>
      </c>
      <c r="AL86" s="649">
        <f t="shared" si="13"/>
        <v>9.4817630000000008</v>
      </c>
      <c r="AM86" s="649">
        <f t="shared" si="13"/>
        <v>13.848217</v>
      </c>
      <c r="AN86" s="649">
        <f t="shared" si="13"/>
        <v>18.651882000000001</v>
      </c>
      <c r="AO86" s="649">
        <f t="shared" si="13"/>
        <v>23.033131000000001</v>
      </c>
      <c r="AP86" s="649">
        <f t="shared" si="13"/>
        <v>26.817159</v>
      </c>
      <c r="AQ86" s="649">
        <f t="shared" si="13"/>
        <v>32.078516999999998</v>
      </c>
      <c r="AR86" s="649">
        <f t="shared" si="13"/>
        <v>37.526013999999996</v>
      </c>
      <c r="AS86" s="649">
        <f t="shared" si="13"/>
        <v>42.562564999999992</v>
      </c>
      <c r="AT86" s="649">
        <f t="shared" si="13"/>
        <v>47.55494199999999</v>
      </c>
      <c r="AU86" s="649">
        <f t="shared" si="13"/>
        <v>52.11728999999999</v>
      </c>
      <c r="AV86" s="649">
        <f t="shared" si="13"/>
        <v>56.940007999999992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7.3426620800000011</v>
      </c>
      <c r="D87" s="629">
        <f t="shared" si="11"/>
        <v>15.073417550000002</v>
      </c>
      <c r="E87" s="629">
        <f t="shared" si="11"/>
        <v>22.333868720000002</v>
      </c>
      <c r="F87" s="629">
        <f t="shared" si="11"/>
        <v>30.415066700000004</v>
      </c>
      <c r="G87" s="629">
        <f t="shared" si="11"/>
        <v>37.54577536</v>
      </c>
      <c r="H87" s="629">
        <f t="shared" si="11"/>
        <v>45.582350810000001</v>
      </c>
      <c r="I87" s="629">
        <f t="shared" si="11"/>
        <v>54.468209110000004</v>
      </c>
      <c r="J87" s="629">
        <f t="shared" si="11"/>
        <v>62.572013130000002</v>
      </c>
      <c r="K87" s="629">
        <f t="shared" si="11"/>
        <v>70.676880130000001</v>
      </c>
      <c r="L87" s="629">
        <f t="shared" si="11"/>
        <v>78.419311980000003</v>
      </c>
      <c r="M87" s="629">
        <f t="shared" si="11"/>
        <v>86.329209000000006</v>
      </c>
      <c r="N87" s="629">
        <f t="shared" si="11"/>
        <v>94.288265450000011</v>
      </c>
      <c r="S87"/>
      <c r="T87" s="608" t="s">
        <v>93</v>
      </c>
      <c r="U87" s="645">
        <f>+T66</f>
        <v>2.9219070499999997</v>
      </c>
      <c r="V87" s="645">
        <f t="shared" si="12"/>
        <v>5.5261222500000002</v>
      </c>
      <c r="W87" s="645">
        <f t="shared" si="12"/>
        <v>8.3463019500000009</v>
      </c>
      <c r="X87" s="645">
        <f t="shared" si="12"/>
        <v>10.92615224</v>
      </c>
      <c r="Y87" s="645">
        <f t="shared" si="12"/>
        <v>13.537666510000001</v>
      </c>
      <c r="Z87" s="645">
        <f t="shared" si="12"/>
        <v>17.199921020000001</v>
      </c>
      <c r="AA87" s="645">
        <f t="shared" si="12"/>
        <v>19.914440430000003</v>
      </c>
      <c r="AB87" s="645">
        <f t="shared" si="12"/>
        <v>23.084545030000005</v>
      </c>
      <c r="AC87" s="645">
        <f t="shared" si="12"/>
        <v>25.845898210000005</v>
      </c>
      <c r="AD87" s="645">
        <f t="shared" si="12"/>
        <v>28.658421940000004</v>
      </c>
      <c r="AE87" s="645">
        <f t="shared" si="12"/>
        <v>31.780488340000005</v>
      </c>
      <c r="AF87" s="645">
        <f t="shared" si="12"/>
        <v>34.583520610000008</v>
      </c>
      <c r="AG87" s="158"/>
      <c r="AH87" s="158"/>
      <c r="AI87"/>
      <c r="AJ87" s="624" t="s">
        <v>93</v>
      </c>
      <c r="AK87" s="650">
        <f>+AJ66</f>
        <v>4.4207550300000014</v>
      </c>
      <c r="AL87" s="650">
        <f t="shared" si="13"/>
        <v>9.5472953000000018</v>
      </c>
      <c r="AM87" s="650">
        <f t="shared" si="13"/>
        <v>13.987566770000001</v>
      </c>
      <c r="AN87" s="650">
        <f t="shared" si="13"/>
        <v>19.488914460000004</v>
      </c>
      <c r="AO87" s="650">
        <f t="shared" si="13"/>
        <v>24.008108850000003</v>
      </c>
      <c r="AP87" s="650">
        <f t="shared" si="13"/>
        <v>28.382429790000003</v>
      </c>
      <c r="AQ87" s="650">
        <f t="shared" si="13"/>
        <v>34.553768680000005</v>
      </c>
      <c r="AR87" s="650">
        <f t="shared" si="13"/>
        <v>39.487468100000001</v>
      </c>
      <c r="AS87" s="650">
        <f t="shared" si="13"/>
        <v>44.830981919999999</v>
      </c>
      <c r="AT87" s="650">
        <f t="shared" si="13"/>
        <v>49.76089004</v>
      </c>
      <c r="AU87" s="650">
        <f t="shared" si="13"/>
        <v>54.548720660000001</v>
      </c>
      <c r="AV87" s="650">
        <f t="shared" si="13"/>
        <v>59.704744840000004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 AH18:AH22">
    <cfRule type="cellIs" dxfId="122" priority="15" operator="lessThan">
      <formula>0</formula>
    </cfRule>
  </conditionalFormatting>
  <conditionalFormatting sqref="O41">
    <cfRule type="cellIs" dxfId="121" priority="14" operator="lessThan">
      <formula>0</formula>
    </cfRule>
  </conditionalFormatting>
  <conditionalFormatting sqref="AX18:AX22">
    <cfRule type="cellIs" dxfId="120" priority="13" operator="lessThan">
      <formula>0</formula>
    </cfRule>
  </conditionalFormatting>
  <conditionalFormatting sqref="BN21:BN22">
    <cfRule type="cellIs" dxfId="119" priority="12" operator="lessThan">
      <formula>0</formula>
    </cfRule>
  </conditionalFormatting>
  <conditionalFormatting sqref="BB43:BB46">
    <cfRule type="cellIs" dxfId="118" priority="11" operator="greaterThan">
      <formula>0</formula>
    </cfRule>
  </conditionalFormatting>
  <conditionalFormatting sqref="AX18:AX20">
    <cfRule type="cellIs" dxfId="117" priority="10" operator="lessThan">
      <formula>0</formula>
    </cfRule>
  </conditionalFormatting>
  <conditionalFormatting sqref="BN18:BN20">
    <cfRule type="cellIs" dxfId="116" priority="9" operator="greaterThan">
      <formula>0</formula>
    </cfRule>
  </conditionalFormatting>
  <conditionalFormatting sqref="P18:P20">
    <cfRule type="cellIs" dxfId="115" priority="8" operator="lessThan">
      <formula>0</formula>
    </cfRule>
  </conditionalFormatting>
  <conditionalFormatting sqref="P67:P68">
    <cfRule type="cellIs" dxfId="114" priority="7" operator="lessThan">
      <formula>0</formula>
    </cfRule>
  </conditionalFormatting>
  <conditionalFormatting sqref="P64:P66">
    <cfRule type="cellIs" dxfId="113" priority="6" operator="lessThan">
      <formula>0</formula>
    </cfRule>
  </conditionalFormatting>
  <conditionalFormatting sqref="AH67:AH68">
    <cfRule type="cellIs" dxfId="112" priority="5" operator="lessThan">
      <formula>0</formula>
    </cfRule>
  </conditionalFormatting>
  <conditionalFormatting sqref="AH64:AH66">
    <cfRule type="cellIs" dxfId="111" priority="4" operator="greaterThan">
      <formula>0</formula>
    </cfRule>
  </conditionalFormatting>
  <conditionalFormatting sqref="AX67:AX68">
    <cfRule type="cellIs" dxfId="110" priority="3" operator="lessThan">
      <formula>0</formula>
    </cfRule>
  </conditionalFormatting>
  <conditionalFormatting sqref="AX64:AX66">
    <cfRule type="cellIs" dxfId="109" priority="2" operator="lessThan">
      <formula>0</formula>
    </cfRule>
  </conditionalFormatting>
  <conditionalFormatting sqref="S21:T23 V21:AG23">
    <cfRule type="cellIs" dxfId="108" priority="1" operator="lessThan">
      <formula>0</formula>
    </cfRule>
  </conditionalFormatting>
  <pageMargins left="0.39370078740157483" right="0.19685039370078741" top="0.74803149606299213" bottom="0.28000000000000003" header="0.31496062992125984" footer="0.31496062992125984"/>
  <pageSetup paperSize="9" scale="80" pageOrder="overThenDown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37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1023</v>
      </c>
      <c r="B3" s="807" t="str">
        <f>+VLOOKUP($A3,data!$A$4:$AH$32,2,0)</f>
        <v>จุน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4322</v>
      </c>
      <c r="C9" s="180">
        <f>+VLOOKUP($A$3,data!$A$4:$AH$32,8,0)/10^6</f>
        <v>0.527841</v>
      </c>
      <c r="D9" s="181">
        <f>+VLOOKUP($A$3,data!$A$4:$AH$32,9,0)</f>
        <v>0.34062883665702443</v>
      </c>
      <c r="E9" s="180">
        <f>+VLOOKUP($A$3,data!$A$4:$AH$32,10,0)/10^6</f>
        <v>6.7074892100000003</v>
      </c>
      <c r="F9" s="182">
        <f>+E9/C9</f>
        <v>12.707404710888317</v>
      </c>
      <c r="G9" s="179">
        <f>+VLOOKUP($A$3,data!$A$4:$AH$32,23,0)</f>
        <v>4556</v>
      </c>
      <c r="H9" s="180">
        <f>+VLOOKUP($A$3,data!$A$4:$AH$32,24,0)/10^6</f>
        <v>0.54591699999999999</v>
      </c>
      <c r="I9" s="181">
        <f>+VLOOKUP($A$3,data!$A$4:$AH$32,25,0)</f>
        <v>0.33693692581631679</v>
      </c>
      <c r="J9" s="180">
        <f>+VLOOKUP($A$3,data!$A$4:$AH$32,26,0)/10^6</f>
        <v>6.85631214</v>
      </c>
      <c r="K9" s="182">
        <f>+J9/H9</f>
        <v>12.559257432906469</v>
      </c>
    </row>
    <row r="10" spans="1:12" ht="26.25" x14ac:dyDescent="0.4">
      <c r="A10" s="187" t="s">
        <v>4</v>
      </c>
      <c r="B10" s="189">
        <f>+B9/B20</f>
        <v>0.73241823419759366</v>
      </c>
      <c r="C10" s="190"/>
      <c r="D10" s="190"/>
      <c r="E10" s="190"/>
      <c r="F10" s="191"/>
      <c r="G10" s="189">
        <f>+G9/G20</f>
        <v>0.73889069088550119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1194</v>
      </c>
      <c r="C13" s="180">
        <f>+VLOOKUP($A$3,data!$A$4:$AH$32,12,0)/10^6</f>
        <v>0.32234499999999999</v>
      </c>
      <c r="D13" s="181">
        <f>+VLOOKUP($A$3,data!$A$4:$AH$32,13,0)</f>
        <v>0.75903479699301235</v>
      </c>
      <c r="E13" s="180">
        <f>+VLOOKUP($A$3,data!$A$4:$AH$32,14,0)/10^6</f>
        <v>6.8750805199999991</v>
      </c>
      <c r="F13" s="182">
        <f>+E13/C13</f>
        <v>21.32832995703361</v>
      </c>
      <c r="G13" s="179">
        <f>+VLOOKUP($A$3,data!$A$4:$AH$32,27,0)</f>
        <v>1225</v>
      </c>
      <c r="H13" s="180">
        <f>+VLOOKUP($A$3,data!$A$4:$AH$32,28,0)/10^6</f>
        <v>0.33470499999999997</v>
      </c>
      <c r="I13" s="181">
        <f>+VLOOKUP($A$3,data!$A$4:$AH$32,29,0)</f>
        <v>0.7581645307978504</v>
      </c>
      <c r="J13" s="180">
        <f>+VLOOKUP($A$3,data!$A$4:$AH$32,30,0)/10^6</f>
        <v>7.1757258899999998</v>
      </c>
      <c r="K13" s="182">
        <f>+J13/H13</f>
        <v>21.438956364559836</v>
      </c>
    </row>
    <row r="14" spans="1:12" ht="26.25" x14ac:dyDescent="0.4">
      <c r="A14" s="187" t="s">
        <v>29</v>
      </c>
      <c r="B14" s="189">
        <f>+B13/B20</f>
        <v>0.2023385866802237</v>
      </c>
      <c r="C14" s="190"/>
      <c r="D14" s="190"/>
      <c r="E14" s="190"/>
      <c r="F14" s="191"/>
      <c r="G14" s="189">
        <f>+G13/G20</f>
        <v>0.19867012650016219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385</v>
      </c>
      <c r="C17" s="180">
        <f>+VLOOKUP($A$3,data!$A$4:$AH$32,16,0)/10^6</f>
        <v>0.13431599999999999</v>
      </c>
      <c r="D17" s="181">
        <f>+VLOOKUP($A$3,data!$A$4:$AH$32,17,0)</f>
        <v>0.95333948470437935</v>
      </c>
      <c r="E17" s="180">
        <f>+VLOOKUP($A$3,data!$A$4:$AH$32,18,0)/10^6</f>
        <v>3.5754860000000002</v>
      </c>
      <c r="F17" s="182">
        <f>+E17/C17</f>
        <v>26.619955924833977</v>
      </c>
      <c r="G17" s="179">
        <f>+VLOOKUP($A$3,data!$A$4:$AH$32,31,0)</f>
        <v>385</v>
      </c>
      <c r="H17" s="180">
        <f>+VLOOKUP($A$3,data!$A$4:$AH$32,32,0)/10^6</f>
        <v>0.13411899999999999</v>
      </c>
      <c r="I17" s="181">
        <f>+VLOOKUP($A$3,data!$A$4:$AH$32,33,0)</f>
        <v>0.95441380537270948</v>
      </c>
      <c r="J17" s="180">
        <f>+VLOOKUP($A$3,data!$A$4:$AH$32,34,0)/10^6</f>
        <v>3.6084409000000002</v>
      </c>
      <c r="K17" s="182">
        <f>+J17/H17</f>
        <v>26.904770390474134</v>
      </c>
    </row>
    <row r="18" spans="1:11" ht="26.25" x14ac:dyDescent="0.4">
      <c r="A18" s="187" t="s">
        <v>30</v>
      </c>
      <c r="B18" s="189">
        <f>+B17/B20</f>
        <v>6.5243179122182679E-2</v>
      </c>
      <c r="C18" s="190"/>
      <c r="D18" s="190"/>
      <c r="E18" s="190"/>
      <c r="F18" s="191"/>
      <c r="G18" s="189">
        <f>+G17/G20</f>
        <v>6.2439182614336688E-2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5901</v>
      </c>
      <c r="C20" s="180">
        <f>+VLOOKUP($A$3,data!$A$4:$AH$32,4,0)/10^6</f>
        <v>0.98450199999999999</v>
      </c>
      <c r="D20" s="181">
        <f>+VLOOKUP($A$3,data!$A$4:$AH$32,5,0)</f>
        <v>0.4654470670275509</v>
      </c>
      <c r="E20" s="180">
        <f>+VLOOKUP($A$3,data!$A$4:$AH$32,6,0)/10^6</f>
        <v>17.158055730000001</v>
      </c>
      <c r="F20" s="182">
        <f>+E20/C20</f>
        <v>17.428157312021714</v>
      </c>
      <c r="G20" s="179">
        <f>+VLOOKUP($A$3,data!$A$4:$AH$32,19,0)</f>
        <v>6166</v>
      </c>
      <c r="H20" s="180">
        <f>+VLOOKUP($A$3,data!$A$4:$AH$32,20,0)/10^6</f>
        <v>1.0147409999999999</v>
      </c>
      <c r="I20" s="181">
        <f>+VLOOKUP($A$3,data!$A$4:$AH$32,21,0)</f>
        <v>0.46077936997880553</v>
      </c>
      <c r="J20" s="180">
        <f>+VLOOKUP($A$3,data!$A$4:$AH$32,22,0)/10^6</f>
        <v>17.64047893</v>
      </c>
      <c r="K20" s="182">
        <f>+J20/H20</f>
        <v>17.384218169956672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จุน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="66" zoomScaleNormal="100" zoomScalePageLayoutView="66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7.125" style="158" bestFit="1" customWidth="1"/>
    <col min="3" max="6" width="5.875" style="158" bestFit="1" customWidth="1"/>
    <col min="7" max="8" width="6.125" style="158" bestFit="1" customWidth="1"/>
    <col min="9" max="14" width="7.1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7" bestFit="1" customWidth="1"/>
    <col min="48" max="48" width="7.125" bestFit="1" customWidth="1"/>
    <col min="49" max="49" width="9" bestFit="1" customWidth="1"/>
    <col min="50" max="50" width="7.375" bestFit="1" customWidth="1"/>
    <col min="51" max="51" width="8" customWidth="1"/>
    <col min="52" max="64" width="7.125" bestFit="1" customWidth="1"/>
    <col min="65" max="66" width="7.875" bestFit="1" customWidth="1"/>
    <col min="67" max="67" width="6.75" bestFit="1" customWidth="1"/>
  </cols>
  <sheetData>
    <row r="1" spans="1:66" ht="27" thickBot="1" x14ac:dyDescent="0.25">
      <c r="A1" s="248">
        <v>1023</v>
      </c>
      <c r="B1" s="817" t="str">
        <f>+VLOOKUP($A$1,data!$A$4:$AH$32,2,0)</f>
        <v>จุน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1023</v>
      </c>
      <c r="T1" s="817" t="str">
        <f>+VLOOKUP($A$1,data!$A$4:$AH$32,2,0)</f>
        <v>จุน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1023</v>
      </c>
      <c r="AJ1" s="817" t="str">
        <f>+VLOOKUP($A$1,data!$A$4:$AH$32,2,0)</f>
        <v>จุน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1023</v>
      </c>
      <c r="AZ1" s="817" t="str">
        <f>+VLOOKUP($A$1,data!$A$4:$AH$32,2,0)</f>
        <v>จุน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23</v>
      </c>
      <c r="C18" s="406">
        <f>+VLOOKUP($A$1,data!$A$37:$AU$67,36)</f>
        <v>10</v>
      </c>
      <c r="D18" s="406">
        <f>+VLOOKUP($A$1,data!$A$37:$AU$67,37)</f>
        <v>10</v>
      </c>
      <c r="E18" s="406">
        <f>+VLOOKUP($A$1,data!$A$37:$AU$67,38)</f>
        <v>19</v>
      </c>
      <c r="F18" s="406">
        <f>+VLOOKUP($A$1,data!$A$37:$AU$67,39)</f>
        <v>14</v>
      </c>
      <c r="G18" s="406">
        <f>+VLOOKUP($A$1,data!$A$37:$AU$67,40)</f>
        <v>31</v>
      </c>
      <c r="H18" s="406">
        <f>+VLOOKUP($A$1,data!$A$37:$AU$67,41)</f>
        <v>17</v>
      </c>
      <c r="I18" s="406">
        <f>+VLOOKUP($A$1,data!$A$37:$AU$67,42)</f>
        <v>45</v>
      </c>
      <c r="J18" s="406">
        <f>+VLOOKUP($A$1,data!$A$37:$AU$67,43)</f>
        <v>16</v>
      </c>
      <c r="K18" s="406">
        <f>+VLOOKUP($A$1,data!$A$37:$AU$67,44)</f>
        <v>10</v>
      </c>
      <c r="L18" s="406">
        <f>+VLOOKUP($A$1,data!$A$37:$AU$67,45)</f>
        <v>63</v>
      </c>
      <c r="M18" s="406">
        <f>+VLOOKUP($A$1,data!$A$37:$AU$67,46)</f>
        <v>33</v>
      </c>
      <c r="N18" s="406">
        <f>SUM(B18:M18)</f>
        <v>291</v>
      </c>
      <c r="O18" s="406">
        <f>SUM(B18:M18)</f>
        <v>291</v>
      </c>
      <c r="P18" s="407">
        <f>+O20-O18</f>
        <v>-47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7.8954999999999997E-2</v>
      </c>
      <c r="AK18" s="418">
        <f>+VLOOKUP($A$1,data!$A$69:$AU$99,36)</f>
        <v>7.8838000000000005E-2</v>
      </c>
      <c r="AL18" s="418">
        <f>+VLOOKUP($A$1,data!$A$69:$AU$99,37)</f>
        <v>7.7099000000000001E-2</v>
      </c>
      <c r="AM18" s="418">
        <f>+VLOOKUP($A$1,data!$A$69:$AU$99,38)</f>
        <v>8.3757999999999999E-2</v>
      </c>
      <c r="AN18" s="418">
        <f>+VLOOKUP($A$1,data!$A$69:$AU$99,39)</f>
        <v>7.7681E-2</v>
      </c>
      <c r="AO18" s="418">
        <f>+VLOOKUP($A$1,data!$A$69:$AU$99,40)</f>
        <v>7.5364E-2</v>
      </c>
      <c r="AP18" s="418">
        <f>+VLOOKUP($A$1,data!$A$69:$AU$99,41)</f>
        <v>9.0875999999999998E-2</v>
      </c>
      <c r="AQ18" s="418">
        <f>+VLOOKUP($A$1,data!$A$69:$AU$99,42)</f>
        <v>9.6125000000000002E-2</v>
      </c>
      <c r="AR18" s="418">
        <f>+VLOOKUP($A$1,data!$A$69:$AU$99,43)</f>
        <v>8.9098999999999998E-2</v>
      </c>
      <c r="AS18" s="418">
        <f>+VLOOKUP($A$1,data!$A$69:$AU$99,44)</f>
        <v>8.7844000000000005E-2</v>
      </c>
      <c r="AT18" s="418">
        <f>+VLOOKUP($A$1,data!$A$69:$AU$99,45)</f>
        <v>7.5278999999999999E-2</v>
      </c>
      <c r="AU18" s="418">
        <f>+VLOOKUP($A$1,data!$A$69:$AU$99,46)</f>
        <v>8.0588999999999994E-2</v>
      </c>
      <c r="AV18" s="418">
        <f>SUM(AJ18:AU18)</f>
        <v>0.99150700000000003</v>
      </c>
      <c r="AW18" s="418">
        <f>SUM(AJ18:AU18)</f>
        <v>0.99150700000000003</v>
      </c>
      <c r="AX18" s="419">
        <f>+AW20-AW18</f>
        <v>2.8208999999999818E-2</v>
      </c>
      <c r="AY18" s="308" t="s">
        <v>92</v>
      </c>
      <c r="AZ18" s="309">
        <f>+VLOOKUP($A$1,data!$A$101:$AU$131,35)</f>
        <v>4.1202000000000003E-2</v>
      </c>
      <c r="BA18" s="309">
        <f>+VLOOKUP($A$1,data!$A$101:$AU$131,36)</f>
        <v>3.6824999999999997E-2</v>
      </c>
      <c r="BB18" s="309">
        <f>+VLOOKUP($A$1,data!$A$101:$AU$131,37)</f>
        <v>4.0908E-2</v>
      </c>
      <c r="BC18" s="309">
        <f>+VLOOKUP($A$1,data!$A$101:$AU$131,38)</f>
        <v>3.2686E-2</v>
      </c>
      <c r="BD18" s="309">
        <f>+VLOOKUP($A$1,data!$A$101:$AU$131,39)</f>
        <v>2.9071E-2</v>
      </c>
      <c r="BE18" s="309">
        <f>+VLOOKUP($A$1,data!$A$101:$AU$131,40)</f>
        <v>3.1486E-2</v>
      </c>
      <c r="BF18" s="309">
        <f>+VLOOKUP($A$1,data!$A$101:$AU$131,41)</f>
        <v>2.1162E-2</v>
      </c>
      <c r="BG18" s="309">
        <f>+VLOOKUP($A$1,data!$A$101:$AU$131,42)</f>
        <v>1.9272999999999998E-2</v>
      </c>
      <c r="BH18" s="309">
        <f>+VLOOKUP($A$1,data!$A$101:$AU$131,43)</f>
        <v>1.8038999999999999E-2</v>
      </c>
      <c r="BI18" s="309">
        <f>+VLOOKUP($A$1,data!$A$101:$AU$131,44)</f>
        <v>1.4881E-2</v>
      </c>
      <c r="BJ18" s="309">
        <f>+VLOOKUP($A$1,data!$A$101:$AU$131,45)</f>
        <v>2.9801999999999999E-2</v>
      </c>
      <c r="BK18" s="309">
        <f>+VLOOKUP($A$1,data!$A$101:$AU$131,46)</f>
        <v>2.3911000000000002E-2</v>
      </c>
      <c r="BL18" s="309">
        <f>SUM(AZ18:BK18)</f>
        <v>0.33924599999999999</v>
      </c>
      <c r="BM18" s="309">
        <f>SUM(AZ18:BK18)</f>
        <v>0.33924599999999999</v>
      </c>
      <c r="BN18" s="310">
        <f>+BM20-BM18</f>
        <v>-2.120999999999984E-3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18.167061611374407</v>
      </c>
      <c r="C19" s="409">
        <f>+VLOOKUP($A$1,data!$A$37:$AU$67,20)</f>
        <v>13.067535545023697</v>
      </c>
      <c r="D19" s="409">
        <f>+VLOOKUP($A$1,data!$A$37:$AU$67,21)</f>
        <v>8.9241706161137451</v>
      </c>
      <c r="E19" s="409">
        <f>+VLOOKUP($A$1,data!$A$37:$AU$67,22)</f>
        <v>16.57345971563981</v>
      </c>
      <c r="F19" s="409">
        <f>+VLOOKUP($A$1,data!$A$37:$AU$67,23)</f>
        <v>15.298578199052134</v>
      </c>
      <c r="G19" s="409">
        <f>+VLOOKUP($A$1,data!$A$37:$AU$67,24)</f>
        <v>20.716824644549764</v>
      </c>
      <c r="H19" s="409">
        <f>+VLOOKUP($A$1,data!$A$37:$AU$67,25)</f>
        <v>29.959715639810426</v>
      </c>
      <c r="I19" s="409">
        <f>+VLOOKUP($A$1,data!$A$37:$AU$67,26)</f>
        <v>45.258293838862564</v>
      </c>
      <c r="J19" s="409">
        <f>+VLOOKUP($A$1,data!$A$37:$AU$67,27)</f>
        <v>22.629146919431282</v>
      </c>
      <c r="K19" s="409">
        <f>+VLOOKUP($A$1,data!$A$37:$AU$67,28)</f>
        <v>17.84834123222749</v>
      </c>
      <c r="L19" s="409">
        <f>+VLOOKUP($A$1,data!$A$37:$AU$67,29)</f>
        <v>45.895734597156398</v>
      </c>
      <c r="M19" s="409">
        <f>+VLOOKUP($A$1,data!$A$37:$AU$67,30)</f>
        <v>14.661137440758296</v>
      </c>
      <c r="N19" s="409">
        <f>SUM(B19:M19)</f>
        <v>269</v>
      </c>
      <c r="O19" s="630">
        <f t="shared" ref="O19:O20" si="0">SUM(B19:M19)</f>
        <v>269</v>
      </c>
      <c r="P19" s="412">
        <f>+O20-O19</f>
        <v>-25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8.1989000000000006E-2</v>
      </c>
      <c r="AK19" s="423">
        <f>+VLOOKUP($A$1,data!$A$69:$AU$99,20)</f>
        <v>7.9631999999999994E-2</v>
      </c>
      <c r="AL19" s="423">
        <f>+VLOOKUP($A$1,data!$A$69:$AU$99,21)</f>
        <v>8.1085000000000004E-2</v>
      </c>
      <c r="AM19" s="423">
        <f>+VLOOKUP($A$1,data!$A$69:$AU$99,22)</f>
        <v>9.0792999999999999E-2</v>
      </c>
      <c r="AN19" s="423">
        <f>+VLOOKUP($A$1,data!$A$69:$AU$99,23)</f>
        <v>8.1683000000000006E-2</v>
      </c>
      <c r="AO19" s="423">
        <f>+VLOOKUP($A$1,data!$A$69:$AU$99,24)</f>
        <v>7.8189999999999996E-2</v>
      </c>
      <c r="AP19" s="423">
        <f>+VLOOKUP($A$1,data!$A$69:$AU$99,25)</f>
        <v>9.3412999999999996E-2</v>
      </c>
      <c r="AQ19" s="423">
        <f>+VLOOKUP($A$1,data!$A$69:$AU$99,26)</f>
        <v>9.2409000000000005E-2</v>
      </c>
      <c r="AR19" s="423">
        <f>+VLOOKUP($A$1,data!$A$69:$AU$99,27)</f>
        <v>9.0647000000000005E-2</v>
      </c>
      <c r="AS19" s="423">
        <f>+VLOOKUP($A$1,data!$A$69:$AU$99,28)</f>
        <v>8.9013999999999996E-2</v>
      </c>
      <c r="AT19" s="423">
        <f>+VLOOKUP($A$1,data!$A$69:$AU$99,29)</f>
        <v>8.4587999999999997E-2</v>
      </c>
      <c r="AU19" s="423">
        <f>+VLOOKUP($A$1,data!$A$69:$AU$99,30)</f>
        <v>8.4906999999999996E-2</v>
      </c>
      <c r="AV19" s="423">
        <f>SUM(AJ19:AU19)</f>
        <v>1.0283500000000001</v>
      </c>
      <c r="AW19" s="424">
        <f t="shared" ref="AW19:AW20" si="1">SUM(AJ19:AU19)</f>
        <v>1.0283500000000001</v>
      </c>
      <c r="AX19" s="425">
        <f>+AW20-AW19</f>
        <v>-8.6340000000002526E-3</v>
      </c>
      <c r="AY19" s="311" t="s">
        <v>94</v>
      </c>
      <c r="AZ19" s="312">
        <f>+VLOOKUP($A$1,data!$A$101:$AU$131,19)</f>
        <v>3.2853E-2</v>
      </c>
      <c r="BA19" s="312">
        <f>+VLOOKUP($A$1,data!$A$101:$AU$131,20)</f>
        <v>3.0703000000000001E-2</v>
      </c>
      <c r="BB19" s="312">
        <f>+VLOOKUP($A$1,data!$A$101:$AU$131,21)</f>
        <v>3.2753999999999998E-2</v>
      </c>
      <c r="BC19" s="312">
        <f>+VLOOKUP($A$1,data!$A$101:$AU$131,22)</f>
        <v>2.7817999999999999E-2</v>
      </c>
      <c r="BD19" s="312">
        <f>+VLOOKUP($A$1,data!$A$101:$AU$131,23)</f>
        <v>2.8139000000000001E-2</v>
      </c>
      <c r="BE19" s="312">
        <f>+VLOOKUP($A$1,data!$A$101:$AU$131,24)</f>
        <v>3.5463000000000001E-2</v>
      </c>
      <c r="BF19" s="312">
        <f>+VLOOKUP($A$1,data!$A$101:$AU$131,25)</f>
        <v>3.116E-2</v>
      </c>
      <c r="BG19" s="312">
        <f>+VLOOKUP($A$1,data!$A$101:$AU$131,26)</f>
        <v>3.083E-2</v>
      </c>
      <c r="BH19" s="312">
        <f>+VLOOKUP($A$1,data!$A$101:$AU$131,27)</f>
        <v>2.5016E-2</v>
      </c>
      <c r="BI19" s="312">
        <f>+VLOOKUP($A$1,data!$A$101:$AU$131,28)</f>
        <v>1.9494000000000001E-2</v>
      </c>
      <c r="BJ19" s="312">
        <f>+VLOOKUP($A$1,data!$A$101:$AU$131,29)</f>
        <v>2.5007999999999999E-2</v>
      </c>
      <c r="BK19" s="312">
        <f>+VLOOKUP($A$1,data!$A$101:$AU$131,30)</f>
        <v>2.3543999999999999E-2</v>
      </c>
      <c r="BL19" s="312">
        <f>SUM(AZ19:BK19)</f>
        <v>0.34278199999999998</v>
      </c>
      <c r="BM19" s="313">
        <f t="shared" ref="BM19:BM20" si="2">SUM(AZ19:BK19)</f>
        <v>0.34278199999999998</v>
      </c>
      <c r="BN19" s="314">
        <f>+BM20-BM19</f>
        <v>-5.6569999999999676E-3</v>
      </c>
    </row>
    <row r="20" spans="1:66" s="247" customFormat="1" ht="19.5" thickBot="1" x14ac:dyDescent="0.35">
      <c r="A20" s="413" t="s">
        <v>93</v>
      </c>
      <c r="B20" s="414">
        <f>+VLOOKUP($A$1,data!$A$37:$AU$67,3)</f>
        <v>7</v>
      </c>
      <c r="C20" s="414">
        <f>+VLOOKUP($A$1,data!$A$37:$AU$67,4)</f>
        <v>24</v>
      </c>
      <c r="D20" s="414">
        <f>+VLOOKUP($A$1,data!$A$37:$AU$67,5)</f>
        <v>16</v>
      </c>
      <c r="E20" s="414">
        <f>+VLOOKUP($A$1,data!$A$37:$AU$67,6)</f>
        <v>77</v>
      </c>
      <c r="F20" s="414">
        <f>+VLOOKUP($A$1,data!$A$37:$AU$67,7)</f>
        <v>10</v>
      </c>
      <c r="G20" s="414">
        <f>+VLOOKUP($A$1,data!$A$37:$AU$67,8)</f>
        <v>39</v>
      </c>
      <c r="H20" s="414">
        <f>+VLOOKUP($A$1,data!$A$37:$AU$67,9)</f>
        <v>16</v>
      </c>
      <c r="I20" s="414">
        <f>+VLOOKUP($A$1,data!$A$37:$AU$67,10)</f>
        <v>16</v>
      </c>
      <c r="J20" s="414">
        <f>+VLOOKUP($A$1,data!$A$37:$AU$67,11)</f>
        <v>17</v>
      </c>
      <c r="K20" s="414">
        <f>+VLOOKUP($A$1,data!$A$37:$AU$67,12)</f>
        <v>7</v>
      </c>
      <c r="L20" s="414">
        <f>+VLOOKUP($A$1,data!$A$37:$AU$67,13)</f>
        <v>9</v>
      </c>
      <c r="M20" s="414">
        <f>+VLOOKUP($A$1,data!$A$37:$AU$67,14)</f>
        <v>6</v>
      </c>
      <c r="N20" s="414">
        <f>SUM(B20:M20)</f>
        <v>244</v>
      </c>
      <c r="O20" s="631">
        <f t="shared" si="0"/>
        <v>244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7.5556999999999999E-2</v>
      </c>
      <c r="AK20" s="420">
        <f>+VLOOKUP($A$1,data!$A$69:$AU$99,4)</f>
        <v>8.6360000000000006E-2</v>
      </c>
      <c r="AL20" s="420">
        <f>+VLOOKUP($A$1,data!$A$69:$AU$99,5)</f>
        <v>7.2239999999999999E-2</v>
      </c>
      <c r="AM20" s="420">
        <f>+VLOOKUP($A$1,data!$A$69:$AU$99,6)</f>
        <v>8.6689000000000002E-2</v>
      </c>
      <c r="AN20" s="420">
        <f>+VLOOKUP($A$1,data!$A$69:$AU$99,7)</f>
        <v>7.8780000000000003E-2</v>
      </c>
      <c r="AO20" s="420">
        <f>+VLOOKUP($A$1,data!$A$69:$AU$99,8)</f>
        <v>8.0737000000000003E-2</v>
      </c>
      <c r="AP20" s="420">
        <f>+VLOOKUP($A$1,data!$A$69:$AU$99,9)</f>
        <v>9.4367999999999994E-2</v>
      </c>
      <c r="AQ20" s="420">
        <f>+VLOOKUP($A$1,data!$A$69:$AU$99,10)</f>
        <v>9.2721999999999999E-2</v>
      </c>
      <c r="AR20" s="420">
        <f>+VLOOKUP($A$1,data!$A$69:$AU$99,11)</f>
        <v>9.1513999999999998E-2</v>
      </c>
      <c r="AS20" s="420">
        <f>+VLOOKUP($A$1,data!$A$69:$AU$99,12)</f>
        <v>8.8034000000000001E-2</v>
      </c>
      <c r="AT20" s="420">
        <f>+VLOOKUP($A$1,data!$A$69:$AU$99,13)</f>
        <v>8.5697999999999996E-2</v>
      </c>
      <c r="AU20" s="420">
        <f>+VLOOKUP($A$1,data!$A$69:$AU$99,14)</f>
        <v>8.7016999999999997E-2</v>
      </c>
      <c r="AV20" s="420">
        <f>SUM(AJ20:AU20)</f>
        <v>1.0197159999999998</v>
      </c>
      <c r="AW20" s="421">
        <f t="shared" si="1"/>
        <v>1.0197159999999998</v>
      </c>
      <c r="AX20" s="422"/>
      <c r="AY20" s="315" t="s">
        <v>93</v>
      </c>
      <c r="AZ20" s="316">
        <f>+VLOOKUP($A$1,data!$A$101:$AU$131,3)</f>
        <v>3.0594E-2</v>
      </c>
      <c r="BA20" s="316">
        <f>+VLOOKUP($A$1,data!$A$101:$AU$131,4)</f>
        <v>2.4218E-2</v>
      </c>
      <c r="BB20" s="316">
        <f>+VLOOKUP($A$1,data!$A$101:$AU$131,5)</f>
        <v>2.9357999999999999E-2</v>
      </c>
      <c r="BC20" s="316">
        <f>+VLOOKUP($A$1,data!$A$101:$AU$131,6)</f>
        <v>2.8691999999999999E-2</v>
      </c>
      <c r="BD20" s="316">
        <f>+VLOOKUP($A$1,data!$A$101:$AU$131,7)</f>
        <v>2.7973000000000001E-2</v>
      </c>
      <c r="BE20" s="316">
        <f>+VLOOKUP($A$1,data!$A$101:$AU$131,8)</f>
        <v>3.2883000000000003E-2</v>
      </c>
      <c r="BF20" s="316">
        <f>+VLOOKUP($A$1,data!$A$101:$AU$131,9)</f>
        <v>3.0928000000000001E-2</v>
      </c>
      <c r="BG20" s="316">
        <f>+VLOOKUP($A$1,data!$A$101:$AU$131,10)</f>
        <v>3.1525999999999998E-2</v>
      </c>
      <c r="BH20" s="316">
        <f>+VLOOKUP($A$1,data!$A$101:$AU$131,11)</f>
        <v>2.7980999999999999E-2</v>
      </c>
      <c r="BI20" s="316">
        <f>+VLOOKUP($A$1,data!$A$101:$AU$131,12)</f>
        <v>2.7400999999999998E-2</v>
      </c>
      <c r="BJ20" s="316">
        <f>+VLOOKUP($A$1,data!$A$101:$AU$131,13)</f>
        <v>2.2932000000000001E-2</v>
      </c>
      <c r="BK20" s="316">
        <f>+VLOOKUP($A$1,data!$A$101:$AU$131,14)</f>
        <v>2.2638999999999999E-2</v>
      </c>
      <c r="BL20" s="316">
        <f>SUM(AZ20:BK20)</f>
        <v>0.33712500000000001</v>
      </c>
      <c r="BM20" s="317">
        <f t="shared" si="2"/>
        <v>0.33712500000000001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36.158767772511851</v>
      </c>
      <c r="W21" s="671">
        <f>+VLOOKUP($A$1,data!$A$261:$AK$291,16)</f>
        <v>47</v>
      </c>
      <c r="X21" s="671">
        <f>+VLOOKUP($A$1,data!$A$261:$AK$291,36)</f>
        <v>84.747630331753555</v>
      </c>
      <c r="Y21" s="671">
        <f>+VLOOKUP($A$1,data!$A$261:$AK$291,17)</f>
        <v>172</v>
      </c>
      <c r="Z21" s="671">
        <f>+VLOOKUP($A$1,data!$A$261:$AK$291,37)</f>
        <v>175.59478672985784</v>
      </c>
      <c r="AA21" s="671">
        <f>+VLOOKUP($A$1,data!$A$261:$AK$291,18)</f>
        <v>220</v>
      </c>
      <c r="AB21" s="671">
        <f>+VLOOKUP($A$1,data!$A$261:$AK$291,34)</f>
        <v>241.00000000000003</v>
      </c>
      <c r="AC21" s="671">
        <f>+VLOOKUP($A$1,data!$A$261:$AK$291,15)</f>
        <v>242</v>
      </c>
      <c r="AD21" s="671">
        <f>+AA21-Z21</f>
        <v>44.405213270142156</v>
      </c>
      <c r="AE21" s="684">
        <f>+AC21-AB21</f>
        <v>0.99999999999997158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4</v>
      </c>
      <c r="W22" s="672">
        <f>+VLOOKUP($A$1,data!$A$229:$AK$259,16)</f>
        <v>0</v>
      </c>
      <c r="X22" s="672">
        <f>+VLOOKUP($A$1,data!$A$229:$AK$259,36)</f>
        <v>8</v>
      </c>
      <c r="Y22" s="672">
        <f>+VLOOKUP($A$1,data!$A$229:$AK$259,17)</f>
        <v>1</v>
      </c>
      <c r="Z22" s="672">
        <f>+VLOOKUP($A$1,data!$A$229:$AK$259,37)</f>
        <v>15</v>
      </c>
      <c r="AA22" s="672">
        <f>+VLOOKUP($A$1,data!$A$229:$AK$259,18)</f>
        <v>2</v>
      </c>
      <c r="AB22" s="672">
        <f>+VLOOKUP($A$1,data!$A$229:$AK$259,34)</f>
        <v>28</v>
      </c>
      <c r="AC22" s="765">
        <f>+VLOOKUP($A$1,data!$A$229:$AK$259,15)</f>
        <v>2</v>
      </c>
      <c r="AD22" s="671">
        <f>+AA22-Z22</f>
        <v>-13</v>
      </c>
      <c r="AE22" s="685">
        <f>+AC22-AB22</f>
        <v>-26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40.158767772511851</v>
      </c>
      <c r="W23" s="689">
        <f t="shared" ref="W23:AC23" si="3">SUM(W21:W22)</f>
        <v>47</v>
      </c>
      <c r="X23" s="689">
        <f t="shared" si="3"/>
        <v>92.747630331753555</v>
      </c>
      <c r="Y23" s="689">
        <f t="shared" si="3"/>
        <v>173</v>
      </c>
      <c r="Z23" s="689">
        <f t="shared" si="3"/>
        <v>190.59478672985784</v>
      </c>
      <c r="AA23" s="689">
        <f t="shared" si="3"/>
        <v>222</v>
      </c>
      <c r="AB23" s="689">
        <f t="shared" si="3"/>
        <v>269</v>
      </c>
      <c r="AC23" s="764">
        <f t="shared" si="3"/>
        <v>244</v>
      </c>
      <c r="AD23" s="689">
        <f>+AA23-Z23</f>
        <v>31.405213270142156</v>
      </c>
      <c r="AE23" s="686">
        <f>+AC23-AB23</f>
        <v>-25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78" t="s">
        <v>117</v>
      </c>
      <c r="AZ37" s="862" t="s">
        <v>74</v>
      </c>
      <c r="BA37" s="862" t="s">
        <v>75</v>
      </c>
      <c r="BB37" s="862" t="s">
        <v>76</v>
      </c>
      <c r="BC37" s="862" t="s">
        <v>118</v>
      </c>
      <c r="BD37" s="862" t="s">
        <v>77</v>
      </c>
      <c r="BE37" s="862" t="s">
        <v>78</v>
      </c>
      <c r="BF37" s="862" t="s">
        <v>79</v>
      </c>
      <c r="BG37" s="862" t="s">
        <v>119</v>
      </c>
      <c r="BH37" s="862" t="s">
        <v>80</v>
      </c>
      <c r="BI37" s="862" t="s">
        <v>81</v>
      </c>
      <c r="BJ37" s="862" t="s">
        <v>82</v>
      </c>
      <c r="BK37" s="862" t="s">
        <v>120</v>
      </c>
      <c r="BL37" s="862" t="s">
        <v>83</v>
      </c>
      <c r="BM37" s="862" t="s">
        <v>84</v>
      </c>
      <c r="BN37" s="862" t="s">
        <v>85</v>
      </c>
      <c r="BO37" s="862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79"/>
      <c r="AZ38" s="863"/>
      <c r="BA38" s="863"/>
      <c r="BB38" s="863"/>
      <c r="BC38" s="863"/>
      <c r="BD38" s="863"/>
      <c r="BE38" s="863"/>
      <c r="BF38" s="863"/>
      <c r="BG38" s="863"/>
      <c r="BH38" s="863"/>
      <c r="BI38" s="863"/>
      <c r="BJ38" s="863"/>
      <c r="BK38" s="863"/>
      <c r="BL38" s="863"/>
      <c r="BM38" s="863"/>
      <c r="BN38" s="863"/>
      <c r="BO38" s="863"/>
    </row>
    <row r="39" spans="1:67" ht="22.5" thickTop="1" thickBot="1" x14ac:dyDescent="0.4">
      <c r="A39"/>
      <c r="B39" s="405" t="s">
        <v>92</v>
      </c>
      <c r="C39" s="406">
        <f>+B18</f>
        <v>23</v>
      </c>
      <c r="D39" s="406">
        <f t="shared" ref="D39:N41" si="4">+C39+C18</f>
        <v>33</v>
      </c>
      <c r="E39" s="406">
        <f t="shared" si="4"/>
        <v>43</v>
      </c>
      <c r="F39" s="406">
        <f t="shared" si="4"/>
        <v>62</v>
      </c>
      <c r="G39" s="406">
        <f t="shared" si="4"/>
        <v>76</v>
      </c>
      <c r="H39" s="406">
        <f t="shared" si="4"/>
        <v>107</v>
      </c>
      <c r="I39" s="406">
        <f t="shared" si="4"/>
        <v>124</v>
      </c>
      <c r="J39" s="406">
        <f t="shared" si="4"/>
        <v>169</v>
      </c>
      <c r="K39" s="406">
        <f t="shared" si="4"/>
        <v>185</v>
      </c>
      <c r="L39" s="406">
        <f t="shared" si="4"/>
        <v>195</v>
      </c>
      <c r="M39" s="406">
        <f t="shared" si="4"/>
        <v>258</v>
      </c>
      <c r="N39" s="406">
        <f t="shared" si="4"/>
        <v>291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7.8954999999999997E-2</v>
      </c>
      <c r="AL39" s="418">
        <f t="shared" ref="AL39:AV41" si="5">+AK39+AK18</f>
        <v>0.15779300000000002</v>
      </c>
      <c r="AM39" s="418">
        <f t="shared" si="5"/>
        <v>0.23489200000000002</v>
      </c>
      <c r="AN39" s="418">
        <f t="shared" si="5"/>
        <v>0.31864999999999999</v>
      </c>
      <c r="AO39" s="418">
        <f t="shared" si="5"/>
        <v>0.39633099999999999</v>
      </c>
      <c r="AP39" s="418">
        <f t="shared" si="5"/>
        <v>0.47169499999999998</v>
      </c>
      <c r="AQ39" s="418">
        <f t="shared" si="5"/>
        <v>0.56257099999999993</v>
      </c>
      <c r="AR39" s="418">
        <f t="shared" si="5"/>
        <v>0.65869599999999995</v>
      </c>
      <c r="AS39" s="418">
        <f t="shared" si="5"/>
        <v>0.74779499999999999</v>
      </c>
      <c r="AT39" s="418">
        <f t="shared" si="5"/>
        <v>0.83563900000000002</v>
      </c>
      <c r="AU39" s="418">
        <f t="shared" si="5"/>
        <v>0.91091800000000001</v>
      </c>
      <c r="AV39" s="418">
        <f t="shared" si="5"/>
        <v>0.99150700000000003</v>
      </c>
      <c r="AW39" s="158"/>
      <c r="AX39" s="158"/>
      <c r="AY39" s="744" t="s">
        <v>92</v>
      </c>
      <c r="AZ39" s="714">
        <f>+VLOOKUP($A$1,data!$A$133:$BK$163,26)</f>
        <v>34.290137070665878</v>
      </c>
      <c r="BA39" s="714">
        <f>+VLOOKUP($A$1,data!$A$133:$BK$163,27)</f>
        <v>31.83543264201672</v>
      </c>
      <c r="BB39" s="714">
        <f>+VLOOKUP($A$1,data!$A$133:$BK$163,28)</f>
        <v>34.665740167956137</v>
      </c>
      <c r="BC39" s="714">
        <f>+VLOOKUP($A$1,data!$A$133:$BK$163,29)</f>
        <v>33.612934769399473</v>
      </c>
      <c r="BD39" s="714">
        <f>+VLOOKUP($A$1,data!$A$133:$BK$163,30)</f>
        <v>28.070145305898116</v>
      </c>
      <c r="BE39" s="714">
        <f>+VLOOKUP($A$1,data!$A$133:$BK$163,31)</f>
        <v>27.232276678657076</v>
      </c>
      <c r="BF39" s="714">
        <f>+VLOOKUP($A$1,data!$A$133:$BK$163,32)</f>
        <v>29.308932494321777</v>
      </c>
      <c r="BG39" s="714">
        <f>+VLOOKUP($A$1,data!$A$133:$BK$163,33)</f>
        <v>30.999282647221683</v>
      </c>
      <c r="BH39" s="714">
        <f>+VLOOKUP($A$1,data!$A$133:$BK$163,34)</f>
        <v>18.786286241855016</v>
      </c>
      <c r="BI39" s="714">
        <f>+VLOOKUP($A$1,data!$A$133:$BK$163,35)</f>
        <v>16.661191604135688</v>
      </c>
      <c r="BJ39" s="714">
        <f>+VLOOKUP($A$1,data!$A$133:$BK$163,36)</f>
        <v>16.837163284735574</v>
      </c>
      <c r="BK39" s="714">
        <f>+VLOOKUP($A$1,data!$A$133:$BK$163,37)</f>
        <v>26.536565086903792</v>
      </c>
      <c r="BL39" s="714">
        <f>+VLOOKUP($A$1,data!$A$133:$BK$163,38)</f>
        <v>14.486249695789729</v>
      </c>
      <c r="BM39" s="714">
        <f>+VLOOKUP($A$1,data!$A$133:$BK$163,39)</f>
        <v>28.353153838835503</v>
      </c>
      <c r="BN39" s="714">
        <f>+VLOOKUP($A$1,data!$A$133:$BK$163,40)</f>
        <v>22.88133971291866</v>
      </c>
      <c r="BO39" s="714">
        <f>+VLOOKUP($A$1,data!$A$133:$BK$163,41)</f>
        <v>25.464024932145175</v>
      </c>
    </row>
    <row r="40" spans="1:67" ht="21.75" thickBot="1" x14ac:dyDescent="0.4">
      <c r="A40"/>
      <c r="B40" s="408" t="s">
        <v>94</v>
      </c>
      <c r="C40" s="409">
        <f>+B19</f>
        <v>18.167061611374407</v>
      </c>
      <c r="D40" s="409">
        <f t="shared" si="4"/>
        <v>31.234597156398102</v>
      </c>
      <c r="E40" s="409">
        <f t="shared" si="4"/>
        <v>40.158767772511851</v>
      </c>
      <c r="F40" s="409">
        <f t="shared" si="4"/>
        <v>56.732227488151665</v>
      </c>
      <c r="G40" s="409">
        <f t="shared" si="4"/>
        <v>72.030805687203795</v>
      </c>
      <c r="H40" s="409">
        <f t="shared" si="4"/>
        <v>92.747630331753555</v>
      </c>
      <c r="I40" s="409">
        <f t="shared" si="4"/>
        <v>122.70734597156398</v>
      </c>
      <c r="J40" s="409">
        <f t="shared" si="4"/>
        <v>167.96563981042655</v>
      </c>
      <c r="K40" s="409">
        <f t="shared" si="4"/>
        <v>190.59478672985784</v>
      </c>
      <c r="L40" s="409">
        <f t="shared" si="4"/>
        <v>208.44312796208533</v>
      </c>
      <c r="M40" s="409">
        <f t="shared" si="4"/>
        <v>254.33886255924173</v>
      </c>
      <c r="N40" s="409">
        <f t="shared" si="4"/>
        <v>269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8.1989000000000006E-2</v>
      </c>
      <c r="AL40" s="423">
        <f t="shared" si="5"/>
        <v>0.16162100000000001</v>
      </c>
      <c r="AM40" s="423">
        <f t="shared" si="5"/>
        <v>0.24270600000000003</v>
      </c>
      <c r="AN40" s="423">
        <f t="shared" si="5"/>
        <v>0.33349900000000005</v>
      </c>
      <c r="AO40" s="423">
        <f t="shared" si="5"/>
        <v>0.41518200000000005</v>
      </c>
      <c r="AP40" s="423">
        <f t="shared" si="5"/>
        <v>0.49337200000000003</v>
      </c>
      <c r="AQ40" s="423">
        <f t="shared" si="5"/>
        <v>0.586785</v>
      </c>
      <c r="AR40" s="423">
        <f t="shared" si="5"/>
        <v>0.67919399999999996</v>
      </c>
      <c r="AS40" s="423">
        <f t="shared" si="5"/>
        <v>0.769841</v>
      </c>
      <c r="AT40" s="423">
        <f t="shared" si="5"/>
        <v>0.85885500000000004</v>
      </c>
      <c r="AU40" s="423">
        <f t="shared" si="5"/>
        <v>0.94344300000000003</v>
      </c>
      <c r="AV40" s="423">
        <f t="shared" si="5"/>
        <v>1.0283500000000001</v>
      </c>
      <c r="AW40" s="158"/>
      <c r="AX40" s="158"/>
      <c r="AY40" s="745" t="s">
        <v>94</v>
      </c>
      <c r="AZ40" s="715">
        <f>+VLOOKUP($A$1,data!$A$133:$BK$163,22)</f>
        <v>24.999963533727655</v>
      </c>
      <c r="BA40" s="715">
        <f>+$AZ$40</f>
        <v>24.999963533727655</v>
      </c>
      <c r="BB40" s="715">
        <f t="shared" ref="BB40:BO40" si="6">+$AZ$40</f>
        <v>24.999963533727655</v>
      </c>
      <c r="BC40" s="715">
        <f t="shared" si="6"/>
        <v>24.999963533727655</v>
      </c>
      <c r="BD40" s="715">
        <f t="shared" si="6"/>
        <v>24.999963533727655</v>
      </c>
      <c r="BE40" s="715">
        <f t="shared" si="6"/>
        <v>24.999963533727655</v>
      </c>
      <c r="BF40" s="715">
        <f t="shared" si="6"/>
        <v>24.999963533727655</v>
      </c>
      <c r="BG40" s="715">
        <f t="shared" si="6"/>
        <v>24.999963533727655</v>
      </c>
      <c r="BH40" s="715">
        <f t="shared" si="6"/>
        <v>24.999963533727655</v>
      </c>
      <c r="BI40" s="715">
        <f t="shared" si="6"/>
        <v>24.999963533727655</v>
      </c>
      <c r="BJ40" s="715">
        <f t="shared" si="6"/>
        <v>24.999963533727655</v>
      </c>
      <c r="BK40" s="715">
        <f t="shared" si="6"/>
        <v>24.999963533727655</v>
      </c>
      <c r="BL40" s="715">
        <f t="shared" si="6"/>
        <v>24.999963533727655</v>
      </c>
      <c r="BM40" s="715">
        <f t="shared" si="6"/>
        <v>24.999963533727655</v>
      </c>
      <c r="BN40" s="715">
        <f t="shared" si="6"/>
        <v>24.999963533727655</v>
      </c>
      <c r="BO40" s="715">
        <f t="shared" si="6"/>
        <v>24.999963533727655</v>
      </c>
    </row>
    <row r="41" spans="1:67" ht="21.75" thickBot="1" x14ac:dyDescent="0.4">
      <c r="A41"/>
      <c r="B41" s="413" t="s">
        <v>93</v>
      </c>
      <c r="C41" s="414">
        <f>+B20</f>
        <v>7</v>
      </c>
      <c r="D41" s="414">
        <f t="shared" si="4"/>
        <v>31</v>
      </c>
      <c r="E41" s="414">
        <f t="shared" si="4"/>
        <v>47</v>
      </c>
      <c r="F41" s="414">
        <f t="shared" si="4"/>
        <v>124</v>
      </c>
      <c r="G41" s="414">
        <f t="shared" si="4"/>
        <v>134</v>
      </c>
      <c r="H41" s="414">
        <f t="shared" si="4"/>
        <v>173</v>
      </c>
      <c r="I41" s="414">
        <f t="shared" si="4"/>
        <v>189</v>
      </c>
      <c r="J41" s="414">
        <f t="shared" si="4"/>
        <v>205</v>
      </c>
      <c r="K41" s="414">
        <f t="shared" si="4"/>
        <v>222</v>
      </c>
      <c r="L41" s="414">
        <f t="shared" si="4"/>
        <v>229</v>
      </c>
      <c r="M41" s="414">
        <f t="shared" si="4"/>
        <v>238</v>
      </c>
      <c r="N41" s="414">
        <f t="shared" si="4"/>
        <v>244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7.5556999999999999E-2</v>
      </c>
      <c r="AL41" s="420">
        <f t="shared" si="5"/>
        <v>0.16191700000000001</v>
      </c>
      <c r="AM41" s="420">
        <f t="shared" si="5"/>
        <v>0.234157</v>
      </c>
      <c r="AN41" s="420">
        <f t="shared" si="5"/>
        <v>0.32084600000000002</v>
      </c>
      <c r="AO41" s="420">
        <f t="shared" si="5"/>
        <v>0.39962600000000004</v>
      </c>
      <c r="AP41" s="420">
        <f t="shared" si="5"/>
        <v>0.48036300000000004</v>
      </c>
      <c r="AQ41" s="420">
        <f t="shared" si="5"/>
        <v>0.57473099999999999</v>
      </c>
      <c r="AR41" s="420">
        <f t="shared" si="5"/>
        <v>0.66745299999999996</v>
      </c>
      <c r="AS41" s="420">
        <f t="shared" si="5"/>
        <v>0.75896699999999995</v>
      </c>
      <c r="AT41" s="420">
        <f t="shared" si="5"/>
        <v>0.84700099999999989</v>
      </c>
      <c r="AU41" s="420">
        <f t="shared" si="5"/>
        <v>0.93269899999999994</v>
      </c>
      <c r="AV41" s="420">
        <f t="shared" si="5"/>
        <v>1.0197159999999998</v>
      </c>
      <c r="AW41" s="158"/>
      <c r="AX41" s="158"/>
      <c r="AY41" s="741" t="s">
        <v>93</v>
      </c>
      <c r="AZ41" s="716">
        <f>+VLOOKUP($A$1,data!$A$133:$BK$163,3)</f>
        <v>28.821207525129296</v>
      </c>
      <c r="BA41" s="716">
        <f>+VLOOKUP($A$1,data!$A$133:$BK$163,4)</f>
        <v>21.901282352728391</v>
      </c>
      <c r="BB41" s="716">
        <f>+VLOOKUP($A$1,data!$A$133:$BK$163,5)</f>
        <v>28.896238114923523</v>
      </c>
      <c r="BC41" s="716">
        <f>+VLOOKUP($A$1,data!$A$133:$BK$163,6)</f>
        <v>26.441363754880985</v>
      </c>
      <c r="BD41" s="716">
        <f>+VLOOKUP($A$1,data!$A$133:$BK$163,7)</f>
        <v>24.867179171614044</v>
      </c>
      <c r="BE41" s="716">
        <f>+VLOOKUP($A$1,data!$A$133:$BK$163,8)</f>
        <v>26.199552304507861</v>
      </c>
      <c r="BF41" s="716">
        <f>+VLOOKUP($A$1,data!$A$133:$BK$163,9)</f>
        <v>28.938660564991643</v>
      </c>
      <c r="BG41" s="716">
        <f>+VLOOKUP($A$1,data!$A$133:$BK$163,10)</f>
        <v>26.558040198316178</v>
      </c>
      <c r="BH41" s="716">
        <f>+VLOOKUP($A$1,data!$A$133:$BK$163,11)</f>
        <v>24.681584575605708</v>
      </c>
      <c r="BI41" s="716">
        <f>+VLOOKUP($A$1,data!$A$133:$BK$163,12)</f>
        <v>25.373446655076943</v>
      </c>
      <c r="BJ41" s="716">
        <f>+VLOOKUP($A$1,data!$A$133:$BK$163,13)</f>
        <v>23.416042512239006</v>
      </c>
      <c r="BK41" s="716">
        <f>+VLOOKUP($A$1,data!$A$133:$BK$163,14)</f>
        <v>25.817420183392986</v>
      </c>
      <c r="BL41" s="716">
        <f>+VLOOKUP($A$1,data!$A$133:$BK$163,15)</f>
        <v>23.737168103261574</v>
      </c>
      <c r="BM41" s="716">
        <f>+VLOOKUP($A$1,data!$A$133:$BK$163,16)</f>
        <v>21.110190555095276</v>
      </c>
      <c r="BN41" s="716">
        <f>+VLOOKUP($A$1,data!$A$133:$BK$163,17)</f>
        <v>20.645473115926169</v>
      </c>
      <c r="BO41" s="716">
        <f>+VLOOKUP($A$1,data!$A$133:$BK$163,18)</f>
        <v>24.845619985275032</v>
      </c>
    </row>
    <row r="42" spans="1:67" ht="35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746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25.464024932145175</v>
      </c>
      <c r="BA43" s="826">
        <f>+VLOOKUP($A$1,data!$A$133:$BK$163,26)</f>
        <v>34.290137070665878</v>
      </c>
      <c r="BB43" s="473">
        <f>+AZ45-AZ43</f>
        <v>-0.61840494687014314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24.999963533727655</v>
      </c>
      <c r="BA44" s="830"/>
      <c r="BB44" s="472">
        <f>+AZ45-AZ44</f>
        <v>-0.15434354845262277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24.845619985275032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1023</v>
      </c>
      <c r="B47" s="817" t="str">
        <f>+VLOOKUP($A$1,data!$A$4:$AH$32,2,0)</f>
        <v>จุน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1023</v>
      </c>
      <c r="T47" s="817" t="str">
        <f>+VLOOKUP($A$1,data!$A$4:$AH$32,2,0)</f>
        <v>จุน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1023</v>
      </c>
      <c r="AJ47" s="817" t="str">
        <f>+VLOOKUP($A$1,data!$A$4:$AH$32,2,0)</f>
        <v>จุน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1.6146182</v>
      </c>
      <c r="C64" s="632">
        <f>+VLOOKUP($A$1,data!$A$165:$AU$195,36)</f>
        <v>1.5869468200000003</v>
      </c>
      <c r="D64" s="632">
        <f>+VLOOKUP($A$1,data!$A$165:$AU$195,37)</f>
        <v>1.5571132400000001</v>
      </c>
      <c r="E64" s="632">
        <f>+VLOOKUP($A$1,data!$A$165:$AU$195,38)</f>
        <v>1.6949538200000001</v>
      </c>
      <c r="F64" s="632">
        <f>+VLOOKUP($A$1,data!$A$165:$AU$195,39)</f>
        <v>1.57991953</v>
      </c>
      <c r="G64" s="632">
        <f>+VLOOKUP($A$1,data!$A$165:$AU$195,40)</f>
        <v>1.5238516599999998</v>
      </c>
      <c r="H64" s="632">
        <f>+VLOOKUP($A$1,data!$A$165:$AU$195,41)</f>
        <v>1.7990466800000002</v>
      </c>
      <c r="I64" s="632">
        <f>+VLOOKUP($A$1,data!$A$165:$AU$195,42)</f>
        <v>1.9355603700000001</v>
      </c>
      <c r="J64" s="632">
        <f>+VLOOKUP($A$1,data!$A$165:$AU$195,43)</f>
        <v>1.7763559199999999</v>
      </c>
      <c r="K64" s="632">
        <f>+VLOOKUP($A$1,data!$A$165:$AU$195,44)</f>
        <v>1.7472453600000002</v>
      </c>
      <c r="L64" s="632">
        <f>+VLOOKUP($A$1,data!$A$165:$AU$195,45)</f>
        <v>1.52429356</v>
      </c>
      <c r="M64" s="632">
        <f>+VLOOKUP($A$1,data!$A$165:$AU$195,46)</f>
        <v>1.6399771699999999</v>
      </c>
      <c r="N64" s="632">
        <f>SUM(B64:M64)</f>
        <v>19.979882330000002</v>
      </c>
      <c r="O64" s="632">
        <f>SUM(B64:M64)</f>
        <v>19.979882330000002</v>
      </c>
      <c r="P64" s="635">
        <f>+O66-O64</f>
        <v>0.61943845999999425</v>
      </c>
      <c r="S64" s="605" t="s">
        <v>92</v>
      </c>
      <c r="T64" s="640">
        <f>+VLOOKUP($A$1,data!$A$197:$AU$227,35)</f>
        <v>0.93918382999999994</v>
      </c>
      <c r="U64" s="640">
        <f>+VLOOKUP($A$1,data!$A$197:$AU$227,36)</f>
        <v>0.87335964999999993</v>
      </c>
      <c r="V64" s="640">
        <f>+VLOOKUP($A$1,data!$A$197:$AU$227,37)</f>
        <v>0.90613443999999999</v>
      </c>
      <c r="W64" s="640">
        <f>+VLOOKUP($A$1,data!$A$197:$AU$227,38)</f>
        <v>0.8993971799999998</v>
      </c>
      <c r="X64" s="640">
        <f>+VLOOKUP($A$1,data!$A$197:$AU$227,39)</f>
        <v>0.94063002999999989</v>
      </c>
      <c r="Y64" s="640">
        <f>+VLOOKUP($A$1,data!$A$197:$AU$227,40)</f>
        <v>0.98248834000000007</v>
      </c>
      <c r="Z64" s="640">
        <f>+VLOOKUP($A$1,data!$A$197:$AU$227,41)</f>
        <v>0.89746320999999984</v>
      </c>
      <c r="AA64" s="640">
        <f>+VLOOKUP($A$1,data!$A$197:$AU$227,42)</f>
        <v>0.99245603999999998</v>
      </c>
      <c r="AB64" s="640">
        <f>+VLOOKUP($A$1,data!$A$197:$AU$227,43)</f>
        <v>0.91123197</v>
      </c>
      <c r="AC64" s="640">
        <f>+VLOOKUP($A$1,data!$A$197:$AU$227,44)</f>
        <v>0.94529627999999999</v>
      </c>
      <c r="AD64" s="640">
        <f>+VLOOKUP($A$1,data!$A$197:$AU$227,45)</f>
        <v>0.90319172000000014</v>
      </c>
      <c r="AE64" s="640">
        <f>+VLOOKUP($A$1,data!$A$197:$AU$227,46)</f>
        <v>1.0984272000000002</v>
      </c>
      <c r="AF64" s="640">
        <f>SUM(T64:AE64)</f>
        <v>11.289259889999999</v>
      </c>
      <c r="AG64" s="640">
        <f>SUM(T64:AE64)</f>
        <v>11.289259889999999</v>
      </c>
      <c r="AH64" s="641">
        <f>+AG66-AG64</f>
        <v>-0.79221387999999848</v>
      </c>
      <c r="AI64" s="621" t="s">
        <v>92</v>
      </c>
      <c r="AJ64" s="648">
        <f>+B64-T64</f>
        <v>0.67543437000000006</v>
      </c>
      <c r="AK64" s="648">
        <f t="shared" ref="AK64:AU66" si="7">+C64-U64</f>
        <v>0.71358717000000038</v>
      </c>
      <c r="AL64" s="648">
        <f t="shared" si="7"/>
        <v>0.65097880000000008</v>
      </c>
      <c r="AM64" s="648">
        <f t="shared" si="7"/>
        <v>0.79555664000000026</v>
      </c>
      <c r="AN64" s="648">
        <f t="shared" si="7"/>
        <v>0.63928950000000007</v>
      </c>
      <c r="AO64" s="648">
        <f t="shared" si="7"/>
        <v>0.54136331999999976</v>
      </c>
      <c r="AP64" s="648">
        <f t="shared" si="7"/>
        <v>0.90158347000000039</v>
      </c>
      <c r="AQ64" s="648">
        <f t="shared" si="7"/>
        <v>0.94310433000000016</v>
      </c>
      <c r="AR64" s="648">
        <f t="shared" si="7"/>
        <v>0.86512394999999986</v>
      </c>
      <c r="AS64" s="648">
        <f t="shared" si="7"/>
        <v>0.8019490800000002</v>
      </c>
      <c r="AT64" s="648">
        <f t="shared" si="7"/>
        <v>0.62110183999999991</v>
      </c>
      <c r="AU64" s="648">
        <f t="shared" si="7"/>
        <v>0.54154996999999971</v>
      </c>
      <c r="AV64" s="648">
        <f>SUM(AJ64:AU64)</f>
        <v>8.6906224400000021</v>
      </c>
      <c r="AW64" s="648">
        <f>SUM(AJ64:AU64)</f>
        <v>8.6906224400000021</v>
      </c>
      <c r="AX64" s="651">
        <f>+AW66-AW64</f>
        <v>1.4116523399999945</v>
      </c>
    </row>
    <row r="65" spans="1:50" ht="21.75" thickBot="1" x14ac:dyDescent="0.4">
      <c r="A65" s="538" t="s">
        <v>94</v>
      </c>
      <c r="B65" s="633">
        <f>+VLOOKUP($A$1,data!$A$165:$AU$195,19)</f>
        <v>1.6412260000000001</v>
      </c>
      <c r="C65" s="633">
        <f>+VLOOKUP($A$1,data!$A$165:$AU$195,20)</f>
        <v>1.6233219999999999</v>
      </c>
      <c r="D65" s="633">
        <f>+VLOOKUP($A$1,data!$A$165:$AU$195,21)</f>
        <v>1.5995159999999999</v>
      </c>
      <c r="E65" s="633">
        <f>+VLOOKUP($A$1,data!$A$165:$AU$195,22)</f>
        <v>1.7578769999999999</v>
      </c>
      <c r="F65" s="633">
        <f>+VLOOKUP($A$1,data!$A$165:$AU$195,23)</f>
        <v>1.619</v>
      </c>
      <c r="G65" s="633">
        <f>+VLOOKUP($A$1,data!$A$165:$AU$195,24)</f>
        <v>1.5891630000000001</v>
      </c>
      <c r="H65" s="633">
        <f>+VLOOKUP($A$1,data!$A$165:$AU$195,25)</f>
        <v>1.85554</v>
      </c>
      <c r="I65" s="633">
        <f>+VLOOKUP($A$1,data!$A$165:$AU$195,26)</f>
        <v>1.8894899999999999</v>
      </c>
      <c r="J65" s="633">
        <f>+VLOOKUP($A$1,data!$A$165:$AU$195,27)</f>
        <v>1.845237</v>
      </c>
      <c r="K65" s="633">
        <f>+VLOOKUP($A$1,data!$A$165:$AU$195,28)</f>
        <v>1.7995920000000001</v>
      </c>
      <c r="L65" s="633">
        <f>+VLOOKUP($A$1,data!$A$165:$AU$195,29)</f>
        <v>1.6975519999999999</v>
      </c>
      <c r="M65" s="633">
        <f>+VLOOKUP($A$1,data!$A$165:$AU$195,30)</f>
        <v>1.818783</v>
      </c>
      <c r="N65" s="633">
        <f>SUM(B65:M65)</f>
        <v>20.736298000000001</v>
      </c>
      <c r="O65" s="636">
        <f t="shared" ref="O65:O66" si="8">SUM(B65:M65)</f>
        <v>20.736298000000001</v>
      </c>
      <c r="P65" s="637">
        <f>+O66-O65</f>
        <v>-0.13697721000000485</v>
      </c>
      <c r="S65" s="601" t="s">
        <v>94</v>
      </c>
      <c r="T65" s="642">
        <f>+VLOOKUP($A$1,data!$A$197:$AU$227,19)</f>
        <v>0.887795</v>
      </c>
      <c r="U65" s="642">
        <f>+VLOOKUP($A$1,data!$A$197:$AU$227,20)</f>
        <v>0.83822300000000005</v>
      </c>
      <c r="V65" s="642">
        <f>+VLOOKUP($A$1,data!$A$197:$AU$227,21)</f>
        <v>0.87945300000000004</v>
      </c>
      <c r="W65" s="642">
        <f>+VLOOKUP($A$1,data!$A$197:$AU$227,22)</f>
        <v>0.88534599999999997</v>
      </c>
      <c r="X65" s="642">
        <f>+VLOOKUP($A$1,data!$A$197:$AU$227,23)</f>
        <v>0.91707499999999997</v>
      </c>
      <c r="Y65" s="642">
        <f>+VLOOKUP($A$1,data!$A$197:$AU$227,24)</f>
        <v>0.97013700000000003</v>
      </c>
      <c r="Z65" s="642">
        <f>+VLOOKUP($A$1,data!$A$197:$AU$227,25)</f>
        <v>0.86893200000000004</v>
      </c>
      <c r="AA65" s="642">
        <f>+VLOOKUP($A$1,data!$A$197:$AU$227,26)</f>
        <v>0.94606999999999997</v>
      </c>
      <c r="AB65" s="642">
        <f>+VLOOKUP($A$1,data!$A$197:$AU$227,27)</f>
        <v>0.92662699999999998</v>
      </c>
      <c r="AC65" s="642">
        <f>+VLOOKUP($A$1,data!$A$197:$AU$227,28)</f>
        <v>0.93333200000000005</v>
      </c>
      <c r="AD65" s="642">
        <f>+VLOOKUP($A$1,data!$A$197:$AU$227,29)</f>
        <v>0.96731199999999995</v>
      </c>
      <c r="AE65" s="642">
        <f>+VLOOKUP($A$1,data!$A$197:$AU$227,30)</f>
        <v>1.0737840000000001</v>
      </c>
      <c r="AF65" s="642">
        <f>SUM(T65:AE65)</f>
        <v>11.094085999999999</v>
      </c>
      <c r="AG65" s="643">
        <f t="shared" ref="AG65:AG66" si="9">SUM(T65:AE65)</f>
        <v>11.094085999999999</v>
      </c>
      <c r="AH65" s="644">
        <f>+AG66-AG65</f>
        <v>-0.59703998999999897</v>
      </c>
      <c r="AI65" s="617" t="s">
        <v>94</v>
      </c>
      <c r="AJ65" s="649">
        <f>+B65-T65</f>
        <v>0.75343100000000007</v>
      </c>
      <c r="AK65" s="649">
        <f t="shared" si="7"/>
        <v>0.78509899999999988</v>
      </c>
      <c r="AL65" s="649">
        <f t="shared" si="7"/>
        <v>0.7200629999999999</v>
      </c>
      <c r="AM65" s="649">
        <f t="shared" si="7"/>
        <v>0.87253099999999995</v>
      </c>
      <c r="AN65" s="649">
        <f t="shared" si="7"/>
        <v>0.70192500000000002</v>
      </c>
      <c r="AO65" s="649">
        <f t="shared" si="7"/>
        <v>0.61902600000000008</v>
      </c>
      <c r="AP65" s="649">
        <f t="shared" si="7"/>
        <v>0.98660799999999993</v>
      </c>
      <c r="AQ65" s="649">
        <f t="shared" si="7"/>
        <v>0.94341999999999993</v>
      </c>
      <c r="AR65" s="649">
        <f t="shared" si="7"/>
        <v>0.91861000000000004</v>
      </c>
      <c r="AS65" s="649">
        <f t="shared" si="7"/>
        <v>0.86626000000000003</v>
      </c>
      <c r="AT65" s="649">
        <f t="shared" si="7"/>
        <v>0.73024</v>
      </c>
      <c r="AU65" s="649">
        <f t="shared" si="7"/>
        <v>0.74499899999999997</v>
      </c>
      <c r="AV65" s="649">
        <f>SUM(AJ65:AU65)</f>
        <v>9.6422119999999989</v>
      </c>
      <c r="AW65" s="652">
        <f t="shared" ref="AW65:AW66" si="10">SUM(AJ65:AU65)</f>
        <v>9.6422119999999989</v>
      </c>
      <c r="AX65" s="653">
        <f>+AW66-AW65</f>
        <v>0.46006277999999767</v>
      </c>
    </row>
    <row r="66" spans="1:50" ht="21.75" thickBot="1" x14ac:dyDescent="0.4">
      <c r="A66" s="546" t="s">
        <v>93</v>
      </c>
      <c r="B66" s="634">
        <f>+VLOOKUP($A$1,data!$A$165:$AU$195,3)</f>
        <v>1.5286465499999997</v>
      </c>
      <c r="C66" s="634">
        <f>+VLOOKUP($A$1,data!$A$165:$AU$195,4)</f>
        <v>1.7626718699999999</v>
      </c>
      <c r="D66" s="634">
        <f>+VLOOKUP($A$1,data!$A$165:$AU$195,5)</f>
        <v>1.4978346</v>
      </c>
      <c r="E66" s="634">
        <f>+VLOOKUP($A$1,data!$A$165:$AU$195,6)</f>
        <v>1.8120254099999997</v>
      </c>
      <c r="F66" s="634">
        <f>+VLOOKUP($A$1,data!$A$165:$AU$195,7)</f>
        <v>1.5968586999999999</v>
      </c>
      <c r="G66" s="634">
        <f>+VLOOKUP($A$1,data!$A$165:$AU$195,8)</f>
        <v>1.6659454599999999</v>
      </c>
      <c r="H66" s="634">
        <f>+VLOOKUP($A$1,data!$A$165:$AU$195,9)</f>
        <v>1.7672540000000001</v>
      </c>
      <c r="I66" s="634">
        <f>+VLOOKUP($A$1,data!$A$165:$AU$195,10)</f>
        <v>1.9467876099999999</v>
      </c>
      <c r="J66" s="634">
        <f>+VLOOKUP($A$1,data!$A$165:$AU$195,11)</f>
        <v>1.8160616199999997</v>
      </c>
      <c r="K66" s="634">
        <f>+VLOOKUP($A$1,data!$A$165:$AU$195,12)</f>
        <v>1.7519119599999997</v>
      </c>
      <c r="L66" s="634">
        <f>+VLOOKUP($A$1,data!$A$165:$AU$195,13)</f>
        <v>1.7342902599999999</v>
      </c>
      <c r="M66" s="634">
        <f>+VLOOKUP($A$1,data!$A$165:$AU$195,14)</f>
        <v>1.7190327499999998</v>
      </c>
      <c r="N66" s="634">
        <f>SUM(B66:M66)</f>
        <v>20.599320789999997</v>
      </c>
      <c r="O66" s="638">
        <f t="shared" si="8"/>
        <v>20.599320789999997</v>
      </c>
      <c r="P66" s="639"/>
      <c r="S66" s="608" t="s">
        <v>93</v>
      </c>
      <c r="T66" s="645">
        <f>+VLOOKUP($A$1,data!$A$197:$AU$227,3)</f>
        <v>0.78597480000000008</v>
      </c>
      <c r="U66" s="645">
        <f>+VLOOKUP($A$1,data!$A$197:$AU$227,4)</f>
        <v>0.77018639000000011</v>
      </c>
      <c r="V66" s="645">
        <f>+VLOOKUP($A$1,data!$A$197:$AU$227,5)</f>
        <v>1.03674409</v>
      </c>
      <c r="W66" s="645">
        <f>+VLOOKUP($A$1,data!$A$197:$AU$227,6)</f>
        <v>0.7368923300000001</v>
      </c>
      <c r="X66" s="645">
        <f>+VLOOKUP($A$1,data!$A$197:$AU$227,7)</f>
        <v>0.78062500000000001</v>
      </c>
      <c r="Y66" s="645">
        <f>+VLOOKUP($A$1,data!$A$197:$AU$227,8)</f>
        <v>1.02474044</v>
      </c>
      <c r="Z66" s="645">
        <f>+VLOOKUP($A$1,data!$A$197:$AU$227,9)</f>
        <v>0.84289743000000006</v>
      </c>
      <c r="AA66" s="645">
        <f>+VLOOKUP($A$1,data!$A$197:$AU$227,10)</f>
        <v>0.93258916999999997</v>
      </c>
      <c r="AB66" s="645">
        <f>+VLOOKUP($A$1,data!$A$197:$AU$227,11)</f>
        <v>0.85079954000000002</v>
      </c>
      <c r="AC66" s="645">
        <f>+VLOOKUP($A$1,data!$A$197:$AU$227,12)</f>
        <v>0.88107097999999984</v>
      </c>
      <c r="AD66" s="645">
        <f>+VLOOKUP($A$1,data!$A$197:$AU$227,13)</f>
        <v>0.89695676000000002</v>
      </c>
      <c r="AE66" s="645">
        <f>+VLOOKUP($A$1,data!$A$197:$AU$227,14)</f>
        <v>0.95756908000000007</v>
      </c>
      <c r="AF66" s="645">
        <f>SUM(T66:AE66)</f>
        <v>10.49704601</v>
      </c>
      <c r="AG66" s="646">
        <f t="shared" si="9"/>
        <v>10.49704601</v>
      </c>
      <c r="AH66" s="647"/>
      <c r="AI66" s="624" t="s">
        <v>93</v>
      </c>
      <c r="AJ66" s="650">
        <f>+B66-T66</f>
        <v>0.74267174999999963</v>
      </c>
      <c r="AK66" s="650">
        <f t="shared" si="7"/>
        <v>0.99248547999999981</v>
      </c>
      <c r="AL66" s="650">
        <f t="shared" si="7"/>
        <v>0.46109051000000001</v>
      </c>
      <c r="AM66" s="650">
        <f t="shared" si="7"/>
        <v>1.0751330799999996</v>
      </c>
      <c r="AN66" s="650">
        <f t="shared" si="7"/>
        <v>0.81623369999999984</v>
      </c>
      <c r="AO66" s="650">
        <f t="shared" si="7"/>
        <v>0.6412050199999999</v>
      </c>
      <c r="AP66" s="650">
        <f t="shared" si="7"/>
        <v>0.92435657000000004</v>
      </c>
      <c r="AQ66" s="650">
        <f t="shared" si="7"/>
        <v>1.0141984399999999</v>
      </c>
      <c r="AR66" s="650">
        <f t="shared" si="7"/>
        <v>0.96526207999999969</v>
      </c>
      <c r="AS66" s="650">
        <f>+K66-AC66</f>
        <v>0.87084097999999988</v>
      </c>
      <c r="AT66" s="650">
        <f>+L66-AD66</f>
        <v>0.83733349999999984</v>
      </c>
      <c r="AU66" s="650">
        <f>+M66-AE66</f>
        <v>0.7614636699999997</v>
      </c>
      <c r="AV66" s="650">
        <f>SUM(AJ66:AU66)</f>
        <v>10.102274779999997</v>
      </c>
      <c r="AW66" s="654">
        <f t="shared" si="10"/>
        <v>10.102274779999997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1.6146182</v>
      </c>
      <c r="D85" s="628">
        <f t="shared" ref="D85:N87" si="11">+C85+C64</f>
        <v>3.2015650200000003</v>
      </c>
      <c r="E85" s="628">
        <f t="shared" si="11"/>
        <v>4.7586782599999999</v>
      </c>
      <c r="F85" s="628">
        <f t="shared" si="11"/>
        <v>6.4536320800000002</v>
      </c>
      <c r="G85" s="628">
        <f t="shared" si="11"/>
        <v>8.03355161</v>
      </c>
      <c r="H85" s="628">
        <f t="shared" si="11"/>
        <v>9.55740327</v>
      </c>
      <c r="I85" s="628">
        <f t="shared" si="11"/>
        <v>11.35644995</v>
      </c>
      <c r="J85" s="628">
        <f t="shared" si="11"/>
        <v>13.292010319999999</v>
      </c>
      <c r="K85" s="628">
        <f t="shared" si="11"/>
        <v>15.06836624</v>
      </c>
      <c r="L85" s="628">
        <f t="shared" si="11"/>
        <v>16.8156116</v>
      </c>
      <c r="M85" s="628">
        <f t="shared" si="11"/>
        <v>18.339905160000001</v>
      </c>
      <c r="N85" s="628">
        <f t="shared" si="11"/>
        <v>19.979882330000002</v>
      </c>
      <c r="S85"/>
      <c r="T85" s="605" t="s">
        <v>92</v>
      </c>
      <c r="U85" s="640">
        <f>+T64</f>
        <v>0.93918382999999994</v>
      </c>
      <c r="V85" s="640">
        <f t="shared" ref="V85:AF87" si="12">+U85+U64</f>
        <v>1.81254348</v>
      </c>
      <c r="W85" s="640">
        <f t="shared" si="12"/>
        <v>2.7186779200000002</v>
      </c>
      <c r="X85" s="640">
        <f t="shared" si="12"/>
        <v>3.6180751</v>
      </c>
      <c r="Y85" s="640">
        <f t="shared" si="12"/>
        <v>4.5587051299999999</v>
      </c>
      <c r="Z85" s="640">
        <f t="shared" si="12"/>
        <v>5.5411934699999996</v>
      </c>
      <c r="AA85" s="640">
        <f t="shared" si="12"/>
        <v>6.4386566799999994</v>
      </c>
      <c r="AB85" s="640">
        <f t="shared" si="12"/>
        <v>7.4311127199999998</v>
      </c>
      <c r="AC85" s="640">
        <f t="shared" si="12"/>
        <v>8.3423446899999991</v>
      </c>
      <c r="AD85" s="640">
        <f t="shared" si="12"/>
        <v>9.2876409699999982</v>
      </c>
      <c r="AE85" s="640">
        <f t="shared" si="12"/>
        <v>10.190832689999999</v>
      </c>
      <c r="AF85" s="640">
        <f t="shared" si="12"/>
        <v>11.289259889999999</v>
      </c>
      <c r="AG85" s="158"/>
      <c r="AH85" s="158"/>
      <c r="AI85"/>
      <c r="AJ85" s="621" t="s">
        <v>92</v>
      </c>
      <c r="AK85" s="648">
        <f>+AJ64</f>
        <v>0.67543437000000006</v>
      </c>
      <c r="AL85" s="648">
        <f t="shared" ref="AL85:AV87" si="13">+AK85+AK64</f>
        <v>1.3890215400000003</v>
      </c>
      <c r="AM85" s="648">
        <f t="shared" si="13"/>
        <v>2.0400003400000006</v>
      </c>
      <c r="AN85" s="648">
        <f t="shared" si="13"/>
        <v>2.8355569800000007</v>
      </c>
      <c r="AO85" s="648">
        <f t="shared" si="13"/>
        <v>3.474846480000001</v>
      </c>
      <c r="AP85" s="648">
        <f t="shared" si="13"/>
        <v>4.0162098000000004</v>
      </c>
      <c r="AQ85" s="648">
        <f t="shared" si="13"/>
        <v>4.9177932700000007</v>
      </c>
      <c r="AR85" s="648">
        <f t="shared" si="13"/>
        <v>5.8608976000000013</v>
      </c>
      <c r="AS85" s="648">
        <f t="shared" si="13"/>
        <v>6.7260215500000013</v>
      </c>
      <c r="AT85" s="648">
        <f t="shared" si="13"/>
        <v>7.5279706300000013</v>
      </c>
      <c r="AU85" s="648">
        <f t="shared" si="13"/>
        <v>8.1490724700000019</v>
      </c>
      <c r="AV85" s="648">
        <f t="shared" si="13"/>
        <v>8.6906224400000021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1.6412260000000001</v>
      </c>
      <c r="D86" s="633">
        <f t="shared" si="11"/>
        <v>3.264548</v>
      </c>
      <c r="E86" s="633">
        <f t="shared" si="11"/>
        <v>4.8640639999999999</v>
      </c>
      <c r="F86" s="633">
        <f t="shared" si="11"/>
        <v>6.6219409999999996</v>
      </c>
      <c r="G86" s="633">
        <f t="shared" si="11"/>
        <v>8.2409409999999994</v>
      </c>
      <c r="H86" s="633">
        <f t="shared" si="11"/>
        <v>9.8301039999999986</v>
      </c>
      <c r="I86" s="633">
        <f t="shared" si="11"/>
        <v>11.685643999999998</v>
      </c>
      <c r="J86" s="633">
        <f t="shared" si="11"/>
        <v>13.575133999999998</v>
      </c>
      <c r="K86" s="633">
        <f t="shared" si="11"/>
        <v>15.420370999999999</v>
      </c>
      <c r="L86" s="633">
        <f t="shared" si="11"/>
        <v>17.219963</v>
      </c>
      <c r="M86" s="633">
        <f t="shared" si="11"/>
        <v>18.917515000000002</v>
      </c>
      <c r="N86" s="633">
        <f t="shared" si="11"/>
        <v>20.736298000000001</v>
      </c>
      <c r="S86"/>
      <c r="T86" s="601" t="s">
        <v>94</v>
      </c>
      <c r="U86" s="642">
        <f>+T65</f>
        <v>0.887795</v>
      </c>
      <c r="V86" s="642">
        <f t="shared" si="12"/>
        <v>1.7260180000000001</v>
      </c>
      <c r="W86" s="642">
        <f t="shared" si="12"/>
        <v>2.6054710000000001</v>
      </c>
      <c r="X86" s="642">
        <f t="shared" si="12"/>
        <v>3.4908169999999998</v>
      </c>
      <c r="Y86" s="642">
        <f t="shared" si="12"/>
        <v>4.4078919999999995</v>
      </c>
      <c r="Z86" s="642">
        <f t="shared" si="12"/>
        <v>5.3780289999999997</v>
      </c>
      <c r="AA86" s="642">
        <f t="shared" si="12"/>
        <v>6.2469609999999998</v>
      </c>
      <c r="AB86" s="642">
        <f t="shared" si="12"/>
        <v>7.1930309999999995</v>
      </c>
      <c r="AC86" s="642">
        <f t="shared" si="12"/>
        <v>8.1196579999999994</v>
      </c>
      <c r="AD86" s="642">
        <f t="shared" si="12"/>
        <v>9.0529899999999994</v>
      </c>
      <c r="AE86" s="642">
        <f t="shared" si="12"/>
        <v>10.020301999999999</v>
      </c>
      <c r="AF86" s="642">
        <f t="shared" si="12"/>
        <v>11.094085999999999</v>
      </c>
      <c r="AG86" s="158"/>
      <c r="AH86" s="158"/>
      <c r="AI86"/>
      <c r="AJ86" s="617" t="s">
        <v>94</v>
      </c>
      <c r="AK86" s="649">
        <f>+AJ65</f>
        <v>0.75343100000000007</v>
      </c>
      <c r="AL86" s="649">
        <f t="shared" si="13"/>
        <v>1.53853</v>
      </c>
      <c r="AM86" s="649">
        <f t="shared" si="13"/>
        <v>2.2585929999999999</v>
      </c>
      <c r="AN86" s="649">
        <f t="shared" si="13"/>
        <v>3.1311239999999998</v>
      </c>
      <c r="AO86" s="649">
        <f t="shared" si="13"/>
        <v>3.8330489999999999</v>
      </c>
      <c r="AP86" s="649">
        <f t="shared" si="13"/>
        <v>4.4520749999999998</v>
      </c>
      <c r="AQ86" s="649">
        <f t="shared" si="13"/>
        <v>5.4386829999999993</v>
      </c>
      <c r="AR86" s="649">
        <f t="shared" si="13"/>
        <v>6.382102999999999</v>
      </c>
      <c r="AS86" s="649">
        <f t="shared" si="13"/>
        <v>7.3007129999999991</v>
      </c>
      <c r="AT86" s="649">
        <f t="shared" si="13"/>
        <v>8.1669729999999987</v>
      </c>
      <c r="AU86" s="649">
        <f t="shared" si="13"/>
        <v>8.8972129999999989</v>
      </c>
      <c r="AV86" s="649">
        <f t="shared" si="13"/>
        <v>9.6422119999999989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1.5286465499999997</v>
      </c>
      <c r="D87" s="629">
        <f t="shared" si="11"/>
        <v>3.2913184199999996</v>
      </c>
      <c r="E87" s="629">
        <f t="shared" si="11"/>
        <v>4.7891530199999996</v>
      </c>
      <c r="F87" s="629">
        <f t="shared" si="11"/>
        <v>6.6011784299999992</v>
      </c>
      <c r="G87" s="629">
        <f t="shared" si="11"/>
        <v>8.1980371299999995</v>
      </c>
      <c r="H87" s="629">
        <f t="shared" si="11"/>
        <v>9.8639825899999991</v>
      </c>
      <c r="I87" s="629">
        <f t="shared" si="11"/>
        <v>11.631236589999999</v>
      </c>
      <c r="J87" s="629">
        <f t="shared" si="11"/>
        <v>13.578024199999998</v>
      </c>
      <c r="K87" s="629">
        <f t="shared" si="11"/>
        <v>15.394085819999997</v>
      </c>
      <c r="L87" s="629">
        <f t="shared" si="11"/>
        <v>17.145997779999998</v>
      </c>
      <c r="M87" s="629">
        <f t="shared" si="11"/>
        <v>18.880288039999996</v>
      </c>
      <c r="N87" s="629">
        <f t="shared" si="11"/>
        <v>20.599320789999997</v>
      </c>
      <c r="S87"/>
      <c r="T87" s="608" t="s">
        <v>93</v>
      </c>
      <c r="U87" s="645">
        <f>+T66</f>
        <v>0.78597480000000008</v>
      </c>
      <c r="V87" s="645">
        <f t="shared" si="12"/>
        <v>1.5561611900000001</v>
      </c>
      <c r="W87" s="645">
        <f t="shared" si="12"/>
        <v>2.5929052800000001</v>
      </c>
      <c r="X87" s="645">
        <f t="shared" si="12"/>
        <v>3.32979761</v>
      </c>
      <c r="Y87" s="645">
        <f t="shared" si="12"/>
        <v>4.1104226099999996</v>
      </c>
      <c r="Z87" s="645">
        <f t="shared" si="12"/>
        <v>5.1351630499999992</v>
      </c>
      <c r="AA87" s="645">
        <f t="shared" si="12"/>
        <v>5.978060479999999</v>
      </c>
      <c r="AB87" s="645">
        <f t="shared" si="12"/>
        <v>6.910649649999999</v>
      </c>
      <c r="AC87" s="645">
        <f t="shared" si="12"/>
        <v>7.7614491899999987</v>
      </c>
      <c r="AD87" s="645">
        <f t="shared" si="12"/>
        <v>8.6425201699999992</v>
      </c>
      <c r="AE87" s="645">
        <f t="shared" si="12"/>
        <v>9.5394769299999993</v>
      </c>
      <c r="AF87" s="645">
        <f t="shared" si="12"/>
        <v>10.49704601</v>
      </c>
      <c r="AG87" s="158"/>
      <c r="AH87" s="158"/>
      <c r="AI87"/>
      <c r="AJ87" s="624" t="s">
        <v>93</v>
      </c>
      <c r="AK87" s="650">
        <f>+AJ66</f>
        <v>0.74267174999999963</v>
      </c>
      <c r="AL87" s="650">
        <f t="shared" si="13"/>
        <v>1.7351572299999996</v>
      </c>
      <c r="AM87" s="650">
        <f t="shared" si="13"/>
        <v>2.1962477399999996</v>
      </c>
      <c r="AN87" s="650">
        <f t="shared" si="13"/>
        <v>3.2713808199999992</v>
      </c>
      <c r="AO87" s="650">
        <f t="shared" si="13"/>
        <v>4.0876145199999989</v>
      </c>
      <c r="AP87" s="650">
        <f t="shared" si="13"/>
        <v>4.728819539999999</v>
      </c>
      <c r="AQ87" s="650">
        <f t="shared" si="13"/>
        <v>5.6531761099999986</v>
      </c>
      <c r="AR87" s="650">
        <f t="shared" si="13"/>
        <v>6.6673745499999981</v>
      </c>
      <c r="AS87" s="650">
        <f t="shared" si="13"/>
        <v>7.6326366299999977</v>
      </c>
      <c r="AT87" s="650">
        <f t="shared" si="13"/>
        <v>8.5034776099999974</v>
      </c>
      <c r="AU87" s="650">
        <f t="shared" si="13"/>
        <v>9.3408111099999971</v>
      </c>
      <c r="AV87" s="650">
        <f t="shared" si="13"/>
        <v>10.102274779999997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107" priority="16" operator="lessThan">
      <formula>0</formula>
    </cfRule>
  </conditionalFormatting>
  <conditionalFormatting sqref="O41">
    <cfRule type="cellIs" dxfId="106" priority="15" operator="lessThan">
      <formula>0</formula>
    </cfRule>
  </conditionalFormatting>
  <conditionalFormatting sqref="AX18:AX22">
    <cfRule type="cellIs" dxfId="105" priority="14" operator="lessThan">
      <formula>0</formula>
    </cfRule>
  </conditionalFormatting>
  <conditionalFormatting sqref="BN21:BN22">
    <cfRule type="cellIs" dxfId="104" priority="13" operator="lessThan">
      <formula>0</formula>
    </cfRule>
  </conditionalFormatting>
  <conditionalFormatting sqref="BB43:BB46">
    <cfRule type="cellIs" dxfId="103" priority="12" operator="greaterThan">
      <formula>0</formula>
    </cfRule>
  </conditionalFormatting>
  <conditionalFormatting sqref="AX18:AX20">
    <cfRule type="cellIs" dxfId="102" priority="11" operator="lessThan">
      <formula>0</formula>
    </cfRule>
  </conditionalFormatting>
  <conditionalFormatting sqref="BN18:BN20">
    <cfRule type="cellIs" dxfId="101" priority="10" operator="greaterThan">
      <formula>0</formula>
    </cfRule>
  </conditionalFormatting>
  <conditionalFormatting sqref="P18:P20">
    <cfRule type="cellIs" dxfId="100" priority="9" operator="lessThan">
      <formula>0</formula>
    </cfRule>
  </conditionalFormatting>
  <conditionalFormatting sqref="P67:P68">
    <cfRule type="cellIs" dxfId="99" priority="8" operator="lessThan">
      <formula>0</formula>
    </cfRule>
  </conditionalFormatting>
  <conditionalFormatting sqref="P64:P66">
    <cfRule type="cellIs" dxfId="98" priority="7" operator="lessThan">
      <formula>0</formula>
    </cfRule>
  </conditionalFormatting>
  <conditionalFormatting sqref="AH67:AH68">
    <cfRule type="cellIs" dxfId="97" priority="6" operator="lessThan">
      <formula>0</formula>
    </cfRule>
  </conditionalFormatting>
  <conditionalFormatting sqref="AH64:AH66">
    <cfRule type="cellIs" dxfId="96" priority="5" operator="greaterThan">
      <formula>0</formula>
    </cfRule>
  </conditionalFormatting>
  <conditionalFormatting sqref="AX67:AX68">
    <cfRule type="cellIs" dxfId="95" priority="4" operator="lessThan">
      <formula>0</formula>
    </cfRule>
  </conditionalFormatting>
  <conditionalFormatting sqref="AX64:AX66">
    <cfRule type="cellIs" dxfId="94" priority="3" operator="lessThan">
      <formula>0</formula>
    </cfRule>
  </conditionalFormatting>
  <conditionalFormatting sqref="AH18:AH22">
    <cfRule type="cellIs" dxfId="93" priority="2" operator="lessThan">
      <formula>0</formula>
    </cfRule>
  </conditionalFormatting>
  <conditionalFormatting sqref="S21:T23 V21:AG23">
    <cfRule type="cellIs" dxfId="92" priority="1" operator="lessThan">
      <formula>0</formula>
    </cfRule>
  </conditionalFormatting>
  <pageMargins left="0.17" right="0.19685039370078741" top="0.74803149606299213" bottom="0.21" header="0.31496062992125984" footer="0.31496062992125984"/>
  <pageSetup paperSize="9" scale="80" pageOrder="overThenDown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4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1024</v>
      </c>
      <c r="B3" s="807" t="str">
        <f>+VLOOKUP($A3,data!$A$4:$AH$32,2,0)</f>
        <v>เชียงราย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21399</v>
      </c>
      <c r="C9" s="180">
        <f>+VLOOKUP($A$3,data!$A$4:$AH$32,8,0)/10^6</f>
        <v>3.6057489999999999</v>
      </c>
      <c r="D9" s="181">
        <f>+VLOOKUP($A$3,data!$A$4:$AH$32,9,0)</f>
        <v>0.47954002978382293</v>
      </c>
      <c r="E9" s="180">
        <f>+VLOOKUP($A$3,data!$A$4:$AH$32,10,0)/10^6</f>
        <v>51.736413430000006</v>
      </c>
      <c r="F9" s="182">
        <f>+E9/C9</f>
        <v>14.348312494851973</v>
      </c>
      <c r="G9" s="179">
        <f>+VLOOKUP($A$3,data!$A$4:$AH$32,23,0)</f>
        <v>22499</v>
      </c>
      <c r="H9" s="180">
        <f>+VLOOKUP($A$3,data!$A$4:$AH$32,24,0)/10^6</f>
        <v>3.7861690000000001</v>
      </c>
      <c r="I9" s="181">
        <f>+VLOOKUP($A$3,data!$A$4:$AH$32,25,0)</f>
        <v>0.4725985581768945</v>
      </c>
      <c r="J9" s="180">
        <f>+VLOOKUP($A$3,data!$A$4:$AH$32,26,0)/10^6</f>
        <v>54.334782819999994</v>
      </c>
      <c r="K9" s="182">
        <f>+J9/H9</f>
        <v>14.350860413256775</v>
      </c>
    </row>
    <row r="10" spans="1:12" ht="26.25" x14ac:dyDescent="0.4">
      <c r="A10" s="187" t="s">
        <v>4</v>
      </c>
      <c r="B10" s="189">
        <f>+B9/B20</f>
        <v>0.77213682615284696</v>
      </c>
      <c r="C10" s="190"/>
      <c r="D10" s="190"/>
      <c r="E10" s="190"/>
      <c r="F10" s="191"/>
      <c r="G10" s="189">
        <f>+G9/G20</f>
        <v>0.76830351044939216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4589</v>
      </c>
      <c r="C13" s="180">
        <f>+VLOOKUP($A$3,data!$A$4:$AH$32,12,0)/10^6</f>
        <v>2.105613</v>
      </c>
      <c r="D13" s="181">
        <f>+VLOOKUP($A$3,data!$A$4:$AH$32,13,0)</f>
        <v>1.3107936241140712</v>
      </c>
      <c r="E13" s="180">
        <f>+VLOOKUP($A$3,data!$A$4:$AH$32,14,0)/10^6</f>
        <v>45.237764439999999</v>
      </c>
      <c r="F13" s="182">
        <f>+E13/C13</f>
        <v>21.48436794415688</v>
      </c>
      <c r="G13" s="179">
        <f>+VLOOKUP($A$3,data!$A$4:$AH$32,27,0)</f>
        <v>5064</v>
      </c>
      <c r="H13" s="180">
        <f>+VLOOKUP($A$3,data!$A$4:$AH$32,28,0)/10^6</f>
        <v>2.3501829999999999</v>
      </c>
      <c r="I13" s="181">
        <f>+VLOOKUP($A$3,data!$A$4:$AH$32,29,0)</f>
        <v>1.3340635106695484</v>
      </c>
      <c r="J13" s="180">
        <f>+VLOOKUP($A$3,data!$A$4:$AH$32,30,0)/10^6</f>
        <v>50.812498519999998</v>
      </c>
      <c r="K13" s="182">
        <f>+J13/H13</f>
        <v>21.620656144649161</v>
      </c>
    </row>
    <row r="14" spans="1:12" ht="26.25" x14ac:dyDescent="0.4">
      <c r="A14" s="187" t="s">
        <v>29</v>
      </c>
      <c r="B14" s="189">
        <f>+B13/B20</f>
        <v>0.16558418128021937</v>
      </c>
      <c r="C14" s="190"/>
      <c r="D14" s="190"/>
      <c r="E14" s="190"/>
      <c r="F14" s="191"/>
      <c r="G14" s="189">
        <f>+G13/G20</f>
        <v>0.17292719573828713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1726</v>
      </c>
      <c r="C17" s="180">
        <f>+VLOOKUP($A$3,data!$A$4:$AH$32,16,0)/10^6</f>
        <v>1.3574980000000001</v>
      </c>
      <c r="D17" s="181">
        <f>+VLOOKUP($A$3,data!$A$4:$AH$32,17,0)</f>
        <v>2.0696564289035759</v>
      </c>
      <c r="E17" s="180">
        <f>+VLOOKUP($A$3,data!$A$4:$AH$32,18,0)/10^6</f>
        <v>37.638491000000002</v>
      </c>
      <c r="F17" s="182">
        <f>+E17/C17</f>
        <v>27.726369394282717</v>
      </c>
      <c r="G17" s="179">
        <f>+VLOOKUP($A$3,data!$A$4:$AH$32,31,0)</f>
        <v>1721</v>
      </c>
      <c r="H17" s="180">
        <f>+VLOOKUP($A$3,data!$A$4:$AH$32,32,0)/10^6</f>
        <v>1.2869569999999999</v>
      </c>
      <c r="I17" s="181">
        <f>+VLOOKUP($A$3,data!$A$4:$AH$32,33,0)</f>
        <v>2.0457845019095422</v>
      </c>
      <c r="J17" s="180">
        <f>+VLOOKUP($A$3,data!$A$4:$AH$32,34,0)/10^6</f>
        <v>35.696404649999998</v>
      </c>
      <c r="K17" s="182">
        <f>+J17/H17</f>
        <v>27.737060873051703</v>
      </c>
    </row>
    <row r="18" spans="1:11" ht="26.25" x14ac:dyDescent="0.4">
      <c r="A18" s="187" t="s">
        <v>30</v>
      </c>
      <c r="B18" s="189">
        <f>+B17/B20</f>
        <v>6.2278992566933679E-2</v>
      </c>
      <c r="C18" s="190"/>
      <c r="D18" s="190"/>
      <c r="E18" s="190"/>
      <c r="F18" s="191"/>
      <c r="G18" s="189">
        <f>+G17/G20</f>
        <v>5.8769293812320718E-2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27714</v>
      </c>
      <c r="C20" s="180">
        <f>+VLOOKUP($A$3,data!$A$4:$AH$32,4,0)/10^6</f>
        <v>7.0688599999999999</v>
      </c>
      <c r="D20" s="181">
        <f>+VLOOKUP($A$3,data!$A$4:$AH$32,5,0)</f>
        <v>0.7226799905228799</v>
      </c>
      <c r="E20" s="180">
        <f>+VLOOKUP($A$3,data!$A$4:$AH$32,6,0)/10^6</f>
        <v>134.61266886999999</v>
      </c>
      <c r="F20" s="182">
        <f>+E20/C20</f>
        <v>19.043052043752457</v>
      </c>
      <c r="G20" s="179">
        <f>+VLOOKUP($A$3,data!$A$4:$AH$32,19,0)</f>
        <v>29284</v>
      </c>
      <c r="H20" s="180">
        <f>+VLOOKUP($A$3,data!$A$4:$AH$32,20,0)/10^6</f>
        <v>7.4233089999999997</v>
      </c>
      <c r="I20" s="181">
        <f>+VLOOKUP($A$3,data!$A$4:$AH$32,21,0)</f>
        <v>0.71363321087449838</v>
      </c>
      <c r="J20" s="180">
        <f>+VLOOKUP($A$3,data!$A$4:$AH$32,22,0)/10^6</f>
        <v>140.84368599000001</v>
      </c>
      <c r="K20" s="182">
        <f>+J20/H20</f>
        <v>18.97316762511166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เชียงราย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topLeftCell="E43" zoomScale="66" zoomScaleNormal="100" zoomScalePageLayoutView="66" workbookViewId="0"/>
  </sheetViews>
  <sheetFormatPr defaultRowHeight="21" x14ac:dyDescent="0.35"/>
  <cols>
    <col min="1" max="1" width="9" style="158" bestFit="1" customWidth="1"/>
    <col min="2" max="2" width="7.125" style="158" bestFit="1" customWidth="1"/>
    <col min="3" max="4" width="6.875" style="158" bestFit="1" customWidth="1"/>
    <col min="5" max="9" width="7.125" style="158" bestFit="1" customWidth="1"/>
    <col min="10" max="14" width="8.125" style="158" bestFit="1" customWidth="1"/>
    <col min="15" max="15" width="8" style="158" bestFit="1" customWidth="1"/>
    <col min="16" max="16" width="7" style="158" customWidth="1"/>
    <col min="17" max="18" width="3.62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8" bestFit="1" customWidth="1"/>
    <col min="48" max="48" width="8.25" bestFit="1" customWidth="1"/>
    <col min="49" max="49" width="9" bestFit="1" customWidth="1"/>
    <col min="50" max="50" width="10.25" customWidth="1"/>
    <col min="51" max="51" width="8" customWidth="1"/>
    <col min="52" max="64" width="7.125" bestFit="1" customWidth="1"/>
    <col min="65" max="66" width="7.875" bestFit="1" customWidth="1"/>
    <col min="67" max="67" width="6.625" bestFit="1" customWidth="1"/>
  </cols>
  <sheetData>
    <row r="1" spans="1:66" ht="27" thickBot="1" x14ac:dyDescent="0.25">
      <c r="A1" s="248">
        <v>1024</v>
      </c>
      <c r="B1" s="817" t="str">
        <f>+VLOOKUP($A$1,data!$A$4:$AH$32,2,0)</f>
        <v>เชียงราย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1024</v>
      </c>
      <c r="T1" s="817" t="str">
        <f>+VLOOKUP($A$1,data!$A$4:$AH$32,2,0)</f>
        <v>เชียงราย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1024</v>
      </c>
      <c r="AJ1" s="817" t="str">
        <f>+VLOOKUP($A$1,data!$A$4:$AH$32,2,0)</f>
        <v>เชียงราย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1024</v>
      </c>
      <c r="AZ1" s="817" t="str">
        <f>+VLOOKUP($A$1,data!$A$4:$AH$32,2,0)</f>
        <v>เชียงราย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86</v>
      </c>
      <c r="C18" s="406">
        <f>+VLOOKUP($A$1,data!$A$37:$AU$67,36)</f>
        <v>107</v>
      </c>
      <c r="D18" s="406">
        <f>+VLOOKUP($A$1,data!$A$37:$AU$67,37)</f>
        <v>160</v>
      </c>
      <c r="E18" s="406">
        <f>+VLOOKUP($A$1,data!$A$37:$AU$67,38)</f>
        <v>68</v>
      </c>
      <c r="F18" s="406">
        <f>+VLOOKUP($A$1,data!$A$37:$AU$67,39)</f>
        <v>218</v>
      </c>
      <c r="G18" s="406">
        <f>+VLOOKUP($A$1,data!$A$37:$AU$67,40)</f>
        <v>118</v>
      </c>
      <c r="H18" s="406">
        <f>+VLOOKUP($A$1,data!$A$37:$AU$67,41)</f>
        <v>129</v>
      </c>
      <c r="I18" s="406">
        <f>+VLOOKUP($A$1,data!$A$37:$AU$67,42)</f>
        <v>227</v>
      </c>
      <c r="J18" s="406">
        <f>+VLOOKUP($A$1,data!$A$37:$AU$67,43)</f>
        <v>300</v>
      </c>
      <c r="K18" s="406">
        <f>+VLOOKUP($A$1,data!$A$37:$AU$67,44)</f>
        <v>215</v>
      </c>
      <c r="L18" s="406">
        <f>+VLOOKUP($A$1,data!$A$37:$AU$67,45)</f>
        <v>244</v>
      </c>
      <c r="M18" s="406">
        <f>+VLOOKUP($A$1,data!$A$37:$AU$67,46)</f>
        <v>285</v>
      </c>
      <c r="N18" s="406">
        <f>SUM(B18:M18)</f>
        <v>2157</v>
      </c>
      <c r="O18" s="406">
        <f>SUM(B18:M18)</f>
        <v>2157</v>
      </c>
      <c r="P18" s="407">
        <f>+O20-O18</f>
        <v>-535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0.55544247000000002</v>
      </c>
      <c r="AK18" s="418">
        <f>+VLOOKUP($A$1,data!$A$69:$AU$99,36)</f>
        <v>0.57830287000000002</v>
      </c>
      <c r="AL18" s="418">
        <f>+VLOOKUP($A$1,data!$A$69:$AU$99,37)</f>
        <v>0.5373513299999999</v>
      </c>
      <c r="AM18" s="418">
        <f>+VLOOKUP($A$1,data!$A$69:$AU$99,38)</f>
        <v>0.59205420999999991</v>
      </c>
      <c r="AN18" s="418">
        <f>+VLOOKUP($A$1,data!$A$69:$AU$99,39)</f>
        <v>0.57772782</v>
      </c>
      <c r="AO18" s="418">
        <f>+VLOOKUP($A$1,data!$A$69:$AU$99,40)</f>
        <v>0.56326947999999999</v>
      </c>
      <c r="AP18" s="418">
        <f>+VLOOKUP($A$1,data!$A$69:$AU$99,41)</f>
        <v>0.62150196999999996</v>
      </c>
      <c r="AQ18" s="418">
        <f>+VLOOKUP($A$1,data!$A$69:$AU$99,42)</f>
        <v>0.62957109999999994</v>
      </c>
      <c r="AR18" s="418">
        <f>+VLOOKUP($A$1,data!$A$69:$AU$99,43)</f>
        <v>0.61856771999999993</v>
      </c>
      <c r="AS18" s="418">
        <f>+VLOOKUP($A$1,data!$A$69:$AU$99,44)</f>
        <v>0.63654200000000005</v>
      </c>
      <c r="AT18" s="418">
        <f>+VLOOKUP($A$1,data!$A$69:$AU$99,45)</f>
        <v>0.54636998000000003</v>
      </c>
      <c r="AU18" s="418">
        <f>+VLOOKUP($A$1,data!$A$69:$AU$99,46)</f>
        <v>0.61635305000000007</v>
      </c>
      <c r="AV18" s="418">
        <f>SUM(AJ18:AU18)</f>
        <v>7.0730539999999982</v>
      </c>
      <c r="AW18" s="418">
        <f>SUM(AJ18:AU18)</f>
        <v>7.0730539999999982</v>
      </c>
      <c r="AX18" s="419">
        <f>+AW20-AW18</f>
        <v>0.35384599000000172</v>
      </c>
      <c r="AY18" s="308" t="s">
        <v>92</v>
      </c>
      <c r="AZ18" s="309">
        <f>+VLOOKUP($A$1,data!$A$101:$AU$131,35)</f>
        <v>0.13446353000000003</v>
      </c>
      <c r="BA18" s="309">
        <f>+VLOOKUP($A$1,data!$A$101:$AU$131,36)</f>
        <v>0.10672819000000006</v>
      </c>
      <c r="BB18" s="309">
        <f>+VLOOKUP($A$1,data!$A$101:$AU$131,37)</f>
        <v>0.17822288</v>
      </c>
      <c r="BC18" s="309">
        <f>+VLOOKUP($A$1,data!$A$101:$AU$131,38)</f>
        <v>0.16611057000000007</v>
      </c>
      <c r="BD18" s="309">
        <f>+VLOOKUP($A$1,data!$A$101:$AU$131,39)</f>
        <v>0.15577318000000004</v>
      </c>
      <c r="BE18" s="309">
        <f>+VLOOKUP($A$1,data!$A$101:$AU$131,40)</f>
        <v>0.20748252000000003</v>
      </c>
      <c r="BF18" s="309">
        <f>+VLOOKUP($A$1,data!$A$101:$AU$131,41)</f>
        <v>0.14156903000000004</v>
      </c>
      <c r="BG18" s="309">
        <f>+VLOOKUP($A$1,data!$A$101:$AU$131,42)</f>
        <v>0.12632227000000001</v>
      </c>
      <c r="BH18" s="309">
        <f>+VLOOKUP($A$1,data!$A$101:$AU$131,43)</f>
        <v>0.10374828000000003</v>
      </c>
      <c r="BI18" s="309">
        <f>+VLOOKUP($A$1,data!$A$101:$AU$131,44)</f>
        <v>0.111973</v>
      </c>
      <c r="BJ18" s="309">
        <f>+VLOOKUP($A$1,data!$A$101:$AU$131,45)</f>
        <v>0.20090902000000002</v>
      </c>
      <c r="BK18" s="309">
        <f>+VLOOKUP($A$1,data!$A$101:$AU$131,46)</f>
        <v>0.12828194999999995</v>
      </c>
      <c r="BL18" s="309">
        <f>SUM(AZ18:BK18)</f>
        <v>1.7615844200000004</v>
      </c>
      <c r="BM18" s="309">
        <f>SUM(AZ18:BK18)</f>
        <v>1.7615844200000004</v>
      </c>
      <c r="BN18" s="310">
        <f>+BM20-BM18</f>
        <v>-1.2959570000000475E-2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156.68797797491584</v>
      </c>
      <c r="C19" s="409">
        <f>+VLOOKUP($A$1,data!$A$37:$AU$67,20)</f>
        <v>113.17987152034262</v>
      </c>
      <c r="D19" s="409">
        <f>+VLOOKUP($A$1,data!$A$37:$AU$67,21)</f>
        <v>159.3337412052615</v>
      </c>
      <c r="E19" s="409">
        <f>+VLOOKUP($A$1,data!$A$37:$AU$67,22)</f>
        <v>119.0593453655552</v>
      </c>
      <c r="F19" s="409">
        <f>+VLOOKUP($A$1,data!$A$37:$AU$67,23)</f>
        <v>164.33129397369225</v>
      </c>
      <c r="G19" s="409">
        <f>+VLOOKUP($A$1,data!$A$37:$AU$67,24)</f>
        <v>144.34108289996939</v>
      </c>
      <c r="H19" s="409">
        <f>+VLOOKUP($A$1,data!$A$37:$AU$67,25)</f>
        <v>157.27592535943714</v>
      </c>
      <c r="I19" s="409">
        <f>+VLOOKUP($A$1,data!$A$37:$AU$67,26)</f>
        <v>138.16763536249616</v>
      </c>
      <c r="J19" s="409">
        <f>+VLOOKUP($A$1,data!$A$37:$AU$67,27)</f>
        <v>234.29703273172223</v>
      </c>
      <c r="K19" s="409">
        <f>+VLOOKUP($A$1,data!$A$37:$AU$67,28)</f>
        <v>154.04221474457017</v>
      </c>
      <c r="L19" s="409">
        <f>+VLOOKUP($A$1,data!$A$37:$AU$67,29)</f>
        <v>161.68553074334659</v>
      </c>
      <c r="M19" s="409">
        <f>+VLOOKUP($A$1,data!$A$37:$AU$67,30)</f>
        <v>219.59834811869069</v>
      </c>
      <c r="N19" s="409">
        <f>SUM(B19:M19)</f>
        <v>1921.9999999999998</v>
      </c>
      <c r="O19" s="630">
        <f t="shared" ref="O19:O20" si="0">SUM(B19:M19)</f>
        <v>1921.9999999999998</v>
      </c>
      <c r="P19" s="412">
        <f>+O20-O19</f>
        <v>-299.99999999999977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0.63083299999999998</v>
      </c>
      <c r="AK19" s="423">
        <f>+VLOOKUP($A$1,data!$A$69:$AU$99,20)</f>
        <v>0.63887899999999997</v>
      </c>
      <c r="AL19" s="423">
        <f>+VLOOKUP($A$1,data!$A$69:$AU$99,21)</f>
        <v>0.61749500000000002</v>
      </c>
      <c r="AM19" s="423">
        <f>+VLOOKUP($A$1,data!$A$69:$AU$99,22)</f>
        <v>0.67077399999999998</v>
      </c>
      <c r="AN19" s="423">
        <f>+VLOOKUP($A$1,data!$A$69:$AU$99,23)</f>
        <v>0.63945799999999997</v>
      </c>
      <c r="AO19" s="423">
        <f>+VLOOKUP($A$1,data!$A$69:$AU$99,24)</f>
        <v>0.62146900000000005</v>
      </c>
      <c r="AP19" s="423">
        <f>+VLOOKUP($A$1,data!$A$69:$AU$99,25)</f>
        <v>0.67228600000000005</v>
      </c>
      <c r="AQ19" s="423">
        <f>+VLOOKUP($A$1,data!$A$69:$AU$99,26)</f>
        <v>0.67591999999999997</v>
      </c>
      <c r="AR19" s="423">
        <f>+VLOOKUP($A$1,data!$A$69:$AU$99,27)</f>
        <v>0.68269500000000005</v>
      </c>
      <c r="AS19" s="423">
        <f>+VLOOKUP($A$1,data!$A$69:$AU$99,28)</f>
        <v>0.68166199999999999</v>
      </c>
      <c r="AT19" s="423">
        <f>+VLOOKUP($A$1,data!$A$69:$AU$99,29)</f>
        <v>0.64482600000000001</v>
      </c>
      <c r="AU19" s="423">
        <f>+VLOOKUP($A$1,data!$A$69:$AU$99,30)</f>
        <v>0.676095</v>
      </c>
      <c r="AV19" s="423">
        <f>SUM(AJ19:AU19)</f>
        <v>7.8523919999999992</v>
      </c>
      <c r="AW19" s="424">
        <f t="shared" ref="AW19:AW20" si="1">SUM(AJ19:AU19)</f>
        <v>7.8523919999999992</v>
      </c>
      <c r="AX19" s="425">
        <f>+AW20-AW19</f>
        <v>-0.42549200999999925</v>
      </c>
      <c r="AY19" s="311" t="s">
        <v>94</v>
      </c>
      <c r="AZ19" s="312">
        <f>+VLOOKUP($A$1,data!$A$101:$AU$131,19)</f>
        <v>0.177263</v>
      </c>
      <c r="BA19" s="312">
        <f>+VLOOKUP($A$1,data!$A$101:$AU$131,20)</f>
        <v>0.14932200000000001</v>
      </c>
      <c r="BB19" s="312">
        <f>+VLOOKUP($A$1,data!$A$101:$AU$131,21)</f>
        <v>0.20671200000000001</v>
      </c>
      <c r="BC19" s="312">
        <f>+VLOOKUP($A$1,data!$A$101:$AU$131,22)</f>
        <v>0.18221499999999999</v>
      </c>
      <c r="BD19" s="312">
        <f>+VLOOKUP($A$1,data!$A$101:$AU$131,23)</f>
        <v>0.15271599999999999</v>
      </c>
      <c r="BE19" s="312">
        <f>+VLOOKUP($A$1,data!$A$101:$AU$131,24)</f>
        <v>0.20885100000000001</v>
      </c>
      <c r="BF19" s="312">
        <f>+VLOOKUP($A$1,data!$A$101:$AU$131,25)</f>
        <v>0.142926</v>
      </c>
      <c r="BG19" s="312">
        <f>+VLOOKUP($A$1,data!$A$101:$AU$131,26)</f>
        <v>0.16367599999999999</v>
      </c>
      <c r="BH19" s="312">
        <f>+VLOOKUP($A$1,data!$A$101:$AU$131,27)</f>
        <v>0.13645099999999999</v>
      </c>
      <c r="BI19" s="312">
        <f>+VLOOKUP($A$1,data!$A$101:$AU$131,28)</f>
        <v>0.14264199999999999</v>
      </c>
      <c r="BJ19" s="312">
        <f>+VLOOKUP($A$1,data!$A$101:$AU$131,29)</f>
        <v>0.172709</v>
      </c>
      <c r="BK19" s="312">
        <f>+VLOOKUP($A$1,data!$A$101:$AU$131,30)</f>
        <v>0.12761500000000001</v>
      </c>
      <c r="BL19" s="312">
        <f>SUM(AZ19:BK19)</f>
        <v>1.9630979999999998</v>
      </c>
      <c r="BM19" s="313">
        <f t="shared" ref="BM19:BM20" si="2">SUM(AZ19:BK19)</f>
        <v>1.9630979999999998</v>
      </c>
      <c r="BN19" s="314">
        <f>+BM20-BM19</f>
        <v>-0.21447314999999989</v>
      </c>
    </row>
    <row r="20" spans="1:66" s="247" customFormat="1" ht="19.5" thickBot="1" x14ac:dyDescent="0.35">
      <c r="A20" s="413" t="s">
        <v>93</v>
      </c>
      <c r="B20" s="414">
        <f>+VLOOKUP($A$1,data!$A$37:$AU$67,3)</f>
        <v>77</v>
      </c>
      <c r="C20" s="414">
        <f>+VLOOKUP($A$1,data!$A$37:$AU$67,4)</f>
        <v>166</v>
      </c>
      <c r="D20" s="414">
        <f>+VLOOKUP($A$1,data!$A$37:$AU$67,5)</f>
        <v>165</v>
      </c>
      <c r="E20" s="414">
        <f>+VLOOKUP($A$1,data!$A$37:$AU$67,6)</f>
        <v>168</v>
      </c>
      <c r="F20" s="414">
        <f>+VLOOKUP($A$1,data!$A$37:$AU$67,7)</f>
        <v>129</v>
      </c>
      <c r="G20" s="414">
        <f>+VLOOKUP($A$1,data!$A$37:$AU$67,8)</f>
        <v>155</v>
      </c>
      <c r="H20" s="414">
        <f>+VLOOKUP($A$1,data!$A$37:$AU$67,9)</f>
        <v>149</v>
      </c>
      <c r="I20" s="414">
        <f>+VLOOKUP($A$1,data!$A$37:$AU$67,10)</f>
        <v>166</v>
      </c>
      <c r="J20" s="414">
        <f>+VLOOKUP($A$1,data!$A$37:$AU$67,11)</f>
        <v>132</v>
      </c>
      <c r="K20" s="414">
        <f>+VLOOKUP($A$1,data!$A$37:$AU$67,12)</f>
        <v>103</v>
      </c>
      <c r="L20" s="414">
        <f>+VLOOKUP($A$1,data!$A$37:$AU$67,13)</f>
        <v>112</v>
      </c>
      <c r="M20" s="414">
        <f>+VLOOKUP($A$1,data!$A$37:$AU$67,14)</f>
        <v>100</v>
      </c>
      <c r="N20" s="414">
        <f>SUM(B20:M20)</f>
        <v>1622</v>
      </c>
      <c r="O20" s="631">
        <f t="shared" si="0"/>
        <v>1622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0.57592892000000007</v>
      </c>
      <c r="AK20" s="420">
        <f>+VLOOKUP($A$1,data!$A$69:$AU$99,4)</f>
        <v>0.60161052000000004</v>
      </c>
      <c r="AL20" s="420">
        <f>+VLOOKUP($A$1,data!$A$69:$AU$99,5)</f>
        <v>0.61229699999999998</v>
      </c>
      <c r="AM20" s="420">
        <f>+VLOOKUP($A$1,data!$A$69:$AU$99,6)</f>
        <v>0.62046745999999997</v>
      </c>
      <c r="AN20" s="420">
        <f>+VLOOKUP($A$1,data!$A$69:$AU$99,7)</f>
        <v>0.61038599999999998</v>
      </c>
      <c r="AO20" s="420">
        <f>+VLOOKUP($A$1,data!$A$69:$AU$99,8)</f>
        <v>0.58147400000000005</v>
      </c>
      <c r="AP20" s="420">
        <f>+VLOOKUP($A$1,data!$A$69:$AU$99,9)</f>
        <v>0.66240873</v>
      </c>
      <c r="AQ20" s="420">
        <f>+VLOOKUP($A$1,data!$A$69:$AU$99,10)</f>
        <v>0.62382499999999996</v>
      </c>
      <c r="AR20" s="420">
        <f>+VLOOKUP($A$1,data!$A$69:$AU$99,11)</f>
        <v>0.64121499999999998</v>
      </c>
      <c r="AS20" s="420">
        <f>+VLOOKUP($A$1,data!$A$69:$AU$99,12)</f>
        <v>0.61972300000000002</v>
      </c>
      <c r="AT20" s="420">
        <f>+VLOOKUP($A$1,data!$A$69:$AU$99,13)</f>
        <v>0.62551235999999999</v>
      </c>
      <c r="AU20" s="420">
        <f>+VLOOKUP($A$1,data!$A$69:$AU$99,14)</f>
        <v>0.65205199999999996</v>
      </c>
      <c r="AV20" s="420">
        <f>SUM(AJ20:AU20)</f>
        <v>7.4268999899999999</v>
      </c>
      <c r="AW20" s="421">
        <f t="shared" si="1"/>
        <v>7.4268999899999999</v>
      </c>
      <c r="AX20" s="422"/>
      <c r="AY20" s="315" t="s">
        <v>93</v>
      </c>
      <c r="AZ20" s="316">
        <f>+VLOOKUP($A$1,data!$A$101:$AU$131,3)</f>
        <v>0.16618607999999996</v>
      </c>
      <c r="BA20" s="316">
        <f>+VLOOKUP($A$1,data!$A$101:$AU$131,4)</f>
        <v>0.17986292999999992</v>
      </c>
      <c r="BB20" s="316">
        <f>+VLOOKUP($A$1,data!$A$101:$AU$131,5)</f>
        <v>0.193773</v>
      </c>
      <c r="BC20" s="316">
        <f>+VLOOKUP($A$1,data!$A$101:$AU$131,6)</f>
        <v>0.16486193000000005</v>
      </c>
      <c r="BD20" s="316">
        <f>+VLOOKUP($A$1,data!$A$101:$AU$131,7)</f>
        <v>0.103204</v>
      </c>
      <c r="BE20" s="316">
        <f>+VLOOKUP($A$1,data!$A$101:$AU$131,8)</f>
        <v>0.211697</v>
      </c>
      <c r="BF20" s="316">
        <f>+VLOOKUP($A$1,data!$A$101:$AU$131,9)</f>
        <v>7.2049270000000012E-2</v>
      </c>
      <c r="BG20" s="316">
        <f>+VLOOKUP($A$1,data!$A$101:$AU$131,10)</f>
        <v>0.13653399999999999</v>
      </c>
      <c r="BH20" s="316">
        <f>+VLOOKUP($A$1,data!$A$101:$AU$131,11)</f>
        <v>9.1538999999999995E-2</v>
      </c>
      <c r="BI20" s="316">
        <f>+VLOOKUP($A$1,data!$A$101:$AU$131,12)</f>
        <v>0.15101500000000001</v>
      </c>
      <c r="BJ20" s="316">
        <f>+VLOOKUP($A$1,data!$A$101:$AU$131,13)</f>
        <v>0.15978764000000001</v>
      </c>
      <c r="BK20" s="316">
        <f>+VLOOKUP($A$1,data!$A$101:$AU$131,14)</f>
        <v>0.118115</v>
      </c>
      <c r="BL20" s="316">
        <f>SUM(AZ20:BK20)</f>
        <v>1.7486248499999999</v>
      </c>
      <c r="BM20" s="317">
        <f t="shared" si="2"/>
        <v>1.7486248499999999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402.20159070051994</v>
      </c>
      <c r="W21" s="671">
        <f>+VLOOKUP($A$1,data!$A$261:$AK$291,16)</f>
        <v>312</v>
      </c>
      <c r="X21" s="671">
        <f>+VLOOKUP($A$1,data!$A$261:$AK$291,36)</f>
        <v>803.93331293973677</v>
      </c>
      <c r="Y21" s="671">
        <f>+VLOOKUP($A$1,data!$A$261:$AK$291,17)</f>
        <v>668</v>
      </c>
      <c r="Z21" s="671">
        <f>+VLOOKUP($A$1,data!$A$261:$AK$291,37)</f>
        <v>1288.6739063933924</v>
      </c>
      <c r="AA21" s="671">
        <f>+VLOOKUP($A$1,data!$A$261:$AK$291,18)</f>
        <v>1090</v>
      </c>
      <c r="AB21" s="671">
        <f>+VLOOKUP($A$1,data!$A$261:$AK$291,34)</f>
        <v>1743.9999999999998</v>
      </c>
      <c r="AC21" s="671">
        <f>+VLOOKUP($A$1,data!$A$261:$AK$291,15)</f>
        <v>1398</v>
      </c>
      <c r="AD21" s="671">
        <f>+AA21-Z21</f>
        <v>-198.67390639339237</v>
      </c>
      <c r="AE21" s="684">
        <f>+AC21-AB21</f>
        <v>-345.99999999999977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27</v>
      </c>
      <c r="W22" s="672">
        <f>+VLOOKUP($A$1,data!$A$229:$AK$259,16)</f>
        <v>96</v>
      </c>
      <c r="X22" s="672">
        <f>+VLOOKUP($A$1,data!$A$229:$AK$259,36)</f>
        <v>53</v>
      </c>
      <c r="Y22" s="672">
        <f>+VLOOKUP($A$1,data!$A$229:$AK$259,17)</f>
        <v>192</v>
      </c>
      <c r="Z22" s="672">
        <f>+VLOOKUP($A$1,data!$A$229:$AK$259,37)</f>
        <v>98</v>
      </c>
      <c r="AA22" s="672">
        <f>+VLOOKUP($A$1,data!$A$229:$AK$259,18)</f>
        <v>217</v>
      </c>
      <c r="AB22" s="672">
        <f>+VLOOKUP($A$1,data!$A$229:$AK$259,34)</f>
        <v>178</v>
      </c>
      <c r="AC22" s="765">
        <f>+VLOOKUP($A$1,data!$A$229:$AK$259,15)</f>
        <v>224</v>
      </c>
      <c r="AD22" s="671">
        <f>+AA22-Z22</f>
        <v>119</v>
      </c>
      <c r="AE22" s="685">
        <f>+AC22-AB22</f>
        <v>46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429.20159070051994</v>
      </c>
      <c r="W23" s="689">
        <f t="shared" ref="W23:AC23" si="3">SUM(W21:W22)</f>
        <v>408</v>
      </c>
      <c r="X23" s="689">
        <f t="shared" si="3"/>
        <v>856.93331293973677</v>
      </c>
      <c r="Y23" s="689">
        <f t="shared" si="3"/>
        <v>860</v>
      </c>
      <c r="Z23" s="689">
        <f t="shared" si="3"/>
        <v>1386.6739063933924</v>
      </c>
      <c r="AA23" s="689">
        <f t="shared" si="3"/>
        <v>1307</v>
      </c>
      <c r="AB23" s="689">
        <f t="shared" si="3"/>
        <v>1921.9999999999998</v>
      </c>
      <c r="AC23" s="764">
        <f t="shared" si="3"/>
        <v>1622</v>
      </c>
      <c r="AD23" s="689">
        <f>+AA23-Z23</f>
        <v>-79.673906393392372</v>
      </c>
      <c r="AE23" s="686">
        <f>+AC23-AB23</f>
        <v>-299.99999999999977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78" t="s">
        <v>117</v>
      </c>
      <c r="AZ37" s="878" t="s">
        <v>74</v>
      </c>
      <c r="BA37" s="878" t="s">
        <v>75</v>
      </c>
      <c r="BB37" s="878" t="s">
        <v>76</v>
      </c>
      <c r="BC37" s="878" t="s">
        <v>118</v>
      </c>
      <c r="BD37" s="878" t="s">
        <v>77</v>
      </c>
      <c r="BE37" s="878" t="s">
        <v>78</v>
      </c>
      <c r="BF37" s="878" t="s">
        <v>79</v>
      </c>
      <c r="BG37" s="878" t="s">
        <v>119</v>
      </c>
      <c r="BH37" s="878" t="s">
        <v>80</v>
      </c>
      <c r="BI37" s="878" t="s">
        <v>81</v>
      </c>
      <c r="BJ37" s="878" t="s">
        <v>82</v>
      </c>
      <c r="BK37" s="878" t="s">
        <v>120</v>
      </c>
      <c r="BL37" s="878" t="s">
        <v>83</v>
      </c>
      <c r="BM37" s="878" t="s">
        <v>84</v>
      </c>
      <c r="BN37" s="878" t="s">
        <v>85</v>
      </c>
      <c r="BO37" s="878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79"/>
      <c r="AZ38" s="879"/>
      <c r="BA38" s="879"/>
      <c r="BB38" s="879"/>
      <c r="BC38" s="879"/>
      <c r="BD38" s="879"/>
      <c r="BE38" s="879"/>
      <c r="BF38" s="879"/>
      <c r="BG38" s="879"/>
      <c r="BH38" s="879"/>
      <c r="BI38" s="879"/>
      <c r="BJ38" s="879"/>
      <c r="BK38" s="879"/>
      <c r="BL38" s="879"/>
      <c r="BM38" s="879"/>
      <c r="BN38" s="879"/>
      <c r="BO38" s="879"/>
    </row>
    <row r="39" spans="1:67" ht="22.5" thickTop="1" thickBot="1" x14ac:dyDescent="0.4">
      <c r="A39"/>
      <c r="B39" s="405" t="s">
        <v>92</v>
      </c>
      <c r="C39" s="406">
        <f>+B18</f>
        <v>86</v>
      </c>
      <c r="D39" s="406">
        <f t="shared" ref="D39:N41" si="4">+C39+C18</f>
        <v>193</v>
      </c>
      <c r="E39" s="406">
        <f t="shared" si="4"/>
        <v>353</v>
      </c>
      <c r="F39" s="406">
        <f t="shared" si="4"/>
        <v>421</v>
      </c>
      <c r="G39" s="406">
        <f t="shared" si="4"/>
        <v>639</v>
      </c>
      <c r="H39" s="406">
        <f t="shared" si="4"/>
        <v>757</v>
      </c>
      <c r="I39" s="406">
        <f t="shared" si="4"/>
        <v>886</v>
      </c>
      <c r="J39" s="406">
        <f t="shared" si="4"/>
        <v>1113</v>
      </c>
      <c r="K39" s="406">
        <f t="shared" si="4"/>
        <v>1413</v>
      </c>
      <c r="L39" s="406">
        <f t="shared" si="4"/>
        <v>1628</v>
      </c>
      <c r="M39" s="406">
        <f t="shared" si="4"/>
        <v>1872</v>
      </c>
      <c r="N39" s="406">
        <f t="shared" si="4"/>
        <v>2157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0.55544247000000002</v>
      </c>
      <c r="AL39" s="418">
        <f t="shared" ref="AL39:AV41" si="5">+AK39+AK18</f>
        <v>1.1337453399999999</v>
      </c>
      <c r="AM39" s="418">
        <f t="shared" si="5"/>
        <v>1.6710966699999998</v>
      </c>
      <c r="AN39" s="418">
        <f t="shared" si="5"/>
        <v>2.2631508799999995</v>
      </c>
      <c r="AO39" s="418">
        <f t="shared" si="5"/>
        <v>2.8408786999999993</v>
      </c>
      <c r="AP39" s="418">
        <f t="shared" si="5"/>
        <v>3.4041481799999991</v>
      </c>
      <c r="AQ39" s="418">
        <f t="shared" si="5"/>
        <v>4.0256501499999988</v>
      </c>
      <c r="AR39" s="418">
        <f t="shared" si="5"/>
        <v>4.6552212499999985</v>
      </c>
      <c r="AS39" s="418">
        <f t="shared" si="5"/>
        <v>5.2737889699999982</v>
      </c>
      <c r="AT39" s="418">
        <f t="shared" si="5"/>
        <v>5.9103309699999986</v>
      </c>
      <c r="AU39" s="418">
        <f t="shared" si="5"/>
        <v>6.4567009499999983</v>
      </c>
      <c r="AV39" s="418">
        <f t="shared" si="5"/>
        <v>7.0730539999999982</v>
      </c>
      <c r="AW39" s="158"/>
      <c r="AX39" s="158"/>
      <c r="AY39" s="747" t="s">
        <v>92</v>
      </c>
      <c r="AZ39" s="714">
        <f>+VLOOKUP($A$1,data!$A$133:$BK$163,26)</f>
        <v>19.490123292158646</v>
      </c>
      <c r="BA39" s="714">
        <f>+VLOOKUP($A$1,data!$A$133:$BK$163,27)</f>
        <v>15.580051216947746</v>
      </c>
      <c r="BB39" s="714">
        <f>+VLOOKUP($A$1,data!$A$133:$BK$163,28)</f>
        <v>24.906274920109269</v>
      </c>
      <c r="BC39" s="714">
        <f>+VLOOKUP($A$1,data!$A$133:$BK$163,29)</f>
        <v>20.062776317871755</v>
      </c>
      <c r="BD39" s="714">
        <f>+VLOOKUP($A$1,data!$A$133:$BK$163,30)</f>
        <v>21.909560346498829</v>
      </c>
      <c r="BE39" s="714">
        <f>+VLOOKUP($A$1,data!$A$133:$BK$163,31)</f>
        <v>21.236941735594094</v>
      </c>
      <c r="BF39" s="714">
        <f>+VLOOKUP($A$1,data!$A$133:$BK$163,32)</f>
        <v>26.919491613385372</v>
      </c>
      <c r="BG39" s="714">
        <f>+VLOOKUP($A$1,data!$A$133:$BK$163,33)</f>
        <v>21.79637800436927</v>
      </c>
      <c r="BH39" s="714">
        <f>+VLOOKUP($A$1,data!$A$133:$BK$163,34)</f>
        <v>18.531699935465209</v>
      </c>
      <c r="BI39" s="714">
        <f>+VLOOKUP($A$1,data!$A$133:$BK$163,35)</f>
        <v>16.691226720619905</v>
      </c>
      <c r="BJ39" s="714">
        <f>+VLOOKUP($A$1,data!$A$133:$BK$163,36)</f>
        <v>14.363082597054518</v>
      </c>
      <c r="BK39" s="714">
        <f>+VLOOKUP($A$1,data!$A$133:$BK$163,37)</f>
        <v>20.018495535967393</v>
      </c>
      <c r="BL39" s="714">
        <f>+VLOOKUP($A$1,data!$A$133:$BK$163,38)</f>
        <v>14.95911303132686</v>
      </c>
      <c r="BM39" s="714">
        <f>+VLOOKUP($A$1,data!$A$133:$BK$163,39)</f>
        <v>26.884006540722961</v>
      </c>
      <c r="BN39" s="714">
        <f>+VLOOKUP($A$1,data!$A$133:$BK$163,40)</f>
        <v>17.227494007131003</v>
      </c>
      <c r="BO39" s="714">
        <f>+VLOOKUP($A$1,data!$A$133:$BK$163,41)</f>
        <v>19.935358169365326</v>
      </c>
    </row>
    <row r="40" spans="1:67" ht="21.75" thickBot="1" x14ac:dyDescent="0.4">
      <c r="A40"/>
      <c r="B40" s="408" t="s">
        <v>94</v>
      </c>
      <c r="C40" s="409">
        <f>+B19</f>
        <v>156.68797797491584</v>
      </c>
      <c r="D40" s="409">
        <f t="shared" si="4"/>
        <v>269.86784949525844</v>
      </c>
      <c r="E40" s="409">
        <f t="shared" si="4"/>
        <v>429.20159070051994</v>
      </c>
      <c r="F40" s="409">
        <f t="shared" si="4"/>
        <v>548.26093606607515</v>
      </c>
      <c r="G40" s="409">
        <f t="shared" si="4"/>
        <v>712.5922300397674</v>
      </c>
      <c r="H40" s="409">
        <f t="shared" si="4"/>
        <v>856.93331293973677</v>
      </c>
      <c r="I40" s="409">
        <f t="shared" si="4"/>
        <v>1014.2092382991739</v>
      </c>
      <c r="J40" s="409">
        <f t="shared" si="4"/>
        <v>1152.3768736616701</v>
      </c>
      <c r="K40" s="409">
        <f t="shared" si="4"/>
        <v>1386.6739063933924</v>
      </c>
      <c r="L40" s="409">
        <f t="shared" si="4"/>
        <v>1540.7161211379625</v>
      </c>
      <c r="M40" s="409">
        <f t="shared" si="4"/>
        <v>1702.4016518813091</v>
      </c>
      <c r="N40" s="409">
        <f t="shared" si="4"/>
        <v>1921.9999999999998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0.63083299999999998</v>
      </c>
      <c r="AL40" s="423">
        <f t="shared" si="5"/>
        <v>1.269712</v>
      </c>
      <c r="AM40" s="423">
        <f t="shared" si="5"/>
        <v>1.8872070000000001</v>
      </c>
      <c r="AN40" s="423">
        <f t="shared" si="5"/>
        <v>2.5579809999999998</v>
      </c>
      <c r="AO40" s="423">
        <f t="shared" si="5"/>
        <v>3.1974389999999997</v>
      </c>
      <c r="AP40" s="423">
        <f t="shared" si="5"/>
        <v>3.8189079999999995</v>
      </c>
      <c r="AQ40" s="423">
        <f t="shared" si="5"/>
        <v>4.4911939999999992</v>
      </c>
      <c r="AR40" s="423">
        <f t="shared" si="5"/>
        <v>5.1671139999999989</v>
      </c>
      <c r="AS40" s="423">
        <f t="shared" si="5"/>
        <v>5.8498089999999987</v>
      </c>
      <c r="AT40" s="423">
        <f t="shared" si="5"/>
        <v>6.5314709999999989</v>
      </c>
      <c r="AU40" s="423">
        <f t="shared" si="5"/>
        <v>7.176296999999999</v>
      </c>
      <c r="AV40" s="423">
        <f t="shared" si="5"/>
        <v>7.8523919999999992</v>
      </c>
      <c r="AW40" s="158"/>
      <c r="AX40" s="158"/>
      <c r="AY40" s="748" t="s">
        <v>94</v>
      </c>
      <c r="AZ40" s="715">
        <f>+VLOOKUP($A$1,data!$A$133:$BK$163,22)</f>
        <v>20</v>
      </c>
      <c r="BA40" s="715">
        <f>+$AZ$40</f>
        <v>20</v>
      </c>
      <c r="BB40" s="715">
        <f t="shared" ref="BB40:BO40" si="6">+$AZ$40</f>
        <v>20</v>
      </c>
      <c r="BC40" s="715">
        <f t="shared" si="6"/>
        <v>20</v>
      </c>
      <c r="BD40" s="715">
        <f t="shared" si="6"/>
        <v>20</v>
      </c>
      <c r="BE40" s="715">
        <f t="shared" si="6"/>
        <v>20</v>
      </c>
      <c r="BF40" s="715">
        <f t="shared" si="6"/>
        <v>20</v>
      </c>
      <c r="BG40" s="715">
        <f t="shared" si="6"/>
        <v>20</v>
      </c>
      <c r="BH40" s="715">
        <f t="shared" si="6"/>
        <v>20</v>
      </c>
      <c r="BI40" s="715">
        <f t="shared" si="6"/>
        <v>20</v>
      </c>
      <c r="BJ40" s="715">
        <f t="shared" si="6"/>
        <v>20</v>
      </c>
      <c r="BK40" s="715">
        <f t="shared" si="6"/>
        <v>20</v>
      </c>
      <c r="BL40" s="715">
        <f t="shared" si="6"/>
        <v>20</v>
      </c>
      <c r="BM40" s="715">
        <f t="shared" si="6"/>
        <v>20</v>
      </c>
      <c r="BN40" s="715">
        <f t="shared" si="6"/>
        <v>20</v>
      </c>
      <c r="BO40" s="715">
        <f t="shared" si="6"/>
        <v>20</v>
      </c>
    </row>
    <row r="41" spans="1:67" ht="21.75" thickBot="1" x14ac:dyDescent="0.4">
      <c r="A41"/>
      <c r="B41" s="413" t="s">
        <v>93</v>
      </c>
      <c r="C41" s="414">
        <f>+B20</f>
        <v>77</v>
      </c>
      <c r="D41" s="414">
        <f t="shared" si="4"/>
        <v>243</v>
      </c>
      <c r="E41" s="414">
        <f t="shared" si="4"/>
        <v>408</v>
      </c>
      <c r="F41" s="414">
        <f t="shared" si="4"/>
        <v>576</v>
      </c>
      <c r="G41" s="414">
        <f t="shared" si="4"/>
        <v>705</v>
      </c>
      <c r="H41" s="414">
        <f t="shared" si="4"/>
        <v>860</v>
      </c>
      <c r="I41" s="414">
        <f t="shared" si="4"/>
        <v>1009</v>
      </c>
      <c r="J41" s="414">
        <f t="shared" si="4"/>
        <v>1175</v>
      </c>
      <c r="K41" s="414">
        <f t="shared" si="4"/>
        <v>1307</v>
      </c>
      <c r="L41" s="414">
        <f t="shared" si="4"/>
        <v>1410</v>
      </c>
      <c r="M41" s="414">
        <f t="shared" si="4"/>
        <v>1522</v>
      </c>
      <c r="N41" s="414">
        <f t="shared" si="4"/>
        <v>1622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0.57592892000000007</v>
      </c>
      <c r="AL41" s="420">
        <f t="shared" si="5"/>
        <v>1.1775394400000001</v>
      </c>
      <c r="AM41" s="420">
        <f t="shared" si="5"/>
        <v>1.7898364400000002</v>
      </c>
      <c r="AN41" s="420">
        <f t="shared" si="5"/>
        <v>2.4103039000000002</v>
      </c>
      <c r="AO41" s="420">
        <f t="shared" si="5"/>
        <v>3.0206899000000003</v>
      </c>
      <c r="AP41" s="420">
        <f t="shared" si="5"/>
        <v>3.6021639000000003</v>
      </c>
      <c r="AQ41" s="420">
        <f t="shared" si="5"/>
        <v>4.26457263</v>
      </c>
      <c r="AR41" s="420">
        <f t="shared" si="5"/>
        <v>4.88839763</v>
      </c>
      <c r="AS41" s="420">
        <f t="shared" si="5"/>
        <v>5.5296126299999999</v>
      </c>
      <c r="AT41" s="420">
        <f t="shared" si="5"/>
        <v>6.1493356299999995</v>
      </c>
      <c r="AU41" s="420">
        <f t="shared" si="5"/>
        <v>6.7748479899999996</v>
      </c>
      <c r="AV41" s="420">
        <f t="shared" si="5"/>
        <v>7.4268999899999999</v>
      </c>
      <c r="AW41" s="158"/>
      <c r="AX41" s="158"/>
      <c r="AY41" s="749" t="s">
        <v>93</v>
      </c>
      <c r="AZ41" s="716">
        <f>+VLOOKUP($A$1,data!$A$133:$BK$163,3)</f>
        <v>22.393031976748098</v>
      </c>
      <c r="BA41" s="716">
        <f>+VLOOKUP($A$1,data!$A$133:$BK$163,4)</f>
        <v>23.014988609455266</v>
      </c>
      <c r="BB41" s="716">
        <f>+VLOOKUP($A$1,data!$A$133:$BK$163,5)</f>
        <v>24.039227362387884</v>
      </c>
      <c r="BC41" s="716">
        <f>+VLOOKUP($A$1,data!$A$133:$BK$163,6)</f>
        <v>23.171245888081746</v>
      </c>
      <c r="BD41" s="716">
        <f>+VLOOKUP($A$1,data!$A$133:$BK$163,7)</f>
        <v>20.992711096677542</v>
      </c>
      <c r="BE41" s="716">
        <f>+VLOOKUP($A$1,data!$A$133:$BK$163,8)</f>
        <v>14.462646617805744</v>
      </c>
      <c r="BF41" s="716">
        <f>+VLOOKUP($A$1,data!$A$133:$BK$163,9)</f>
        <v>26.689957146693459</v>
      </c>
      <c r="BG41" s="716">
        <f>+VLOOKUP($A$1,data!$A$133:$BK$163,10)</f>
        <v>22.060358239372547</v>
      </c>
      <c r="BH41" s="716">
        <f>+VLOOKUP($A$1,data!$A$133:$BK$163,11)</f>
        <v>9.8098557031171296</v>
      </c>
      <c r="BI41" s="716">
        <f>+VLOOKUP($A$1,data!$A$133:$BK$163,12)</f>
        <v>17.9565179079882</v>
      </c>
      <c r="BJ41" s="716">
        <f>+VLOOKUP($A$1,data!$A$133:$BK$163,13)</f>
        <v>12.492459952453347</v>
      </c>
      <c r="BK41" s="716">
        <f>+VLOOKUP($A$1,data!$A$133:$BK$163,14)</f>
        <v>19.267576816256959</v>
      </c>
      <c r="BL41" s="716">
        <f>+VLOOKUP($A$1,data!$A$133:$BK$163,15)</f>
        <v>19.593558381706881</v>
      </c>
      <c r="BM41" s="716">
        <f>+VLOOKUP($A$1,data!$A$133:$BK$163,16)</f>
        <v>20.34733732331593</v>
      </c>
      <c r="BN41" s="716">
        <f>+VLOOKUP($A$1,data!$A$133:$BK$163,17)</f>
        <v>15.336284208489847</v>
      </c>
      <c r="BO41" s="716">
        <f>+VLOOKUP($A$1,data!$A$133:$BK$163,18)</f>
        <v>19.057391625480243</v>
      </c>
    </row>
    <row r="42" spans="1:67" ht="35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746" t="s">
        <v>117</v>
      </c>
      <c r="AZ42" s="880" t="s">
        <v>152</v>
      </c>
      <c r="BA42" s="881"/>
      <c r="BB42" s="750" t="s">
        <v>125</v>
      </c>
      <c r="BC42" s="753"/>
      <c r="BD42" s="753"/>
      <c r="BE42" s="754"/>
      <c r="BF42" s="754"/>
      <c r="BG42" s="754"/>
      <c r="BH42" s="754"/>
      <c r="BI42" s="754"/>
      <c r="BJ42" s="754"/>
      <c r="BK42" s="754"/>
      <c r="BL42" s="754"/>
      <c r="BM42" s="754"/>
      <c r="BN42" s="754"/>
      <c r="BO42" s="754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747" t="s">
        <v>92</v>
      </c>
      <c r="AZ43" s="882">
        <f>+VLOOKUP($A$1,data!$A$133:$BK$163,55)</f>
        <v>19.935358169365326</v>
      </c>
      <c r="BA43" s="883">
        <f>+VLOOKUP($A$1,data!$A$133:$BK$163,26)</f>
        <v>19.490123292158646</v>
      </c>
      <c r="BB43" s="751">
        <f>+AZ45-AZ43</f>
        <v>-0.87796654388508344</v>
      </c>
      <c r="BC43" s="753"/>
      <c r="BD43" s="753"/>
      <c r="BE43" s="754"/>
      <c r="BF43" s="754"/>
      <c r="BG43" s="754"/>
      <c r="BH43" s="754"/>
      <c r="BI43" s="754"/>
      <c r="BJ43" s="754"/>
      <c r="BK43" s="754"/>
      <c r="BL43" s="754"/>
      <c r="BM43" s="754"/>
      <c r="BN43" s="754"/>
      <c r="BO43" s="754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748" t="s">
        <v>94</v>
      </c>
      <c r="AZ44" s="884">
        <f>+AZ40</f>
        <v>20</v>
      </c>
      <c r="BA44" s="885"/>
      <c r="BB44" s="752">
        <f>+AZ45-AZ44</f>
        <v>-0.94260837451975732</v>
      </c>
      <c r="BC44" s="753"/>
      <c r="BD44" s="753"/>
      <c r="BE44" s="754"/>
      <c r="BF44" s="754"/>
      <c r="BG44" s="754"/>
      <c r="BH44" s="754"/>
      <c r="BI44" s="754"/>
      <c r="BJ44" s="754"/>
      <c r="BK44" s="754"/>
      <c r="BL44" s="754"/>
      <c r="BM44" s="754"/>
      <c r="BN44" s="754"/>
      <c r="BO44" s="754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749" t="s">
        <v>93</v>
      </c>
      <c r="AZ45" s="886">
        <f>+BO41</f>
        <v>19.057391625480243</v>
      </c>
      <c r="BA45" s="887"/>
      <c r="BB45" s="749"/>
      <c r="BC45" s="753"/>
      <c r="BD45" s="753"/>
      <c r="BE45" s="754"/>
      <c r="BF45" s="754"/>
      <c r="BG45" s="754"/>
      <c r="BH45" s="754"/>
      <c r="BI45" s="754"/>
      <c r="BJ45" s="754"/>
      <c r="BK45" s="754"/>
      <c r="BL45" s="754"/>
      <c r="BM45" s="754"/>
      <c r="BN45" s="754"/>
      <c r="BO45" s="754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755"/>
      <c r="AZ46" s="756"/>
      <c r="BA46" s="755"/>
      <c r="BB46" s="755"/>
      <c r="BC46" s="753"/>
      <c r="BD46" s="753"/>
      <c r="BE46" s="754"/>
      <c r="BF46" s="754"/>
      <c r="BG46" s="754"/>
      <c r="BH46" s="754"/>
      <c r="BI46" s="754"/>
      <c r="BJ46" s="754"/>
      <c r="BK46" s="754"/>
      <c r="BL46" s="754"/>
      <c r="BM46" s="754"/>
      <c r="BN46" s="754"/>
      <c r="BO46" s="754"/>
    </row>
    <row r="47" spans="1:67" ht="27" thickBot="1" x14ac:dyDescent="0.4">
      <c r="A47" s="248">
        <f>+A1</f>
        <v>1024</v>
      </c>
      <c r="B47" s="817" t="str">
        <f>+VLOOKUP($A$1,data!$A$4:$AH$32,2,0)</f>
        <v>เชียงราย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1024</v>
      </c>
      <c r="T47" s="817" t="str">
        <f>+VLOOKUP($A$1,data!$A$4:$AH$32,2,0)</f>
        <v>เชียงราย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1024</v>
      </c>
      <c r="AJ47" s="817" t="str">
        <f>+VLOOKUP($A$1,data!$A$4:$AH$32,2,0)</f>
        <v>เชียงราย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11.853536809999998</v>
      </c>
      <c r="C64" s="632">
        <f>+VLOOKUP($A$1,data!$A$165:$AU$195,36)</f>
        <v>12.21297627</v>
      </c>
      <c r="D64" s="632">
        <f>+VLOOKUP($A$1,data!$A$165:$AU$195,37)</f>
        <v>11.520040490000001</v>
      </c>
      <c r="E64" s="632">
        <f>+VLOOKUP($A$1,data!$A$165:$AU$195,38)</f>
        <v>12.350906009999997</v>
      </c>
      <c r="F64" s="632">
        <f>+VLOOKUP($A$1,data!$A$165:$AU$195,39)</f>
        <v>12.29662491</v>
      </c>
      <c r="G64" s="632">
        <f>+VLOOKUP($A$1,data!$A$165:$AU$195,40)</f>
        <v>11.740008920000001</v>
      </c>
      <c r="H64" s="632">
        <f>+VLOOKUP($A$1,data!$A$165:$AU$195,41)</f>
        <v>13.55899267</v>
      </c>
      <c r="I64" s="632">
        <f>+VLOOKUP($A$1,data!$A$165:$AU$195,42)</f>
        <v>13.208351240000002</v>
      </c>
      <c r="J64" s="632">
        <f>+VLOOKUP($A$1,data!$A$165:$AU$195,43)</f>
        <v>13.48645711</v>
      </c>
      <c r="K64" s="632">
        <f>+VLOOKUP($A$1,data!$A$165:$AU$195,44)</f>
        <v>13.334589790000001</v>
      </c>
      <c r="L64" s="632">
        <f>+VLOOKUP($A$1,data!$A$165:$AU$195,45)</f>
        <v>11.47105269</v>
      </c>
      <c r="M64" s="632">
        <f>+VLOOKUP($A$1,data!$A$165:$AU$195,46)</f>
        <v>13.222121710000001</v>
      </c>
      <c r="N64" s="632">
        <f>SUM(B64:M64)</f>
        <v>150.25565861999999</v>
      </c>
      <c r="O64" s="632">
        <f>SUM(B64:M64)</f>
        <v>150.25565861999999</v>
      </c>
      <c r="P64" s="635">
        <f>+O66-O64</f>
        <v>5.2238338399999975</v>
      </c>
      <c r="S64" s="605" t="s">
        <v>92</v>
      </c>
      <c r="T64" s="640">
        <f>+VLOOKUP($A$1,data!$A$197:$AU$227,35)</f>
        <v>4.0827699699999993</v>
      </c>
      <c r="U64" s="640">
        <f>+VLOOKUP($A$1,data!$A$197:$AU$227,36)</f>
        <v>4.263639959999999</v>
      </c>
      <c r="V64" s="640">
        <f>+VLOOKUP($A$1,data!$A$197:$AU$227,37)</f>
        <v>4.6912270400000011</v>
      </c>
      <c r="W64" s="640">
        <f>+VLOOKUP($A$1,data!$A$197:$AU$227,38)</f>
        <v>5.927308319999999</v>
      </c>
      <c r="X64" s="640">
        <f>+VLOOKUP($A$1,data!$A$197:$AU$227,39)</f>
        <v>2.4060215400000002</v>
      </c>
      <c r="Y64" s="640">
        <f>+VLOOKUP($A$1,data!$A$197:$AU$227,40)</f>
        <v>4.2817505100000011</v>
      </c>
      <c r="Z64" s="640">
        <f>+VLOOKUP($A$1,data!$A$197:$AU$227,41)</f>
        <v>4.1916347900000002</v>
      </c>
      <c r="AA64" s="640">
        <f>+VLOOKUP($A$1,data!$A$197:$AU$227,42)</f>
        <v>4.5707003199999994</v>
      </c>
      <c r="AB64" s="640">
        <f>+VLOOKUP($A$1,data!$A$197:$AU$227,43)</f>
        <v>4.44689304</v>
      </c>
      <c r="AC64" s="640">
        <f>+VLOOKUP($A$1,data!$A$197:$AU$227,44)</f>
        <v>4.082046870000001</v>
      </c>
      <c r="AD64" s="640">
        <f>+VLOOKUP($A$1,data!$A$197:$AU$227,45)</f>
        <v>4.1904450499999992</v>
      </c>
      <c r="AE64" s="640">
        <f>+VLOOKUP($A$1,data!$A$197:$AU$227,46)</f>
        <v>4.9471640499999996</v>
      </c>
      <c r="AF64" s="640">
        <f>SUM(T64:AE64)</f>
        <v>52.081601460000002</v>
      </c>
      <c r="AG64" s="640">
        <f>SUM(T64:AE64)</f>
        <v>52.081601460000002</v>
      </c>
      <c r="AH64" s="641">
        <f>+AG66-AG64</f>
        <v>-6.7810306600000061</v>
      </c>
      <c r="AI64" s="621" t="s">
        <v>92</v>
      </c>
      <c r="AJ64" s="648">
        <f>+B64-T64</f>
        <v>7.7707668399999985</v>
      </c>
      <c r="AK64" s="648">
        <f t="shared" ref="AK64:AU66" si="7">+C64-U64</f>
        <v>7.9493363100000014</v>
      </c>
      <c r="AL64" s="648">
        <f t="shared" si="7"/>
        <v>6.8288134500000002</v>
      </c>
      <c r="AM64" s="648">
        <f t="shared" si="7"/>
        <v>6.4235976899999985</v>
      </c>
      <c r="AN64" s="648">
        <f t="shared" si="7"/>
        <v>9.8906033700000009</v>
      </c>
      <c r="AO64" s="648">
        <f t="shared" si="7"/>
        <v>7.45825841</v>
      </c>
      <c r="AP64" s="648">
        <f t="shared" si="7"/>
        <v>9.3673578800000001</v>
      </c>
      <c r="AQ64" s="648">
        <f t="shared" si="7"/>
        <v>8.6376509200000022</v>
      </c>
      <c r="AR64" s="648">
        <f t="shared" si="7"/>
        <v>9.0395640700000008</v>
      </c>
      <c r="AS64" s="648">
        <f t="shared" si="7"/>
        <v>9.2525429199999998</v>
      </c>
      <c r="AT64" s="648">
        <f t="shared" si="7"/>
        <v>7.2806076400000013</v>
      </c>
      <c r="AU64" s="648">
        <f t="shared" si="7"/>
        <v>8.2749576600000019</v>
      </c>
      <c r="AV64" s="648">
        <f>SUM(AJ64:AU64)</f>
        <v>98.17405715999999</v>
      </c>
      <c r="AW64" s="648">
        <f>SUM(AJ64:AU64)</f>
        <v>98.17405715999999</v>
      </c>
      <c r="AX64" s="651">
        <f>+AW66-AW64</f>
        <v>12.004864499999996</v>
      </c>
    </row>
    <row r="65" spans="1:50" ht="21.75" thickBot="1" x14ac:dyDescent="0.4">
      <c r="A65" s="538" t="s">
        <v>94</v>
      </c>
      <c r="B65" s="633">
        <f>+VLOOKUP($A$1,data!$A$165:$AU$195,19)</f>
        <v>13.350443</v>
      </c>
      <c r="C65" s="633">
        <f>+VLOOKUP($A$1,data!$A$165:$AU$195,20)</f>
        <v>13.254683999999999</v>
      </c>
      <c r="D65" s="633">
        <f>+VLOOKUP($A$1,data!$A$165:$AU$195,21)</f>
        <v>13.021140000000001</v>
      </c>
      <c r="E65" s="633">
        <f>+VLOOKUP($A$1,data!$A$165:$AU$195,22)</f>
        <v>14.106705</v>
      </c>
      <c r="F65" s="633">
        <f>+VLOOKUP($A$1,data!$A$165:$AU$195,23)</f>
        <v>13.434366000000001</v>
      </c>
      <c r="G65" s="633">
        <f>+VLOOKUP($A$1,data!$A$165:$AU$195,24)</f>
        <v>12.975846000000001</v>
      </c>
      <c r="H65" s="633">
        <f>+VLOOKUP($A$1,data!$A$165:$AU$195,25)</f>
        <v>14.267351</v>
      </c>
      <c r="I65" s="633">
        <f>+VLOOKUP($A$1,data!$A$165:$AU$195,26)</f>
        <v>14.186472999999999</v>
      </c>
      <c r="J65" s="633">
        <f>+VLOOKUP($A$1,data!$A$165:$AU$195,27)</f>
        <v>14.504638</v>
      </c>
      <c r="K65" s="633">
        <f>+VLOOKUP($A$1,data!$A$165:$AU$195,28)</f>
        <v>14.526795</v>
      </c>
      <c r="L65" s="633">
        <f>+VLOOKUP($A$1,data!$A$165:$AU$195,29)</f>
        <v>13.433007</v>
      </c>
      <c r="M65" s="633">
        <f>+VLOOKUP($A$1,data!$A$165:$AU$195,30)</f>
        <v>14.170565</v>
      </c>
      <c r="N65" s="633">
        <f>SUM(B65:M65)</f>
        <v>165.23201300000002</v>
      </c>
      <c r="O65" s="636">
        <f t="shared" ref="O65:O66" si="8">SUM(B65:M65)</f>
        <v>165.23201300000002</v>
      </c>
      <c r="P65" s="637">
        <f>+O66-O65</f>
        <v>-9.7525205400000345</v>
      </c>
      <c r="S65" s="601" t="s">
        <v>94</v>
      </c>
      <c r="T65" s="642">
        <f>+VLOOKUP($A$1,data!$A$197:$AU$227,19)</f>
        <v>3.0067560000000002</v>
      </c>
      <c r="U65" s="642">
        <f>+VLOOKUP($A$1,data!$A$197:$AU$227,20)</f>
        <v>2.784735</v>
      </c>
      <c r="V65" s="642">
        <f>+VLOOKUP($A$1,data!$A$197:$AU$227,21)</f>
        <v>2.5326360000000001</v>
      </c>
      <c r="W65" s="642">
        <f>+VLOOKUP($A$1,data!$A$197:$AU$227,22)</f>
        <v>2.863127</v>
      </c>
      <c r="X65" s="642">
        <f>+VLOOKUP($A$1,data!$A$197:$AU$227,23)</f>
        <v>2.7778040000000002</v>
      </c>
      <c r="Y65" s="642">
        <f>+VLOOKUP($A$1,data!$A$197:$AU$227,24)</f>
        <v>2.9297680000000001</v>
      </c>
      <c r="Z65" s="642">
        <f>+VLOOKUP($A$1,data!$A$197:$AU$227,25)</f>
        <v>2.7095509999999998</v>
      </c>
      <c r="AA65" s="642">
        <f>+VLOOKUP($A$1,data!$A$197:$AU$227,26)</f>
        <v>2.854095</v>
      </c>
      <c r="AB65" s="642">
        <f>+VLOOKUP($A$1,data!$A$197:$AU$227,27)</f>
        <v>3.0391659999999998</v>
      </c>
      <c r="AC65" s="642">
        <f>+VLOOKUP($A$1,data!$A$197:$AU$227,28)</f>
        <v>2.8766340000000001</v>
      </c>
      <c r="AD65" s="642">
        <f>+VLOOKUP($A$1,data!$A$197:$AU$227,29)</f>
        <v>3.0316100000000001</v>
      </c>
      <c r="AE65" s="642">
        <f>+VLOOKUP($A$1,data!$A$197:$AU$227,30)</f>
        <v>3.2521100000000001</v>
      </c>
      <c r="AF65" s="642">
        <f>SUM(T65:AE65)</f>
        <v>34.657992</v>
      </c>
      <c r="AG65" s="643">
        <f t="shared" ref="AG65:AG66" si="9">SUM(T65:AE65)</f>
        <v>34.657992</v>
      </c>
      <c r="AH65" s="644">
        <f>+AG66-AG65</f>
        <v>10.642578799999995</v>
      </c>
      <c r="AI65" s="617" t="s">
        <v>94</v>
      </c>
      <c r="AJ65" s="649">
        <f>+B65-T65</f>
        <v>10.343686999999999</v>
      </c>
      <c r="AK65" s="649">
        <f t="shared" si="7"/>
        <v>10.469949</v>
      </c>
      <c r="AL65" s="649">
        <f t="shared" si="7"/>
        <v>10.488504000000001</v>
      </c>
      <c r="AM65" s="649">
        <f t="shared" si="7"/>
        <v>11.243577999999999</v>
      </c>
      <c r="AN65" s="649">
        <f t="shared" si="7"/>
        <v>10.656562000000001</v>
      </c>
      <c r="AO65" s="649">
        <f t="shared" si="7"/>
        <v>10.046078000000001</v>
      </c>
      <c r="AP65" s="649">
        <f t="shared" si="7"/>
        <v>11.5578</v>
      </c>
      <c r="AQ65" s="649">
        <f t="shared" si="7"/>
        <v>11.332377999999999</v>
      </c>
      <c r="AR65" s="649">
        <f t="shared" si="7"/>
        <v>11.465472</v>
      </c>
      <c r="AS65" s="649">
        <f t="shared" si="7"/>
        <v>11.650161000000001</v>
      </c>
      <c r="AT65" s="649">
        <f t="shared" si="7"/>
        <v>10.401396999999999</v>
      </c>
      <c r="AU65" s="649">
        <f t="shared" si="7"/>
        <v>10.918455</v>
      </c>
      <c r="AV65" s="649">
        <f>SUM(AJ65:AU65)</f>
        <v>130.57402100000002</v>
      </c>
      <c r="AW65" s="652">
        <f t="shared" ref="AW65:AW66" si="10">SUM(AJ65:AU65)</f>
        <v>130.57402100000002</v>
      </c>
      <c r="AX65" s="653">
        <f>+AW66-AW65</f>
        <v>-20.39509934000003</v>
      </c>
    </row>
    <row r="66" spans="1:50" ht="21.75" thickBot="1" x14ac:dyDescent="0.4">
      <c r="A66" s="546" t="s">
        <v>93</v>
      </c>
      <c r="B66" s="634">
        <f>+VLOOKUP($A$1,data!$A$165:$AU$195,3)</f>
        <v>11.91824113</v>
      </c>
      <c r="C66" s="634">
        <f>+VLOOKUP($A$1,data!$A$165:$AU$195,4)</f>
        <v>12.952982430000002</v>
      </c>
      <c r="D66" s="634">
        <f>+VLOOKUP($A$1,data!$A$165:$AU$195,5)</f>
        <v>12.78155844</v>
      </c>
      <c r="E66" s="634">
        <f>+VLOOKUP($A$1,data!$A$165:$AU$195,6)</f>
        <v>13.18934812</v>
      </c>
      <c r="F66" s="634">
        <f>+VLOOKUP($A$1,data!$A$165:$AU$195,7)</f>
        <v>12.777997339999999</v>
      </c>
      <c r="G66" s="634">
        <f>+VLOOKUP($A$1,data!$A$165:$AU$195,8)</f>
        <v>12.1493269</v>
      </c>
      <c r="H66" s="634">
        <f>+VLOOKUP($A$1,data!$A$165:$AU$195,9)</f>
        <v>13.75972515</v>
      </c>
      <c r="I66" s="634">
        <f>+VLOOKUP($A$1,data!$A$165:$AU$195,10)</f>
        <v>12.969646769999999</v>
      </c>
      <c r="J66" s="634">
        <f>+VLOOKUP($A$1,data!$A$165:$AU$195,11)</f>
        <v>13.51408309</v>
      </c>
      <c r="K66" s="634">
        <f>+VLOOKUP($A$1,data!$A$165:$AU$195,12)</f>
        <v>12.846805659999999</v>
      </c>
      <c r="L66" s="634">
        <f>+VLOOKUP($A$1,data!$A$165:$AU$195,13)</f>
        <v>13.05338409</v>
      </c>
      <c r="M66" s="634">
        <f>+VLOOKUP($A$1,data!$A$165:$AU$195,14)</f>
        <v>13.566393340000001</v>
      </c>
      <c r="N66" s="634">
        <f>SUM(B66:M66)</f>
        <v>155.47949245999999</v>
      </c>
      <c r="O66" s="638">
        <f t="shared" si="8"/>
        <v>155.47949245999999</v>
      </c>
      <c r="P66" s="639"/>
      <c r="S66" s="608" t="s">
        <v>93</v>
      </c>
      <c r="T66" s="645">
        <f>+VLOOKUP($A$1,data!$A$197:$AU$227,3)</f>
        <v>2.5183357499999999</v>
      </c>
      <c r="U66" s="645">
        <f>+VLOOKUP($A$1,data!$A$197:$AU$227,4)</f>
        <v>2.7735007400000002</v>
      </c>
      <c r="V66" s="645">
        <f>+VLOOKUP($A$1,data!$A$197:$AU$227,5)</f>
        <v>3.0148230599999999</v>
      </c>
      <c r="W66" s="645">
        <f>+VLOOKUP($A$1,data!$A$197:$AU$227,6)</f>
        <v>3.5801809500000004</v>
      </c>
      <c r="X66" s="645">
        <f>+VLOOKUP($A$1,data!$A$197:$AU$227,7)</f>
        <v>3.5964437299999998</v>
      </c>
      <c r="Y66" s="645">
        <f>+VLOOKUP($A$1,data!$A$197:$AU$227,8)</f>
        <v>4.0386030199999992</v>
      </c>
      <c r="Z66" s="645">
        <f>+VLOOKUP($A$1,data!$A$197:$AU$227,9)</f>
        <v>3.6452180100000002</v>
      </c>
      <c r="AA66" s="645">
        <f>+VLOOKUP($A$1,data!$A$197:$AU$227,10)</f>
        <v>4.2221953999999995</v>
      </c>
      <c r="AB66" s="645">
        <f>+VLOOKUP($A$1,data!$A$197:$AU$227,11)</f>
        <v>4.4399017800000005</v>
      </c>
      <c r="AC66" s="645">
        <f>+VLOOKUP($A$1,data!$A$197:$AU$227,12)</f>
        <v>4.423341699999999</v>
      </c>
      <c r="AD66" s="645">
        <f>+VLOOKUP($A$1,data!$A$197:$AU$227,13)</f>
        <v>4.5227748399999994</v>
      </c>
      <c r="AE66" s="645">
        <f>+VLOOKUP($A$1,data!$A$197:$AU$227,14)</f>
        <v>4.5252518200000003</v>
      </c>
      <c r="AF66" s="645">
        <f>SUM(T66:AE66)</f>
        <v>45.300570799999996</v>
      </c>
      <c r="AG66" s="646">
        <f t="shared" si="9"/>
        <v>45.300570799999996</v>
      </c>
      <c r="AH66" s="647"/>
      <c r="AI66" s="624" t="s">
        <v>93</v>
      </c>
      <c r="AJ66" s="650">
        <f>+B66-T66</f>
        <v>9.3999053799999999</v>
      </c>
      <c r="AK66" s="650">
        <f t="shared" si="7"/>
        <v>10.179481690000003</v>
      </c>
      <c r="AL66" s="650">
        <f t="shared" si="7"/>
        <v>9.7667353800000001</v>
      </c>
      <c r="AM66" s="650">
        <f t="shared" si="7"/>
        <v>9.6091671699999992</v>
      </c>
      <c r="AN66" s="650">
        <f t="shared" si="7"/>
        <v>9.1815536099999981</v>
      </c>
      <c r="AO66" s="650">
        <f t="shared" si="7"/>
        <v>8.1107238800000019</v>
      </c>
      <c r="AP66" s="650">
        <f t="shared" si="7"/>
        <v>10.114507139999999</v>
      </c>
      <c r="AQ66" s="650">
        <f t="shared" si="7"/>
        <v>8.7474513700000003</v>
      </c>
      <c r="AR66" s="650">
        <f t="shared" si="7"/>
        <v>9.0741813100000002</v>
      </c>
      <c r="AS66" s="650">
        <f>+K66-AC66</f>
        <v>8.4234639599999994</v>
      </c>
      <c r="AT66" s="650">
        <f>+L66-AD66</f>
        <v>8.5306092500000013</v>
      </c>
      <c r="AU66" s="650">
        <f>+M66-AE66</f>
        <v>9.04114152</v>
      </c>
      <c r="AV66" s="650">
        <f>SUM(AJ66:AU66)</f>
        <v>110.17892165999999</v>
      </c>
      <c r="AW66" s="654">
        <f t="shared" si="10"/>
        <v>110.17892165999999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11.853536809999998</v>
      </c>
      <c r="D85" s="628">
        <f t="shared" ref="D85:N87" si="11">+C85+C64</f>
        <v>24.06651308</v>
      </c>
      <c r="E85" s="628">
        <f t="shared" si="11"/>
        <v>35.58655357</v>
      </c>
      <c r="F85" s="628">
        <f t="shared" si="11"/>
        <v>47.937459579999995</v>
      </c>
      <c r="G85" s="628">
        <f t="shared" si="11"/>
        <v>60.234084489999994</v>
      </c>
      <c r="H85" s="628">
        <f t="shared" si="11"/>
        <v>71.974093409999995</v>
      </c>
      <c r="I85" s="628">
        <f t="shared" si="11"/>
        <v>85.53308607999999</v>
      </c>
      <c r="J85" s="628">
        <f t="shared" si="11"/>
        <v>98.741437319999989</v>
      </c>
      <c r="K85" s="628">
        <f t="shared" si="11"/>
        <v>112.22789442999999</v>
      </c>
      <c r="L85" s="628">
        <f t="shared" si="11"/>
        <v>125.56248421999999</v>
      </c>
      <c r="M85" s="628">
        <f t="shared" si="11"/>
        <v>137.03353690999998</v>
      </c>
      <c r="N85" s="628">
        <f t="shared" si="11"/>
        <v>150.25565861999999</v>
      </c>
      <c r="S85"/>
      <c r="T85" s="605" t="s">
        <v>92</v>
      </c>
      <c r="U85" s="640">
        <f>+T64</f>
        <v>4.0827699699999993</v>
      </c>
      <c r="V85" s="640">
        <f t="shared" ref="V85:AF87" si="12">+U85+U64</f>
        <v>8.3464099299999983</v>
      </c>
      <c r="W85" s="640">
        <f t="shared" si="12"/>
        <v>13.037636969999999</v>
      </c>
      <c r="X85" s="640">
        <f t="shared" si="12"/>
        <v>18.964945289999999</v>
      </c>
      <c r="Y85" s="640">
        <f t="shared" si="12"/>
        <v>21.37096683</v>
      </c>
      <c r="Z85" s="640">
        <f t="shared" si="12"/>
        <v>25.652717340000002</v>
      </c>
      <c r="AA85" s="640">
        <f t="shared" si="12"/>
        <v>29.844352130000004</v>
      </c>
      <c r="AB85" s="640">
        <f t="shared" si="12"/>
        <v>34.415052450000005</v>
      </c>
      <c r="AC85" s="640">
        <f t="shared" si="12"/>
        <v>38.861945490000004</v>
      </c>
      <c r="AD85" s="640">
        <f t="shared" si="12"/>
        <v>42.943992360000003</v>
      </c>
      <c r="AE85" s="640">
        <f t="shared" si="12"/>
        <v>47.134437410000004</v>
      </c>
      <c r="AF85" s="640">
        <f t="shared" si="12"/>
        <v>52.081601460000002</v>
      </c>
      <c r="AG85" s="158"/>
      <c r="AH85" s="158"/>
      <c r="AI85"/>
      <c r="AJ85" s="621" t="s">
        <v>92</v>
      </c>
      <c r="AK85" s="648">
        <f>+AJ64</f>
        <v>7.7707668399999985</v>
      </c>
      <c r="AL85" s="648">
        <f t="shared" ref="AL85:AV87" si="13">+AK85+AK64</f>
        <v>15.72010315</v>
      </c>
      <c r="AM85" s="648">
        <f t="shared" si="13"/>
        <v>22.548916599999998</v>
      </c>
      <c r="AN85" s="648">
        <f t="shared" si="13"/>
        <v>28.972514289999996</v>
      </c>
      <c r="AO85" s="648">
        <f t="shared" si="13"/>
        <v>38.86311766</v>
      </c>
      <c r="AP85" s="648">
        <f t="shared" si="13"/>
        <v>46.321376069999999</v>
      </c>
      <c r="AQ85" s="648">
        <f t="shared" si="13"/>
        <v>55.68873395</v>
      </c>
      <c r="AR85" s="648">
        <f t="shared" si="13"/>
        <v>64.326384869999998</v>
      </c>
      <c r="AS85" s="648">
        <f t="shared" si="13"/>
        <v>73.365948939999996</v>
      </c>
      <c r="AT85" s="648">
        <f t="shared" si="13"/>
        <v>82.618491859999992</v>
      </c>
      <c r="AU85" s="648">
        <f t="shared" si="13"/>
        <v>89.899099499999991</v>
      </c>
      <c r="AV85" s="648">
        <f t="shared" si="13"/>
        <v>98.17405715999999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13.350443</v>
      </c>
      <c r="D86" s="633">
        <f t="shared" si="11"/>
        <v>26.605127</v>
      </c>
      <c r="E86" s="633">
        <f t="shared" si="11"/>
        <v>39.626266999999999</v>
      </c>
      <c r="F86" s="633">
        <f t="shared" si="11"/>
        <v>53.732971999999997</v>
      </c>
      <c r="G86" s="633">
        <f t="shared" si="11"/>
        <v>67.167338000000001</v>
      </c>
      <c r="H86" s="633">
        <f t="shared" si="11"/>
        <v>80.143184000000005</v>
      </c>
      <c r="I86" s="633">
        <f t="shared" si="11"/>
        <v>94.41053500000001</v>
      </c>
      <c r="J86" s="633">
        <f t="shared" si="11"/>
        <v>108.59700800000002</v>
      </c>
      <c r="K86" s="633">
        <f t="shared" si="11"/>
        <v>123.10164600000002</v>
      </c>
      <c r="L86" s="633">
        <f t="shared" si="11"/>
        <v>137.62844100000001</v>
      </c>
      <c r="M86" s="633">
        <f t="shared" si="11"/>
        <v>151.06144800000001</v>
      </c>
      <c r="N86" s="633">
        <f t="shared" si="11"/>
        <v>165.23201300000002</v>
      </c>
      <c r="S86"/>
      <c r="T86" s="601" t="s">
        <v>94</v>
      </c>
      <c r="U86" s="642">
        <f>+T65</f>
        <v>3.0067560000000002</v>
      </c>
      <c r="V86" s="642">
        <f t="shared" si="12"/>
        <v>5.7914910000000006</v>
      </c>
      <c r="W86" s="642">
        <f t="shared" si="12"/>
        <v>8.3241270000000007</v>
      </c>
      <c r="X86" s="642">
        <f t="shared" si="12"/>
        <v>11.187254000000001</v>
      </c>
      <c r="Y86" s="642">
        <f t="shared" si="12"/>
        <v>13.965058000000001</v>
      </c>
      <c r="Z86" s="642">
        <f t="shared" si="12"/>
        <v>16.894826000000002</v>
      </c>
      <c r="AA86" s="642">
        <f t="shared" si="12"/>
        <v>19.604377000000003</v>
      </c>
      <c r="AB86" s="642">
        <f t="shared" si="12"/>
        <v>22.458472000000004</v>
      </c>
      <c r="AC86" s="642">
        <f t="shared" si="12"/>
        <v>25.497638000000002</v>
      </c>
      <c r="AD86" s="642">
        <f t="shared" si="12"/>
        <v>28.374272000000001</v>
      </c>
      <c r="AE86" s="642">
        <f t="shared" si="12"/>
        <v>31.405882000000002</v>
      </c>
      <c r="AF86" s="642">
        <f t="shared" si="12"/>
        <v>34.657992</v>
      </c>
      <c r="AG86" s="158"/>
      <c r="AH86" s="158"/>
      <c r="AI86"/>
      <c r="AJ86" s="617" t="s">
        <v>94</v>
      </c>
      <c r="AK86" s="649">
        <f>+AJ65</f>
        <v>10.343686999999999</v>
      </c>
      <c r="AL86" s="649">
        <f t="shared" si="13"/>
        <v>20.813635999999999</v>
      </c>
      <c r="AM86" s="649">
        <f t="shared" si="13"/>
        <v>31.302140000000001</v>
      </c>
      <c r="AN86" s="649">
        <f t="shared" si="13"/>
        <v>42.545718000000001</v>
      </c>
      <c r="AO86" s="649">
        <f t="shared" si="13"/>
        <v>53.202280000000002</v>
      </c>
      <c r="AP86" s="649">
        <f t="shared" si="13"/>
        <v>63.248358000000003</v>
      </c>
      <c r="AQ86" s="649">
        <f t="shared" si="13"/>
        <v>74.806158000000011</v>
      </c>
      <c r="AR86" s="649">
        <f t="shared" si="13"/>
        <v>86.138536000000016</v>
      </c>
      <c r="AS86" s="649">
        <f t="shared" si="13"/>
        <v>97.604008000000022</v>
      </c>
      <c r="AT86" s="649">
        <f t="shared" si="13"/>
        <v>109.25416900000002</v>
      </c>
      <c r="AU86" s="649">
        <f t="shared" si="13"/>
        <v>119.65556600000002</v>
      </c>
      <c r="AV86" s="649">
        <f t="shared" si="13"/>
        <v>130.57402100000002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11.91824113</v>
      </c>
      <c r="D87" s="629">
        <f t="shared" si="11"/>
        <v>24.871223560000004</v>
      </c>
      <c r="E87" s="629">
        <f t="shared" si="11"/>
        <v>37.652782000000002</v>
      </c>
      <c r="F87" s="629">
        <f t="shared" si="11"/>
        <v>50.84213012</v>
      </c>
      <c r="G87" s="629">
        <f t="shared" si="11"/>
        <v>63.620127459999999</v>
      </c>
      <c r="H87" s="629">
        <f t="shared" si="11"/>
        <v>75.769454359999997</v>
      </c>
      <c r="I87" s="629">
        <f t="shared" si="11"/>
        <v>89.529179509999992</v>
      </c>
      <c r="J87" s="629">
        <f t="shared" si="11"/>
        <v>102.49882627999999</v>
      </c>
      <c r="K87" s="629">
        <f t="shared" si="11"/>
        <v>116.01290936999999</v>
      </c>
      <c r="L87" s="629">
        <f t="shared" si="11"/>
        <v>128.85971502999999</v>
      </c>
      <c r="M87" s="629">
        <f t="shared" si="11"/>
        <v>141.91309912</v>
      </c>
      <c r="N87" s="629">
        <f t="shared" si="11"/>
        <v>155.47949245999999</v>
      </c>
      <c r="S87"/>
      <c r="T87" s="608" t="s">
        <v>93</v>
      </c>
      <c r="U87" s="645">
        <f>+T66</f>
        <v>2.5183357499999999</v>
      </c>
      <c r="V87" s="645">
        <f t="shared" si="12"/>
        <v>5.2918364899999997</v>
      </c>
      <c r="W87" s="645">
        <f t="shared" si="12"/>
        <v>8.3066595499999991</v>
      </c>
      <c r="X87" s="645">
        <f t="shared" si="12"/>
        <v>11.8868405</v>
      </c>
      <c r="Y87" s="645">
        <f t="shared" si="12"/>
        <v>15.483284229999999</v>
      </c>
      <c r="Z87" s="645">
        <f t="shared" si="12"/>
        <v>19.521887249999999</v>
      </c>
      <c r="AA87" s="645">
        <f t="shared" si="12"/>
        <v>23.16710526</v>
      </c>
      <c r="AB87" s="645">
        <f t="shared" si="12"/>
        <v>27.38930066</v>
      </c>
      <c r="AC87" s="645">
        <f t="shared" si="12"/>
        <v>31.82920244</v>
      </c>
      <c r="AD87" s="645">
        <f t="shared" si="12"/>
        <v>36.252544139999998</v>
      </c>
      <c r="AE87" s="645">
        <f t="shared" si="12"/>
        <v>40.775318979999994</v>
      </c>
      <c r="AF87" s="645">
        <f t="shared" si="12"/>
        <v>45.300570799999996</v>
      </c>
      <c r="AG87" s="158"/>
      <c r="AH87" s="158"/>
      <c r="AI87"/>
      <c r="AJ87" s="624" t="s">
        <v>93</v>
      </c>
      <c r="AK87" s="650">
        <f>+AJ66</f>
        <v>9.3999053799999999</v>
      </c>
      <c r="AL87" s="650">
        <f t="shared" si="13"/>
        <v>19.579387070000003</v>
      </c>
      <c r="AM87" s="650">
        <f t="shared" si="13"/>
        <v>29.346122450000003</v>
      </c>
      <c r="AN87" s="650">
        <f t="shared" si="13"/>
        <v>38.955289620000002</v>
      </c>
      <c r="AO87" s="650">
        <f t="shared" si="13"/>
        <v>48.136843229999997</v>
      </c>
      <c r="AP87" s="650">
        <f t="shared" si="13"/>
        <v>56.247567109999999</v>
      </c>
      <c r="AQ87" s="650">
        <f t="shared" si="13"/>
        <v>66.362074249999992</v>
      </c>
      <c r="AR87" s="650">
        <f t="shared" si="13"/>
        <v>75.109525619999999</v>
      </c>
      <c r="AS87" s="650">
        <f t="shared" si="13"/>
        <v>84.18370693</v>
      </c>
      <c r="AT87" s="650">
        <f t="shared" si="13"/>
        <v>92.607170889999992</v>
      </c>
      <c r="AU87" s="650">
        <f t="shared" si="13"/>
        <v>101.13778013999999</v>
      </c>
      <c r="AV87" s="650">
        <f t="shared" si="13"/>
        <v>110.17892165999999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">
    <cfRule type="cellIs" dxfId="91" priority="16" operator="lessThan">
      <formula>0</formula>
    </cfRule>
  </conditionalFormatting>
  <conditionalFormatting sqref="O41">
    <cfRule type="cellIs" dxfId="90" priority="15" operator="lessThan">
      <formula>0</formula>
    </cfRule>
  </conditionalFormatting>
  <conditionalFormatting sqref="AX18:AX22">
    <cfRule type="cellIs" dxfId="89" priority="14" operator="lessThan">
      <formula>0</formula>
    </cfRule>
  </conditionalFormatting>
  <conditionalFormatting sqref="BN21:BN22">
    <cfRule type="cellIs" dxfId="88" priority="13" operator="lessThan">
      <formula>0</formula>
    </cfRule>
  </conditionalFormatting>
  <conditionalFormatting sqref="BB43:BB46">
    <cfRule type="cellIs" dxfId="87" priority="12" operator="greaterThan">
      <formula>0</formula>
    </cfRule>
  </conditionalFormatting>
  <conditionalFormatting sqref="AX18:AX20">
    <cfRule type="cellIs" dxfId="86" priority="11" operator="lessThan">
      <formula>0</formula>
    </cfRule>
  </conditionalFormatting>
  <conditionalFormatting sqref="BN18:BN20">
    <cfRule type="cellIs" dxfId="85" priority="10" operator="greaterThan">
      <formula>0</formula>
    </cfRule>
  </conditionalFormatting>
  <conditionalFormatting sqref="P18:P20">
    <cfRule type="cellIs" dxfId="84" priority="9" operator="lessThan">
      <formula>0</formula>
    </cfRule>
  </conditionalFormatting>
  <conditionalFormatting sqref="P67:P68">
    <cfRule type="cellIs" dxfId="83" priority="8" operator="lessThan">
      <formula>0</formula>
    </cfRule>
  </conditionalFormatting>
  <conditionalFormatting sqref="P64:P66">
    <cfRule type="cellIs" dxfId="82" priority="7" operator="lessThan">
      <formula>0</formula>
    </cfRule>
  </conditionalFormatting>
  <conditionalFormatting sqref="AH67:AH68">
    <cfRule type="cellIs" dxfId="81" priority="6" operator="lessThan">
      <formula>0</formula>
    </cfRule>
  </conditionalFormatting>
  <conditionalFormatting sqref="AH64:AH66">
    <cfRule type="cellIs" dxfId="80" priority="5" operator="greaterThan">
      <formula>0</formula>
    </cfRule>
  </conditionalFormatting>
  <conditionalFormatting sqref="AX67:AX68">
    <cfRule type="cellIs" dxfId="79" priority="4" operator="lessThan">
      <formula>0</formula>
    </cfRule>
  </conditionalFormatting>
  <conditionalFormatting sqref="AX64:AX66">
    <cfRule type="cellIs" dxfId="78" priority="3" operator="lessThan">
      <formula>0</formula>
    </cfRule>
  </conditionalFormatting>
  <conditionalFormatting sqref="AH18:AH22">
    <cfRule type="cellIs" dxfId="77" priority="2" operator="lessThan">
      <formula>0</formula>
    </cfRule>
  </conditionalFormatting>
  <conditionalFormatting sqref="S21:T23 V21:AG23">
    <cfRule type="cellIs" dxfId="76" priority="1" operator="lessThan">
      <formula>0</formula>
    </cfRule>
  </conditionalFormatting>
  <pageMargins left="0.18" right="0.17" top="0.74803149606299213" bottom="0.18" header="0.31496062992125984" footer="0.31496062992125984"/>
  <pageSetup paperSize="9" scale="80" pageOrder="overThenDown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34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1025</v>
      </c>
      <c r="B3" s="807" t="str">
        <f>+VLOOKUP($A3,data!$A$4:$AH$32,2,0)</f>
        <v>พาน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5854</v>
      </c>
      <c r="C9" s="180">
        <f>+VLOOKUP($A$3,data!$A$4:$AH$32,8,0)/10^6</f>
        <v>0.81140999999999996</v>
      </c>
      <c r="D9" s="181">
        <f>+VLOOKUP($A$3,data!$A$4:$AH$32,9,0)</f>
        <v>0.39896645654888929</v>
      </c>
      <c r="E9" s="180">
        <f>+VLOOKUP($A$3,data!$A$4:$AH$32,10,0)/10^6</f>
        <v>10.740486630000001</v>
      </c>
      <c r="F9" s="182">
        <f>+E9/C9</f>
        <v>13.236818168373574</v>
      </c>
      <c r="G9" s="179">
        <f>+VLOOKUP($A$3,data!$A$4:$AH$32,23,0)</f>
        <v>6369</v>
      </c>
      <c r="H9" s="180">
        <f>+VLOOKUP($A$3,data!$A$4:$AH$32,24,0)/10^6</f>
        <v>0.84899599999999997</v>
      </c>
      <c r="I9" s="181">
        <f>+VLOOKUP($A$3,data!$A$4:$AH$32,25,0)</f>
        <v>0.38059665194406683</v>
      </c>
      <c r="J9" s="180">
        <f>+VLOOKUP($A$3,data!$A$4:$AH$32,26,0)/10^6</f>
        <v>11.20897392</v>
      </c>
      <c r="K9" s="182">
        <f>+J9/H9</f>
        <v>13.202622768540724</v>
      </c>
    </row>
    <row r="10" spans="1:12" ht="26.25" x14ac:dyDescent="0.4">
      <c r="A10" s="187" t="s">
        <v>4</v>
      </c>
      <c r="B10" s="189">
        <f>+B9/B20</f>
        <v>0.84000573970440517</v>
      </c>
      <c r="C10" s="190"/>
      <c r="D10" s="190"/>
      <c r="E10" s="190"/>
      <c r="F10" s="191"/>
      <c r="G10" s="189">
        <f>+G9/G20</f>
        <v>0.85226816539542349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881</v>
      </c>
      <c r="C13" s="180">
        <f>+VLOOKUP($A$3,data!$A$4:$AH$32,12,0)/10^6</f>
        <v>0.24304700000000001</v>
      </c>
      <c r="D13" s="181">
        <f>+VLOOKUP($A$3,data!$A$4:$AH$32,13,0)</f>
        <v>0.74275760377113442</v>
      </c>
      <c r="E13" s="180">
        <f>+VLOOKUP($A$3,data!$A$4:$AH$32,14,0)/10^6</f>
        <v>5.0789437499999996</v>
      </c>
      <c r="F13" s="182">
        <f>+E13/C13</f>
        <v>20.896961287323027</v>
      </c>
      <c r="G13" s="179">
        <f>+VLOOKUP($A$3,data!$A$4:$AH$32,27,0)</f>
        <v>882</v>
      </c>
      <c r="H13" s="180">
        <f>+VLOOKUP($A$3,data!$A$4:$AH$32,28,0)/10^6</f>
        <v>0.24176400000000001</v>
      </c>
      <c r="I13" s="181">
        <f>+VLOOKUP($A$3,data!$A$4:$AH$32,29,0)</f>
        <v>0.75140910185782328</v>
      </c>
      <c r="J13" s="180">
        <f>+VLOOKUP($A$3,data!$A$4:$AH$32,30,0)/10^6</f>
        <v>5.0340400000000001</v>
      </c>
      <c r="K13" s="182">
        <f>+J13/H13</f>
        <v>20.822124054863419</v>
      </c>
    </row>
    <row r="14" spans="1:12" ht="26.25" x14ac:dyDescent="0.4">
      <c r="A14" s="187" t="s">
        <v>29</v>
      </c>
      <c r="B14" s="189">
        <f>+B13/B20</f>
        <v>0.12641698952503946</v>
      </c>
      <c r="C14" s="190"/>
      <c r="D14" s="190"/>
      <c r="E14" s="190"/>
      <c r="F14" s="191"/>
      <c r="G14" s="189">
        <f>+G13/G20</f>
        <v>0.11802488960256925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234</v>
      </c>
      <c r="C17" s="180">
        <f>+VLOOKUP($A$3,data!$A$4:$AH$32,16,0)/10^6</f>
        <v>0.112958</v>
      </c>
      <c r="D17" s="181">
        <f>+VLOOKUP($A$3,data!$A$4:$AH$32,17,0)</f>
        <v>1.3141145333449671</v>
      </c>
      <c r="E17" s="180">
        <f>+VLOOKUP($A$3,data!$A$4:$AH$32,18,0)/10^6</f>
        <v>3.0702095500000004</v>
      </c>
      <c r="F17" s="182">
        <f>+E17/C17</f>
        <v>27.180098355140853</v>
      </c>
      <c r="G17" s="179">
        <f>+VLOOKUP($A$3,data!$A$4:$AH$32,31,0)</f>
        <v>222</v>
      </c>
      <c r="H17" s="180">
        <f>+VLOOKUP($A$3,data!$A$4:$AH$32,32,0)/10^6</f>
        <v>9.7054000000000001E-2</v>
      </c>
      <c r="I17" s="181">
        <f>+VLOOKUP($A$3,data!$A$4:$AH$32,33,0)</f>
        <v>1.1662340783465512</v>
      </c>
      <c r="J17" s="180">
        <f>+VLOOKUP($A$3,data!$A$4:$AH$32,34,0)/10^6</f>
        <v>2.6017523499999999</v>
      </c>
      <c r="K17" s="182">
        <f>+J17/H17</f>
        <v>26.807265542893646</v>
      </c>
    </row>
    <row r="18" spans="1:11" ht="26.25" x14ac:dyDescent="0.4">
      <c r="A18" s="187" t="s">
        <v>30</v>
      </c>
      <c r="B18" s="189">
        <f>+B17/B20</f>
        <v>3.3577270770555313E-2</v>
      </c>
      <c r="C18" s="190"/>
      <c r="D18" s="190"/>
      <c r="E18" s="190"/>
      <c r="F18" s="191"/>
      <c r="G18" s="189">
        <f>+G17/G20</f>
        <v>2.9706945002007226E-2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6969</v>
      </c>
      <c r="C20" s="180">
        <f>+VLOOKUP($A$3,data!$A$4:$AH$32,4,0)/10^6</f>
        <v>1.1674150000000001</v>
      </c>
      <c r="D20" s="181">
        <f>+VLOOKUP($A$3,data!$A$4:$AH$32,5,0)</f>
        <v>0.47708789681891001</v>
      </c>
      <c r="E20" s="180">
        <f>+VLOOKUP($A$3,data!$A$4:$AH$32,6,0)/10^6</f>
        <v>18.889639930000005</v>
      </c>
      <c r="F20" s="182">
        <f>+E20/C20</f>
        <v>16.180741150319299</v>
      </c>
      <c r="G20" s="179">
        <f>+VLOOKUP($A$3,data!$A$4:$AH$32,19,0)</f>
        <v>7473</v>
      </c>
      <c r="H20" s="180">
        <f>+VLOOKUP($A$3,data!$A$4:$AH$32,20,0)/10^6</f>
        <v>1.1878139999999999</v>
      </c>
      <c r="I20" s="181">
        <f>+VLOOKUP($A$3,data!$A$4:$AH$32,21,0)</f>
        <v>0.45066956536585645</v>
      </c>
      <c r="J20" s="180">
        <f>+VLOOKUP($A$3,data!$A$4:$AH$32,22,0)/10^6</f>
        <v>18.844766270000001</v>
      </c>
      <c r="K20" s="182">
        <f>+J20/H20</f>
        <v>15.865081797318437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พาน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1004</v>
      </c>
      <c r="B3" s="807" t="str">
        <f>+VLOOKUP($A3,data!$A$4:$AH$32,2,0)</f>
        <v>เชียงใหม่(พ)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79037</v>
      </c>
      <c r="C9" s="180">
        <f>+VLOOKUP($A$3,data!$A$4:$AH$32,8,0)/10^6</f>
        <v>15.374689</v>
      </c>
      <c r="D9" s="181">
        <f>+VLOOKUP($A$3,data!$A$4:$AH$32,9,0)</f>
        <v>0.54713343875873821</v>
      </c>
      <c r="E9" s="180">
        <f>+VLOOKUP($A$3,data!$A$4:$AH$32,10,0)/10^6</f>
        <v>226.27889827999996</v>
      </c>
      <c r="F9" s="182">
        <f>+E9/C9</f>
        <v>14.717624420240304</v>
      </c>
      <c r="G9" s="179">
        <f>+VLOOKUP($A$3,data!$A$4:$AH$32,23,0)</f>
        <v>83393</v>
      </c>
      <c r="H9" s="180">
        <f>+VLOOKUP($A$3,data!$A$4:$AH$32,24,0)/10^6</f>
        <v>15.69181</v>
      </c>
      <c r="I9" s="181">
        <f>+VLOOKUP($A$3,data!$A$4:$AH$32,25,0)</f>
        <v>0.52935123159481134</v>
      </c>
      <c r="J9" s="180">
        <f>+VLOOKUP($A$3,data!$A$4:$AH$32,26,0)/10^6</f>
        <v>229.99801513999998</v>
      </c>
      <c r="K9" s="182">
        <f>+J9/H9</f>
        <v>14.657201122114019</v>
      </c>
    </row>
    <row r="10" spans="1:12" ht="26.25" x14ac:dyDescent="0.4">
      <c r="A10" s="187" t="s">
        <v>4</v>
      </c>
      <c r="B10" s="189">
        <f>+B9/B20</f>
        <v>0.74961351328281345</v>
      </c>
      <c r="C10" s="190"/>
      <c r="D10" s="190"/>
      <c r="E10" s="190"/>
      <c r="F10" s="191"/>
      <c r="G10" s="189">
        <f>+G9/G20</f>
        <v>0.75494056833509859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17259</v>
      </c>
      <c r="C13" s="180">
        <f>+VLOOKUP($A$3,data!$A$4:$AH$32,12,0)/10^6</f>
        <v>8.3145989999999994</v>
      </c>
      <c r="D13" s="181">
        <f>+VLOOKUP($A$3,data!$A$4:$AH$32,13,0)</f>
        <v>1.3629942731808311</v>
      </c>
      <c r="E13" s="180">
        <f>+VLOOKUP($A$3,data!$A$4:$AH$32,14,0)/10^6</f>
        <v>184.37208121999996</v>
      </c>
      <c r="F13" s="182">
        <f>+E13/C13</f>
        <v>22.174500684879689</v>
      </c>
      <c r="G13" s="179">
        <f>+VLOOKUP($A$3,data!$A$4:$AH$32,27,0)</f>
        <v>17957</v>
      </c>
      <c r="H13" s="180">
        <f>+VLOOKUP($A$3,data!$A$4:$AH$32,28,0)/10^6</f>
        <v>8.7077270000000002</v>
      </c>
      <c r="I13" s="181">
        <f>+VLOOKUP($A$3,data!$A$4:$AH$32,29,0)</f>
        <v>1.3548833655934724</v>
      </c>
      <c r="J13" s="180">
        <f>+VLOOKUP($A$3,data!$A$4:$AH$32,30,0)/10^6</f>
        <v>193.65071084000004</v>
      </c>
      <c r="K13" s="182">
        <f>+J13/H13</f>
        <v>22.238950628562431</v>
      </c>
    </row>
    <row r="14" spans="1:12" ht="26.25" x14ac:dyDescent="0.4">
      <c r="A14" s="187" t="s">
        <v>29</v>
      </c>
      <c r="B14" s="189">
        <f>+B13/B20</f>
        <v>0.16369016569136072</v>
      </c>
      <c r="C14" s="190"/>
      <c r="D14" s="190"/>
      <c r="E14" s="190"/>
      <c r="F14" s="191"/>
      <c r="G14" s="189">
        <f>+G13/G20</f>
        <v>0.16256121959389117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9141</v>
      </c>
      <c r="C17" s="180">
        <f>+VLOOKUP($A$3,data!$A$4:$AH$32,16,0)/10^6</f>
        <v>9.5283309999999997</v>
      </c>
      <c r="D17" s="181">
        <f>+VLOOKUP($A$3,data!$A$4:$AH$32,17,0)</f>
        <v>2.8938051699762957</v>
      </c>
      <c r="E17" s="180">
        <f>+VLOOKUP($A$3,data!$A$4:$AH$32,18,0)/10^6</f>
        <v>266.54165098000004</v>
      </c>
      <c r="F17" s="182">
        <f>+E17/C17</f>
        <v>27.97359274987404</v>
      </c>
      <c r="G17" s="179">
        <f>+VLOOKUP($A$3,data!$A$4:$AH$32,31,0)</f>
        <v>9113</v>
      </c>
      <c r="H17" s="180">
        <f>+VLOOKUP($A$3,data!$A$4:$AH$32,32,0)/10^6</f>
        <v>9.4888180000000002</v>
      </c>
      <c r="I17" s="181">
        <f>+VLOOKUP($A$3,data!$A$4:$AH$32,33,0)</f>
        <v>2.8483358873491418</v>
      </c>
      <c r="J17" s="180">
        <f>+VLOOKUP($A$3,data!$A$4:$AH$32,34,0)/10^6</f>
        <v>265.66416339</v>
      </c>
      <c r="K17" s="182">
        <f>+J17/H17</f>
        <v>27.997603430690734</v>
      </c>
    </row>
    <row r="18" spans="1:11" ht="26.25" x14ac:dyDescent="0.4">
      <c r="A18" s="187" t="s">
        <v>30</v>
      </c>
      <c r="B18" s="189">
        <f>+B17/B20</f>
        <v>8.6696321025825848E-2</v>
      </c>
      <c r="C18" s="190"/>
      <c r="D18" s="190"/>
      <c r="E18" s="190"/>
      <c r="F18" s="191"/>
      <c r="G18" s="189">
        <f>+G17/G20</f>
        <v>8.2498212071010199E-2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105437</v>
      </c>
      <c r="C20" s="180">
        <f>+VLOOKUP($A$3,data!$A$4:$AH$32,4,0)/10^6</f>
        <v>33.217618999999999</v>
      </c>
      <c r="D20" s="181">
        <f>+VLOOKUP($A$3,data!$A$4:$AH$32,5,0)</f>
        <v>0.88596034269812807</v>
      </c>
      <c r="E20" s="180">
        <f>+VLOOKUP($A$3,data!$A$4:$AH$32,6,0)/10^6</f>
        <v>677.19263048000005</v>
      </c>
      <c r="F20" s="182">
        <f>+E20/C20</f>
        <v>20.386549393561292</v>
      </c>
      <c r="G20" s="179">
        <f>+VLOOKUP($A$3,data!$A$4:$AH$32,19,0)</f>
        <v>110463</v>
      </c>
      <c r="H20" s="180">
        <f>+VLOOKUP($A$3,data!$A$4:$AH$32,20,0)/10^6</f>
        <v>33.888354999999997</v>
      </c>
      <c r="I20" s="181">
        <f>+VLOOKUP($A$3,data!$A$4:$AH$32,21,0)</f>
        <v>0.86007233181267329</v>
      </c>
      <c r="J20" s="180">
        <f>+VLOOKUP($A$3,data!$A$4:$AH$32,22,0)/10^6</f>
        <v>689.31288936999999</v>
      </c>
      <c r="K20" s="182">
        <f>+J20/H20</f>
        <v>20.340700791466571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เชียงใหม่(พ)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topLeftCell="A43" zoomScale="66" zoomScaleNormal="100" zoomScalePageLayoutView="66" workbookViewId="0"/>
  </sheetViews>
  <sheetFormatPr defaultRowHeight="21" x14ac:dyDescent="0.35"/>
  <cols>
    <col min="1" max="1" width="9" style="158" bestFit="1" customWidth="1"/>
    <col min="2" max="2" width="7.125" style="158" bestFit="1" customWidth="1"/>
    <col min="3" max="6" width="5.875" style="158" bestFit="1" customWidth="1"/>
    <col min="7" max="7" width="6.125" style="158" bestFit="1" customWidth="1"/>
    <col min="8" max="14" width="7.1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7" bestFit="1" customWidth="1"/>
    <col min="48" max="48" width="7.125" bestFit="1" customWidth="1"/>
    <col min="49" max="49" width="9" bestFit="1" customWidth="1"/>
    <col min="50" max="50" width="10.75" customWidth="1"/>
    <col min="51" max="51" width="8.375" customWidth="1"/>
    <col min="52" max="64" width="7.125" bestFit="1" customWidth="1"/>
    <col min="65" max="66" width="7.875" bestFit="1" customWidth="1"/>
    <col min="67" max="67" width="6.625" bestFit="1" customWidth="1"/>
    <col min="68" max="68" width="9.125" customWidth="1"/>
  </cols>
  <sheetData>
    <row r="1" spans="1:66" ht="27" thickBot="1" x14ac:dyDescent="0.25">
      <c r="A1" s="248">
        <v>1025</v>
      </c>
      <c r="B1" s="817" t="str">
        <f>+VLOOKUP($A$1,data!$A$4:$AH$32,2,0)</f>
        <v>พาน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1025</v>
      </c>
      <c r="T1" s="817" t="str">
        <f>+VLOOKUP($A$1,data!$A$4:$AH$32,2,0)</f>
        <v>พาน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1025</v>
      </c>
      <c r="AJ1" s="817" t="str">
        <f>+VLOOKUP($A$1,data!$A$4:$AH$32,2,0)</f>
        <v>พาน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1025</v>
      </c>
      <c r="AZ1" s="817" t="str">
        <f>+VLOOKUP($A$1,data!$A$4:$AH$32,2,0)</f>
        <v>พาน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26</v>
      </c>
      <c r="C18" s="406">
        <f>+VLOOKUP($A$1,data!$A$37:$AU$67,36)</f>
        <v>40</v>
      </c>
      <c r="D18" s="406">
        <f>+VLOOKUP($A$1,data!$A$37:$AU$67,37)</f>
        <v>17</v>
      </c>
      <c r="E18" s="406">
        <f>+VLOOKUP($A$1,data!$A$37:$AU$67,38)</f>
        <v>30</v>
      </c>
      <c r="F18" s="406">
        <f>+VLOOKUP($A$1,data!$A$37:$AU$67,39)</f>
        <v>97</v>
      </c>
      <c r="G18" s="406">
        <f>+VLOOKUP($A$1,data!$A$37:$AU$67,40)</f>
        <v>110</v>
      </c>
      <c r="H18" s="406">
        <f>+VLOOKUP($A$1,data!$A$37:$AU$67,41)</f>
        <v>46</v>
      </c>
      <c r="I18" s="406">
        <f>+VLOOKUP($A$1,data!$A$37:$AU$67,42)</f>
        <v>40</v>
      </c>
      <c r="J18" s="406">
        <f>+VLOOKUP($A$1,data!$A$37:$AU$67,43)</f>
        <v>66</v>
      </c>
      <c r="K18" s="406">
        <f>+VLOOKUP($A$1,data!$A$37:$AU$67,44)</f>
        <v>57</v>
      </c>
      <c r="L18" s="406">
        <f>+VLOOKUP($A$1,data!$A$37:$AU$67,45)</f>
        <v>30</v>
      </c>
      <c r="M18" s="406">
        <f>+VLOOKUP($A$1,data!$A$37:$AU$67,46)</f>
        <v>50</v>
      </c>
      <c r="N18" s="406">
        <f>SUM(B18:M18)</f>
        <v>609</v>
      </c>
      <c r="O18" s="406">
        <f>SUM(B18:M18)</f>
        <v>609</v>
      </c>
      <c r="P18" s="407">
        <f>+O20-O18</f>
        <v>-57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9.3025999999999998E-2</v>
      </c>
      <c r="AK18" s="418">
        <f>+VLOOKUP($A$1,data!$A$69:$AU$99,36)</f>
        <v>9.6432000000000004E-2</v>
      </c>
      <c r="AL18" s="418">
        <f>+VLOOKUP($A$1,data!$A$69:$AU$99,37)</f>
        <v>8.8274000000000005E-2</v>
      </c>
      <c r="AM18" s="418">
        <f>+VLOOKUP($A$1,data!$A$69:$AU$99,38)</f>
        <v>9.4953999999999997E-2</v>
      </c>
      <c r="AN18" s="418">
        <f>+VLOOKUP($A$1,data!$A$69:$AU$99,39)</f>
        <v>8.5816000000000003E-2</v>
      </c>
      <c r="AO18" s="418">
        <f>+VLOOKUP($A$1,data!$A$69:$AU$99,40)</f>
        <v>8.7987999999999997E-2</v>
      </c>
      <c r="AP18" s="418">
        <f>+VLOOKUP($A$1,data!$A$69:$AU$99,41)</f>
        <v>0.10863299999999999</v>
      </c>
      <c r="AQ18" s="418">
        <f>+VLOOKUP($A$1,data!$A$69:$AU$99,42)</f>
        <v>0.114986</v>
      </c>
      <c r="AR18" s="418">
        <f>+VLOOKUP($A$1,data!$A$69:$AU$99,43)</f>
        <v>0.108</v>
      </c>
      <c r="AS18" s="418">
        <f>+VLOOKUP($A$1,data!$A$69:$AU$99,44)</f>
        <v>0.105002</v>
      </c>
      <c r="AT18" s="418">
        <f>+VLOOKUP($A$1,data!$A$69:$AU$99,45)</f>
        <v>9.1127E-2</v>
      </c>
      <c r="AU18" s="418">
        <f>+VLOOKUP($A$1,data!$A$69:$AU$99,46)</f>
        <v>9.3839000000000006E-2</v>
      </c>
      <c r="AV18" s="418">
        <f>SUM(AJ18:AU18)</f>
        <v>1.168077</v>
      </c>
      <c r="AW18" s="418">
        <f>SUM(AJ18:AU18)</f>
        <v>1.168077</v>
      </c>
      <c r="AX18" s="419">
        <f>+AW20-AW18</f>
        <v>1.9922999999999913E-2</v>
      </c>
      <c r="AY18" s="308" t="s">
        <v>92</v>
      </c>
      <c r="AZ18" s="309">
        <f>+VLOOKUP($A$1,data!$A$101:$AU$131,35)</f>
        <v>2.7059660000000003E-2</v>
      </c>
      <c r="BA18" s="309">
        <f>+VLOOKUP($A$1,data!$A$101:$AU$131,36)</f>
        <v>2.0395869999999997E-2</v>
      </c>
      <c r="BB18" s="309">
        <f>+VLOOKUP($A$1,data!$A$101:$AU$131,37)</f>
        <v>3.0984999999999999E-2</v>
      </c>
      <c r="BC18" s="309">
        <f>+VLOOKUP($A$1,data!$A$101:$AU$131,38)</f>
        <v>2.713817E-2</v>
      </c>
      <c r="BD18" s="309">
        <f>+VLOOKUP($A$1,data!$A$101:$AU$131,39)</f>
        <v>3.4468039999999991E-2</v>
      </c>
      <c r="BE18" s="309">
        <f>+VLOOKUP($A$1,data!$A$101:$AU$131,40)</f>
        <v>3.8566960000000004E-2</v>
      </c>
      <c r="BF18" s="309">
        <f>+VLOOKUP($A$1,data!$A$101:$AU$131,41)</f>
        <v>2.5175179999999991E-2</v>
      </c>
      <c r="BG18" s="309">
        <f>+VLOOKUP($A$1,data!$A$101:$AU$131,42)</f>
        <v>2.4049279999999999E-2</v>
      </c>
      <c r="BH18" s="309">
        <f>+VLOOKUP($A$1,data!$A$101:$AU$131,43)</f>
        <v>3.0659020000000019E-2</v>
      </c>
      <c r="BI18" s="309">
        <f>+VLOOKUP($A$1,data!$A$101:$AU$131,44)</f>
        <v>3.1638059999999996E-2</v>
      </c>
      <c r="BJ18" s="309">
        <f>+VLOOKUP($A$1,data!$A$101:$AU$131,45)</f>
        <v>4.6875899999999991E-2</v>
      </c>
      <c r="BK18" s="309">
        <f>+VLOOKUP($A$1,data!$A$101:$AU$131,46)</f>
        <v>3.7167049999999986E-2</v>
      </c>
      <c r="BL18" s="309">
        <f>SUM(AZ18:BK18)</f>
        <v>0.37417818999999997</v>
      </c>
      <c r="BM18" s="309">
        <f>SUM(AZ18:BK18)</f>
        <v>0.37417818999999997</v>
      </c>
      <c r="BN18" s="310">
        <f>+BM20-BM18</f>
        <v>-1.8126229999999965E-2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61.762087490406749</v>
      </c>
      <c r="C19" s="409">
        <f>+VLOOKUP($A$1,data!$A$37:$AU$67,20)</f>
        <v>68.735226400613968</v>
      </c>
      <c r="D19" s="409">
        <f>+VLOOKUP($A$1,data!$A$37:$AU$67,21)</f>
        <v>73.716039907904829</v>
      </c>
      <c r="E19" s="409">
        <f>+VLOOKUP($A$1,data!$A$37:$AU$67,22)</f>
        <v>74.712202609363004</v>
      </c>
      <c r="F19" s="409">
        <f>+VLOOKUP($A$1,data!$A$37:$AU$67,23)</f>
        <v>143.44742900997699</v>
      </c>
      <c r="G19" s="409">
        <f>+VLOOKUP($A$1,data!$A$37:$AU$67,24)</f>
        <v>161.37835763622408</v>
      </c>
      <c r="H19" s="409">
        <f>+VLOOKUP($A$1,data!$A$37:$AU$67,25)</f>
        <v>135.47812739831159</v>
      </c>
      <c r="I19" s="409">
        <f>+VLOOKUP($A$1,data!$A$37:$AU$67,26)</f>
        <v>143.44742900997699</v>
      </c>
      <c r="J19" s="409">
        <f>+VLOOKUP($A$1,data!$A$37:$AU$67,27)</f>
        <v>113.56254796623178</v>
      </c>
      <c r="K19" s="409">
        <f>+VLOOKUP($A$1,data!$A$37:$AU$67,28)</f>
        <v>106.58940905602454</v>
      </c>
      <c r="L19" s="409">
        <f>+VLOOKUP($A$1,data!$A$37:$AU$67,29)</f>
        <v>111.57022256331543</v>
      </c>
      <c r="M19" s="409">
        <f>+VLOOKUP($A$1,data!$A$37:$AU$67,30)</f>
        <v>103.60092095165002</v>
      </c>
      <c r="N19" s="409">
        <f>SUM(B19:M19)</f>
        <v>1298</v>
      </c>
      <c r="O19" s="630">
        <f t="shared" ref="O19:O20" si="0">SUM(B19:M19)</f>
        <v>1298</v>
      </c>
      <c r="P19" s="412">
        <f>+O20-O19</f>
        <v>-746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0.10083499999999999</v>
      </c>
      <c r="AK19" s="423">
        <f>+VLOOKUP($A$1,data!$A$69:$AU$99,20)</f>
        <v>0.101149</v>
      </c>
      <c r="AL19" s="423">
        <f>+VLOOKUP($A$1,data!$A$69:$AU$99,21)</f>
        <v>9.6967999999999999E-2</v>
      </c>
      <c r="AM19" s="423">
        <f>+VLOOKUP($A$1,data!$A$69:$AU$99,22)</f>
        <v>0.10699699999999999</v>
      </c>
      <c r="AN19" s="423">
        <f>+VLOOKUP($A$1,data!$A$69:$AU$99,23)</f>
        <v>9.7180000000000002E-2</v>
      </c>
      <c r="AO19" s="423">
        <f>+VLOOKUP($A$1,data!$A$69:$AU$99,24)</f>
        <v>9.6234E-2</v>
      </c>
      <c r="AP19" s="423">
        <f>+VLOOKUP($A$1,data!$A$69:$AU$99,25)</f>
        <v>0.115202</v>
      </c>
      <c r="AQ19" s="423">
        <f>+VLOOKUP($A$1,data!$A$69:$AU$99,26)</f>
        <v>0.12217600000000001</v>
      </c>
      <c r="AR19" s="423">
        <f>+VLOOKUP($A$1,data!$A$69:$AU$99,27)</f>
        <v>0.118102</v>
      </c>
      <c r="AS19" s="423">
        <f>+VLOOKUP($A$1,data!$A$69:$AU$99,28)</f>
        <v>0.112167</v>
      </c>
      <c r="AT19" s="423">
        <f>+VLOOKUP($A$1,data!$A$69:$AU$99,29)</f>
        <v>0.10825899999999999</v>
      </c>
      <c r="AU19" s="423">
        <f>+VLOOKUP($A$1,data!$A$69:$AU$99,30)</f>
        <v>0.10802200000000001</v>
      </c>
      <c r="AV19" s="423">
        <f>SUM(AJ19:AU19)</f>
        <v>1.2832910000000002</v>
      </c>
      <c r="AW19" s="424">
        <f t="shared" ref="AW19:AW20" si="1">SUM(AJ19:AU19)</f>
        <v>1.2832910000000002</v>
      </c>
      <c r="AX19" s="425">
        <f>+AW20-AW19</f>
        <v>-9.5291000000000237E-2</v>
      </c>
      <c r="AY19" s="311" t="s">
        <v>94</v>
      </c>
      <c r="AZ19" s="312">
        <f>+VLOOKUP($A$1,data!$A$101:$AU$131,19)</f>
        <v>4.1055000000000001E-2</v>
      </c>
      <c r="BA19" s="312">
        <f>+VLOOKUP($A$1,data!$A$101:$AU$131,20)</f>
        <v>3.2688000000000002E-2</v>
      </c>
      <c r="BB19" s="312">
        <f>+VLOOKUP($A$1,data!$A$101:$AU$131,21)</f>
        <v>3.8899999999999997E-2</v>
      </c>
      <c r="BC19" s="312">
        <f>+VLOOKUP($A$1,data!$A$101:$AU$131,22)</f>
        <v>3.0873000000000001E-2</v>
      </c>
      <c r="BD19" s="312">
        <f>+VLOOKUP($A$1,data!$A$101:$AU$131,23)</f>
        <v>3.0265E-2</v>
      </c>
      <c r="BE19" s="312">
        <f>+VLOOKUP($A$1,data!$A$101:$AU$131,24)</f>
        <v>4.0224999999999997E-2</v>
      </c>
      <c r="BF19" s="312">
        <f>+VLOOKUP($A$1,data!$A$101:$AU$131,25)</f>
        <v>2.8701999999999998E-2</v>
      </c>
      <c r="BG19" s="312">
        <f>+VLOOKUP($A$1,data!$A$101:$AU$131,26)</f>
        <v>2.7299E-2</v>
      </c>
      <c r="BH19" s="312">
        <f>+VLOOKUP($A$1,data!$A$101:$AU$131,27)</f>
        <v>2.4598999999999999E-2</v>
      </c>
      <c r="BI19" s="312">
        <f>+VLOOKUP($A$1,data!$A$101:$AU$131,28)</f>
        <v>2.9131000000000001E-2</v>
      </c>
      <c r="BJ19" s="312">
        <f>+VLOOKUP($A$1,data!$A$101:$AU$131,29)</f>
        <v>3.1467000000000002E-2</v>
      </c>
      <c r="BK19" s="312">
        <f>+VLOOKUP($A$1,data!$A$101:$AU$131,30)</f>
        <v>2.8115999999999999E-2</v>
      </c>
      <c r="BL19" s="312">
        <f>SUM(AZ19:BK19)</f>
        <v>0.38332000000000005</v>
      </c>
      <c r="BM19" s="313">
        <f t="shared" ref="BM19:BM20" si="2">SUM(AZ19:BK19)</f>
        <v>0.38332000000000005</v>
      </c>
      <c r="BN19" s="314">
        <f>+BM20-BM19</f>
        <v>-2.7268040000000049E-2</v>
      </c>
    </row>
    <row r="20" spans="1:66" s="247" customFormat="1" ht="19.5" thickBot="1" x14ac:dyDescent="0.35">
      <c r="A20" s="413" t="s">
        <v>93</v>
      </c>
      <c r="B20" s="414">
        <f>+VLOOKUP($A$1,data!$A$37:$AU$67,3)</f>
        <v>89</v>
      </c>
      <c r="C20" s="414">
        <f>+VLOOKUP($A$1,data!$A$37:$AU$67,4)</f>
        <v>30</v>
      </c>
      <c r="D20" s="414">
        <f>+VLOOKUP($A$1,data!$A$37:$AU$67,5)</f>
        <v>63</v>
      </c>
      <c r="E20" s="414">
        <f>+VLOOKUP($A$1,data!$A$37:$AU$67,6)</f>
        <v>16</v>
      </c>
      <c r="F20" s="414">
        <f>+VLOOKUP($A$1,data!$A$37:$AU$67,7)</f>
        <v>39</v>
      </c>
      <c r="G20" s="414">
        <f>+VLOOKUP($A$1,data!$A$37:$AU$67,8)</f>
        <v>24</v>
      </c>
      <c r="H20" s="414">
        <f>+VLOOKUP($A$1,data!$A$37:$AU$67,9)</f>
        <v>42</v>
      </c>
      <c r="I20" s="414">
        <f>+VLOOKUP($A$1,data!$A$37:$AU$67,10)</f>
        <v>51</v>
      </c>
      <c r="J20" s="414">
        <f>+VLOOKUP($A$1,data!$A$37:$AU$67,11)</f>
        <v>80</v>
      </c>
      <c r="K20" s="414">
        <f>+VLOOKUP($A$1,data!$A$37:$AU$67,12)</f>
        <v>33</v>
      </c>
      <c r="L20" s="414">
        <f>+VLOOKUP($A$1,data!$A$37:$AU$67,13)</f>
        <v>59</v>
      </c>
      <c r="M20" s="414">
        <f>+VLOOKUP($A$1,data!$A$37:$AU$67,14)</f>
        <v>26</v>
      </c>
      <c r="N20" s="414">
        <f>SUM(B20:M20)</f>
        <v>552</v>
      </c>
      <c r="O20" s="631">
        <f t="shared" si="0"/>
        <v>552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9.0923000000000004E-2</v>
      </c>
      <c r="AK20" s="420">
        <f>+VLOOKUP($A$1,data!$A$69:$AU$99,4)</f>
        <v>9.5256999999999994E-2</v>
      </c>
      <c r="AL20" s="420">
        <f>+VLOOKUP($A$1,data!$A$69:$AU$99,5)</f>
        <v>9.2602000000000004E-2</v>
      </c>
      <c r="AM20" s="420">
        <f>+VLOOKUP($A$1,data!$A$69:$AU$99,6)</f>
        <v>9.6878000000000006E-2</v>
      </c>
      <c r="AN20" s="420">
        <f>+VLOOKUP($A$1,data!$A$69:$AU$99,7)</f>
        <v>9.7046999999999994E-2</v>
      </c>
      <c r="AO20" s="420">
        <f>+VLOOKUP($A$1,data!$A$69:$AU$99,8)</f>
        <v>9.6651000000000001E-2</v>
      </c>
      <c r="AP20" s="420">
        <f>+VLOOKUP($A$1,data!$A$69:$AU$99,9)</f>
        <v>0.106488</v>
      </c>
      <c r="AQ20" s="420">
        <f>+VLOOKUP($A$1,data!$A$69:$AU$99,10)</f>
        <v>0.109316</v>
      </c>
      <c r="AR20" s="420">
        <f>+VLOOKUP($A$1,data!$A$69:$AU$99,11)</f>
        <v>0.104301</v>
      </c>
      <c r="AS20" s="420">
        <f>+VLOOKUP($A$1,data!$A$69:$AU$99,12)</f>
        <v>9.7914000000000001E-2</v>
      </c>
      <c r="AT20" s="420">
        <f>+VLOOKUP($A$1,data!$A$69:$AU$99,13)</f>
        <v>9.9965999999999999E-2</v>
      </c>
      <c r="AU20" s="420">
        <f>+VLOOKUP($A$1,data!$A$69:$AU$99,14)</f>
        <v>0.100657</v>
      </c>
      <c r="AV20" s="420">
        <f>SUM(AJ20:AU20)</f>
        <v>1.1879999999999999</v>
      </c>
      <c r="AW20" s="421">
        <f t="shared" si="1"/>
        <v>1.1879999999999999</v>
      </c>
      <c r="AX20" s="422"/>
      <c r="AY20" s="315" t="s">
        <v>93</v>
      </c>
      <c r="AZ20" s="316">
        <f>+VLOOKUP($A$1,data!$A$101:$AU$131,3)</f>
        <v>3.6282509999999997E-2</v>
      </c>
      <c r="BA20" s="316">
        <f>+VLOOKUP($A$1,data!$A$101:$AU$131,4)</f>
        <v>2.7239199999999998E-2</v>
      </c>
      <c r="BB20" s="316">
        <f>+VLOOKUP($A$1,data!$A$101:$AU$131,5)</f>
        <v>2.3699999999999999E-2</v>
      </c>
      <c r="BC20" s="316">
        <f>+VLOOKUP($A$1,data!$A$101:$AU$131,6)</f>
        <v>2.3973499999999998E-2</v>
      </c>
      <c r="BD20" s="316">
        <f>+VLOOKUP($A$1,data!$A$101:$AU$131,7)</f>
        <v>2.578575E-2</v>
      </c>
      <c r="BE20" s="316">
        <f>+VLOOKUP($A$1,data!$A$101:$AU$131,8)</f>
        <v>3.2210000000000003E-2</v>
      </c>
      <c r="BF20" s="316">
        <f>+VLOOKUP($A$1,data!$A$101:$AU$131,9)</f>
        <v>3.5184E-2</v>
      </c>
      <c r="BG20" s="316">
        <f>+VLOOKUP($A$1,data!$A$101:$AU$131,10)</f>
        <v>3.3283E-2</v>
      </c>
      <c r="BH20" s="316">
        <f>+VLOOKUP($A$1,data!$A$101:$AU$131,11)</f>
        <v>2.9434999999999999E-2</v>
      </c>
      <c r="BI20" s="316">
        <f>+VLOOKUP($A$1,data!$A$101:$AU$131,12)</f>
        <v>3.0099999999999998E-2</v>
      </c>
      <c r="BJ20" s="316">
        <f>+VLOOKUP($A$1,data!$A$101:$AU$131,13)</f>
        <v>2.8895000000000001E-2</v>
      </c>
      <c r="BK20" s="316">
        <f>+VLOOKUP($A$1,data!$A$101:$AU$131,14)</f>
        <v>2.9964000000000001E-2</v>
      </c>
      <c r="BL20" s="316">
        <f>SUM(AZ20:BK20)</f>
        <v>0.35605196</v>
      </c>
      <c r="BM20" s="317">
        <f t="shared" si="2"/>
        <v>0.35605196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159.21335379892554</v>
      </c>
      <c r="W21" s="671">
        <f>+VLOOKUP($A$1,data!$A$261:$AK$291,16)</f>
        <v>47</v>
      </c>
      <c r="X21" s="671">
        <f>+VLOOKUP($A$1,data!$A$261:$AK$291,36)</f>
        <v>493.75134305448967</v>
      </c>
      <c r="Y21" s="671">
        <f>+VLOOKUP($A$1,data!$A$261:$AK$291,17)</f>
        <v>100</v>
      </c>
      <c r="Z21" s="671">
        <f>+VLOOKUP($A$1,data!$A$261:$AK$291,37)</f>
        <v>812.23944742901006</v>
      </c>
      <c r="AA21" s="671">
        <f>+VLOOKUP($A$1,data!$A$261:$AK$291,18)</f>
        <v>244</v>
      </c>
      <c r="AB21" s="671">
        <f>+VLOOKUP($A$1,data!$A$261:$AK$291,34)</f>
        <v>999</v>
      </c>
      <c r="AC21" s="671">
        <f>+VLOOKUP($A$1,data!$A$261:$AK$291,15)</f>
        <v>350</v>
      </c>
      <c r="AD21" s="671">
        <f>+AA21-Z21</f>
        <v>-568.23944742901006</v>
      </c>
      <c r="AE21" s="684">
        <f>+AC21-AB21</f>
        <v>-649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45</v>
      </c>
      <c r="W22" s="672">
        <f>+VLOOKUP($A$1,data!$A$229:$AK$259,16)</f>
        <v>135</v>
      </c>
      <c r="X22" s="672">
        <f>+VLOOKUP($A$1,data!$A$229:$AK$259,36)</f>
        <v>90</v>
      </c>
      <c r="Y22" s="672">
        <f>+VLOOKUP($A$1,data!$A$229:$AK$259,17)</f>
        <v>161</v>
      </c>
      <c r="Z22" s="672">
        <f>+VLOOKUP($A$1,data!$A$229:$AK$259,37)</f>
        <v>164</v>
      </c>
      <c r="AA22" s="672">
        <f>+VLOOKUP($A$1,data!$A$229:$AK$259,18)</f>
        <v>190</v>
      </c>
      <c r="AB22" s="672">
        <f>+VLOOKUP($A$1,data!$A$229:$AK$259,34)</f>
        <v>299</v>
      </c>
      <c r="AC22" s="765">
        <f>+VLOOKUP($A$1,data!$A$229:$AK$259,15)</f>
        <v>202</v>
      </c>
      <c r="AD22" s="671">
        <f>+AA22-Z22</f>
        <v>26</v>
      </c>
      <c r="AE22" s="685">
        <f>+AC22-AB22</f>
        <v>-97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89">
        <f>SUM(V21:V22)</f>
        <v>204.21335379892554</v>
      </c>
      <c r="W23" s="689">
        <f t="shared" ref="W23:AC23" si="3">SUM(W21:W22)</f>
        <v>182</v>
      </c>
      <c r="X23" s="689">
        <f t="shared" si="3"/>
        <v>583.75134305448967</v>
      </c>
      <c r="Y23" s="689">
        <f t="shared" si="3"/>
        <v>261</v>
      </c>
      <c r="Z23" s="689">
        <f t="shared" si="3"/>
        <v>976.23944742901006</v>
      </c>
      <c r="AA23" s="689">
        <f t="shared" si="3"/>
        <v>434</v>
      </c>
      <c r="AB23" s="689">
        <f t="shared" si="3"/>
        <v>1298</v>
      </c>
      <c r="AC23" s="764">
        <f t="shared" si="3"/>
        <v>552</v>
      </c>
      <c r="AD23" s="689">
        <f>+AA23-Z23</f>
        <v>-542.23944742901006</v>
      </c>
      <c r="AE23" s="686">
        <f>+AC23-AB23</f>
        <v>-746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78" t="s">
        <v>117</v>
      </c>
      <c r="AZ37" s="878" t="s">
        <v>74</v>
      </c>
      <c r="BA37" s="878" t="s">
        <v>75</v>
      </c>
      <c r="BB37" s="878" t="s">
        <v>76</v>
      </c>
      <c r="BC37" s="878" t="s">
        <v>118</v>
      </c>
      <c r="BD37" s="878" t="s">
        <v>77</v>
      </c>
      <c r="BE37" s="878" t="s">
        <v>78</v>
      </c>
      <c r="BF37" s="878" t="s">
        <v>79</v>
      </c>
      <c r="BG37" s="878" t="s">
        <v>119</v>
      </c>
      <c r="BH37" s="878" t="s">
        <v>80</v>
      </c>
      <c r="BI37" s="878" t="s">
        <v>81</v>
      </c>
      <c r="BJ37" s="878" t="s">
        <v>82</v>
      </c>
      <c r="BK37" s="878" t="s">
        <v>120</v>
      </c>
      <c r="BL37" s="878" t="s">
        <v>83</v>
      </c>
      <c r="BM37" s="878" t="s">
        <v>84</v>
      </c>
      <c r="BN37" s="878" t="s">
        <v>85</v>
      </c>
      <c r="BO37" s="878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79"/>
      <c r="AZ38" s="879"/>
      <c r="BA38" s="879"/>
      <c r="BB38" s="879"/>
      <c r="BC38" s="879"/>
      <c r="BD38" s="879"/>
      <c r="BE38" s="879"/>
      <c r="BF38" s="879"/>
      <c r="BG38" s="879"/>
      <c r="BH38" s="879"/>
      <c r="BI38" s="879"/>
      <c r="BJ38" s="879"/>
      <c r="BK38" s="879"/>
      <c r="BL38" s="879"/>
      <c r="BM38" s="879"/>
      <c r="BN38" s="879"/>
      <c r="BO38" s="879"/>
    </row>
    <row r="39" spans="1:67" ht="22.5" thickTop="1" thickBot="1" x14ac:dyDescent="0.4">
      <c r="A39"/>
      <c r="B39" s="405" t="s">
        <v>92</v>
      </c>
      <c r="C39" s="406">
        <f>+B18</f>
        <v>26</v>
      </c>
      <c r="D39" s="406">
        <f t="shared" ref="D39:N41" si="4">+C39+C18</f>
        <v>66</v>
      </c>
      <c r="E39" s="406">
        <f t="shared" si="4"/>
        <v>83</v>
      </c>
      <c r="F39" s="406">
        <f t="shared" si="4"/>
        <v>113</v>
      </c>
      <c r="G39" s="406">
        <f t="shared" si="4"/>
        <v>210</v>
      </c>
      <c r="H39" s="406">
        <f t="shared" si="4"/>
        <v>320</v>
      </c>
      <c r="I39" s="406">
        <f t="shared" si="4"/>
        <v>366</v>
      </c>
      <c r="J39" s="406">
        <f t="shared" si="4"/>
        <v>406</v>
      </c>
      <c r="K39" s="406">
        <f t="shared" si="4"/>
        <v>472</v>
      </c>
      <c r="L39" s="406">
        <f t="shared" si="4"/>
        <v>529</v>
      </c>
      <c r="M39" s="406">
        <f t="shared" si="4"/>
        <v>559</v>
      </c>
      <c r="N39" s="406">
        <f t="shared" si="4"/>
        <v>609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9.3025999999999998E-2</v>
      </c>
      <c r="AL39" s="418">
        <f t="shared" ref="AL39:AV41" si="5">+AK39+AK18</f>
        <v>0.18945800000000002</v>
      </c>
      <c r="AM39" s="418">
        <f t="shared" si="5"/>
        <v>0.27773200000000003</v>
      </c>
      <c r="AN39" s="418">
        <f t="shared" si="5"/>
        <v>0.37268600000000002</v>
      </c>
      <c r="AO39" s="418">
        <f t="shared" si="5"/>
        <v>0.45850200000000002</v>
      </c>
      <c r="AP39" s="418">
        <f t="shared" si="5"/>
        <v>0.54649000000000003</v>
      </c>
      <c r="AQ39" s="418">
        <f t="shared" si="5"/>
        <v>0.65512300000000001</v>
      </c>
      <c r="AR39" s="418">
        <f t="shared" si="5"/>
        <v>0.77010900000000004</v>
      </c>
      <c r="AS39" s="418">
        <f t="shared" si="5"/>
        <v>0.87810900000000003</v>
      </c>
      <c r="AT39" s="418">
        <f t="shared" si="5"/>
        <v>0.98311100000000007</v>
      </c>
      <c r="AU39" s="418">
        <f t="shared" si="5"/>
        <v>1.074238</v>
      </c>
      <c r="AV39" s="418">
        <f t="shared" si="5"/>
        <v>1.168077</v>
      </c>
      <c r="AW39" s="158"/>
      <c r="AX39" s="158"/>
      <c r="AY39" s="747" t="s">
        <v>92</v>
      </c>
      <c r="AZ39" s="714">
        <f>+VLOOKUP($A$1,data!$A$133:$BK$163,26)</f>
        <v>22.417516833645852</v>
      </c>
      <c r="BA39" s="714">
        <f>+VLOOKUP($A$1,data!$A$133:$BK$163,27)</f>
        <v>17.322823611067346</v>
      </c>
      <c r="BB39" s="714">
        <f>+VLOOKUP($A$1,data!$A$133:$BK$163,28)</f>
        <v>25.74488591986972</v>
      </c>
      <c r="BC39" s="714">
        <f>+VLOOKUP($A$1,data!$A$133:$BK$163,29)</f>
        <v>21.861815918120534</v>
      </c>
      <c r="BD39" s="714">
        <f>+VLOOKUP($A$1,data!$A$133:$BK$163,30)</f>
        <v>21.999491399718394</v>
      </c>
      <c r="BE39" s="714">
        <f>+VLOOKUP($A$1,data!$A$133:$BK$163,31)</f>
        <v>28.373184819622878</v>
      </c>
      <c r="BF39" s="714">
        <f>+VLOOKUP($A$1,data!$A$133:$BK$163,32)</f>
        <v>29.934004946912435</v>
      </c>
      <c r="BG39" s="714">
        <f>+VLOOKUP($A$1,data!$A$133:$BK$163,33)</f>
        <v>24.384765359687972</v>
      </c>
      <c r="BH39" s="714">
        <f>+VLOOKUP($A$1,data!$A$133:$BK$163,34)</f>
        <v>18.363821800935696</v>
      </c>
      <c r="BI39" s="714">
        <f>+VLOOKUP($A$1,data!$A$133:$BK$163,35)</f>
        <v>16.926662353581744</v>
      </c>
      <c r="BJ39" s="714">
        <f>+VLOOKUP($A$1,data!$A$133:$BK$163,36)</f>
        <v>21.990873137297022</v>
      </c>
      <c r="BK39" s="714">
        <f>+VLOOKUP($A$1,data!$A$133:$BK$163,37)</f>
        <v>22.457156273749131</v>
      </c>
      <c r="BL39" s="714">
        <f>+VLOOKUP($A$1,data!$A$133:$BK$163,38)</f>
        <v>22.991429426444931</v>
      </c>
      <c r="BM39" s="714">
        <f>+VLOOKUP($A$1,data!$A$133:$BK$163,39)</f>
        <v>33.790545172496067</v>
      </c>
      <c r="BN39" s="714">
        <f>+VLOOKUP($A$1,data!$A$133:$BK$163,40)</f>
        <v>28.2482240854035</v>
      </c>
      <c r="BO39" s="714">
        <f>+VLOOKUP($A$1,data!$A$133:$BK$163,41)</f>
        <v>24.001564131090582</v>
      </c>
    </row>
    <row r="40" spans="1:67" ht="21.75" thickBot="1" x14ac:dyDescent="0.4">
      <c r="A40"/>
      <c r="B40" s="408" t="s">
        <v>94</v>
      </c>
      <c r="C40" s="409">
        <f>+B19</f>
        <v>61.762087490406749</v>
      </c>
      <c r="D40" s="409">
        <f t="shared" si="4"/>
        <v>130.49731389102072</v>
      </c>
      <c r="E40" s="409">
        <f t="shared" si="4"/>
        <v>204.21335379892554</v>
      </c>
      <c r="F40" s="409">
        <f t="shared" si="4"/>
        <v>278.92555640828857</v>
      </c>
      <c r="G40" s="409">
        <f t="shared" si="4"/>
        <v>422.37298541826556</v>
      </c>
      <c r="H40" s="409">
        <f t="shared" si="4"/>
        <v>583.75134305448967</v>
      </c>
      <c r="I40" s="409">
        <f t="shared" si="4"/>
        <v>719.22947045280125</v>
      </c>
      <c r="J40" s="409">
        <f t="shared" si="4"/>
        <v>862.67689946277824</v>
      </c>
      <c r="K40" s="409">
        <f t="shared" si="4"/>
        <v>976.23944742901006</v>
      </c>
      <c r="L40" s="409">
        <f t="shared" si="4"/>
        <v>1082.8288564850345</v>
      </c>
      <c r="M40" s="409">
        <f t="shared" si="4"/>
        <v>1194.3990790483499</v>
      </c>
      <c r="N40" s="409">
        <f t="shared" si="4"/>
        <v>1298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0.10083499999999999</v>
      </c>
      <c r="AL40" s="423">
        <f t="shared" si="5"/>
        <v>0.201984</v>
      </c>
      <c r="AM40" s="423">
        <f t="shared" si="5"/>
        <v>0.298952</v>
      </c>
      <c r="AN40" s="423">
        <f t="shared" si="5"/>
        <v>0.405949</v>
      </c>
      <c r="AO40" s="423">
        <f t="shared" si="5"/>
        <v>0.50312900000000005</v>
      </c>
      <c r="AP40" s="423">
        <f t="shared" si="5"/>
        <v>0.59936300000000009</v>
      </c>
      <c r="AQ40" s="423">
        <f t="shared" si="5"/>
        <v>0.71456500000000012</v>
      </c>
      <c r="AR40" s="423">
        <f t="shared" si="5"/>
        <v>0.83674100000000018</v>
      </c>
      <c r="AS40" s="423">
        <f t="shared" si="5"/>
        <v>0.95484300000000022</v>
      </c>
      <c r="AT40" s="423">
        <f t="shared" si="5"/>
        <v>1.0670100000000002</v>
      </c>
      <c r="AU40" s="423">
        <f t="shared" si="5"/>
        <v>1.1752690000000001</v>
      </c>
      <c r="AV40" s="423">
        <f t="shared" si="5"/>
        <v>1.2832910000000002</v>
      </c>
      <c r="AW40" s="158"/>
      <c r="AX40" s="158"/>
      <c r="AY40" s="748" t="s">
        <v>94</v>
      </c>
      <c r="AZ40" s="715">
        <f>+VLOOKUP($A$1,data!$A$133:$BK$163,22)</f>
        <v>22.999981999387977</v>
      </c>
      <c r="BA40" s="715">
        <f>+$AZ$40</f>
        <v>22.999981999387977</v>
      </c>
      <c r="BB40" s="715">
        <f t="shared" ref="BB40:BO40" si="6">+$AZ$40</f>
        <v>22.999981999387977</v>
      </c>
      <c r="BC40" s="715">
        <f t="shared" si="6"/>
        <v>22.999981999387977</v>
      </c>
      <c r="BD40" s="715">
        <f t="shared" si="6"/>
        <v>22.999981999387977</v>
      </c>
      <c r="BE40" s="715">
        <f t="shared" si="6"/>
        <v>22.999981999387977</v>
      </c>
      <c r="BF40" s="715">
        <f t="shared" si="6"/>
        <v>22.999981999387977</v>
      </c>
      <c r="BG40" s="715">
        <f t="shared" si="6"/>
        <v>22.999981999387977</v>
      </c>
      <c r="BH40" s="715">
        <f t="shared" si="6"/>
        <v>22.999981999387977</v>
      </c>
      <c r="BI40" s="715">
        <f t="shared" si="6"/>
        <v>22.999981999387977</v>
      </c>
      <c r="BJ40" s="715">
        <f t="shared" si="6"/>
        <v>22.999981999387977</v>
      </c>
      <c r="BK40" s="715">
        <f t="shared" si="6"/>
        <v>22.999981999387977</v>
      </c>
      <c r="BL40" s="715">
        <f t="shared" si="6"/>
        <v>22.999981999387977</v>
      </c>
      <c r="BM40" s="715">
        <f t="shared" si="6"/>
        <v>22.999981999387977</v>
      </c>
      <c r="BN40" s="715">
        <f t="shared" si="6"/>
        <v>22.999981999387977</v>
      </c>
      <c r="BO40" s="715">
        <f t="shared" si="6"/>
        <v>22.999981999387977</v>
      </c>
    </row>
    <row r="41" spans="1:67" ht="21.75" thickBot="1" x14ac:dyDescent="0.4">
      <c r="A41"/>
      <c r="B41" s="413" t="s">
        <v>93</v>
      </c>
      <c r="C41" s="414">
        <f>+B20</f>
        <v>89</v>
      </c>
      <c r="D41" s="414">
        <f t="shared" si="4"/>
        <v>119</v>
      </c>
      <c r="E41" s="414">
        <f t="shared" si="4"/>
        <v>182</v>
      </c>
      <c r="F41" s="414">
        <f t="shared" si="4"/>
        <v>198</v>
      </c>
      <c r="G41" s="414">
        <f t="shared" si="4"/>
        <v>237</v>
      </c>
      <c r="H41" s="414">
        <f t="shared" si="4"/>
        <v>261</v>
      </c>
      <c r="I41" s="414">
        <f t="shared" si="4"/>
        <v>303</v>
      </c>
      <c r="J41" s="414">
        <f t="shared" si="4"/>
        <v>354</v>
      </c>
      <c r="K41" s="414">
        <f t="shared" si="4"/>
        <v>434</v>
      </c>
      <c r="L41" s="414">
        <f t="shared" si="4"/>
        <v>467</v>
      </c>
      <c r="M41" s="414">
        <f t="shared" si="4"/>
        <v>526</v>
      </c>
      <c r="N41" s="414">
        <f t="shared" si="4"/>
        <v>552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9.0923000000000004E-2</v>
      </c>
      <c r="AL41" s="420">
        <f t="shared" si="5"/>
        <v>0.18618000000000001</v>
      </c>
      <c r="AM41" s="420">
        <f t="shared" si="5"/>
        <v>0.27878200000000003</v>
      </c>
      <c r="AN41" s="420">
        <f t="shared" si="5"/>
        <v>0.37566000000000005</v>
      </c>
      <c r="AO41" s="420">
        <f t="shared" si="5"/>
        <v>0.47270700000000004</v>
      </c>
      <c r="AP41" s="420">
        <f t="shared" si="5"/>
        <v>0.56935800000000003</v>
      </c>
      <c r="AQ41" s="420">
        <f t="shared" si="5"/>
        <v>0.67584600000000006</v>
      </c>
      <c r="AR41" s="420">
        <f t="shared" si="5"/>
        <v>0.78516200000000003</v>
      </c>
      <c r="AS41" s="420">
        <f t="shared" si="5"/>
        <v>0.889463</v>
      </c>
      <c r="AT41" s="420">
        <f t="shared" si="5"/>
        <v>0.98737699999999995</v>
      </c>
      <c r="AU41" s="420">
        <f t="shared" si="5"/>
        <v>1.0873429999999999</v>
      </c>
      <c r="AV41" s="420">
        <f t="shared" si="5"/>
        <v>1.1879999999999999</v>
      </c>
      <c r="AW41" s="158"/>
      <c r="AX41" s="158"/>
      <c r="AY41" s="749" t="s">
        <v>93</v>
      </c>
      <c r="AZ41" s="716">
        <f>+VLOOKUP($A$1,data!$A$133:$BK$163,3)</f>
        <v>28.458095960367231</v>
      </c>
      <c r="BA41" s="716">
        <f>+VLOOKUP($A$1,data!$A$133:$BK$163,4)</f>
        <v>22.186781698136873</v>
      </c>
      <c r="BB41" s="716">
        <f>+VLOOKUP($A$1,data!$A$133:$BK$163,5)</f>
        <v>20.29005359313734</v>
      </c>
      <c r="BC41" s="716">
        <f>+VLOOKUP($A$1,data!$A$133:$BK$163,6)</f>
        <v>23.761425903876095</v>
      </c>
      <c r="BD41" s="716">
        <f>+VLOOKUP($A$1,data!$A$133:$BK$163,7)</f>
        <v>19.747284835854582</v>
      </c>
      <c r="BE41" s="716">
        <f>+VLOOKUP($A$1,data!$A$133:$BK$163,8)</f>
        <v>20.831288436487018</v>
      </c>
      <c r="BF41" s="716">
        <f>+VLOOKUP($A$1,data!$A$133:$BK$163,9)</f>
        <v>24.747416541815529</v>
      </c>
      <c r="BG41" s="716">
        <f>+VLOOKUP($A$1,data!$A$133:$BK$163,10)</f>
        <v>22.789332772423581</v>
      </c>
      <c r="BH41" s="716">
        <f>+VLOOKUP($A$1,data!$A$133:$BK$163,11)</f>
        <v>24.660241808305589</v>
      </c>
      <c r="BI41" s="716">
        <f>+VLOOKUP($A$1,data!$A$133:$BK$163,12)</f>
        <v>23.270106062406924</v>
      </c>
      <c r="BJ41" s="716">
        <f>+VLOOKUP($A$1,data!$A$133:$BK$163,13)</f>
        <v>21.959698898098342</v>
      </c>
      <c r="BK41" s="716">
        <f>+VLOOKUP($A$1,data!$A$133:$BK$163,14)</f>
        <v>22.982500588818404</v>
      </c>
      <c r="BL41" s="716">
        <f>+VLOOKUP($A$1,data!$A$133:$BK$163,15)</f>
        <v>23.467772744637887</v>
      </c>
      <c r="BM41" s="716">
        <f>+VLOOKUP($A$1,data!$A$133:$BK$163,16)</f>
        <v>22.392454994226551</v>
      </c>
      <c r="BN41" s="716">
        <f>+VLOOKUP($A$1,data!$A$133:$BK$163,17)</f>
        <v>22.894779067368599</v>
      </c>
      <c r="BO41" s="716">
        <f>+VLOOKUP($A$1,data!$A$133:$BK$163,18)</f>
        <v>22.966131138525057</v>
      </c>
    </row>
    <row r="42" spans="1:67" ht="35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746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747" t="s">
        <v>92</v>
      </c>
      <c r="AZ43" s="825">
        <f>+VLOOKUP($A$1,data!$A$133:$BK$163,55)</f>
        <v>24.001564131090582</v>
      </c>
      <c r="BA43" s="826">
        <f>+VLOOKUP($A$1,data!$A$133:$BK$163,26)</f>
        <v>22.417516833645852</v>
      </c>
      <c r="BB43" s="473">
        <f>+AZ45-AZ43</f>
        <v>-1.035432992565525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748" t="s">
        <v>94</v>
      </c>
      <c r="AZ44" s="829">
        <f>+AZ40</f>
        <v>22.999981999387977</v>
      </c>
      <c r="BA44" s="830"/>
      <c r="BB44" s="472">
        <f>+AZ45-AZ44</f>
        <v>-3.3850860862919774E-2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749" t="s">
        <v>93</v>
      </c>
      <c r="AZ45" s="831">
        <f>+BO41</f>
        <v>22.966131138525057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1025</v>
      </c>
      <c r="B47" s="817" t="str">
        <f>+VLOOKUP($A$1,data!$A$4:$AH$32,2,0)</f>
        <v>พาน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1025</v>
      </c>
      <c r="T47" s="817" t="str">
        <f>+VLOOKUP($A$1,data!$A$4:$AH$32,2,0)</f>
        <v>พาน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1025</v>
      </c>
      <c r="AJ47" s="817" t="str">
        <f>+VLOOKUP($A$1,data!$A$4:$AH$32,2,0)</f>
        <v>พาน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1.7289321599999998</v>
      </c>
      <c r="C64" s="632">
        <f>+VLOOKUP($A$1,data!$A$165:$AU$195,36)</f>
        <v>1.8144108199999998</v>
      </c>
      <c r="D64" s="632">
        <f>+VLOOKUP($A$1,data!$A$165:$AU$195,37)</f>
        <v>1.6506387799999998</v>
      </c>
      <c r="E64" s="632">
        <f>+VLOOKUP($A$1,data!$A$165:$AU$195,38)</f>
        <v>1.7741932900000001</v>
      </c>
      <c r="F64" s="632">
        <f>+VLOOKUP($A$1,data!$A$165:$AU$195,39)</f>
        <v>1.6153326000000001</v>
      </c>
      <c r="G64" s="632">
        <f>+VLOOKUP($A$1,data!$A$165:$AU$195,40)</f>
        <v>1.7010641899999999</v>
      </c>
      <c r="H64" s="632">
        <f>+VLOOKUP($A$1,data!$A$165:$AU$195,41)</f>
        <v>2.0491885699999997</v>
      </c>
      <c r="I64" s="632">
        <f>+VLOOKUP($A$1,data!$A$165:$AU$195,42)</f>
        <v>2.1095685499999997</v>
      </c>
      <c r="J64" s="632">
        <f>+VLOOKUP($A$1,data!$A$165:$AU$195,43)</f>
        <v>2.0306756400000001</v>
      </c>
      <c r="K64" s="632">
        <f>+VLOOKUP($A$1,data!$A$165:$AU$195,44)</f>
        <v>1.9415133900000001</v>
      </c>
      <c r="L64" s="632">
        <f>+VLOOKUP($A$1,data!$A$165:$AU$195,45)</f>
        <v>1.6616304200000001</v>
      </c>
      <c r="M64" s="632">
        <f>+VLOOKUP($A$1,data!$A$165:$AU$195,46)</f>
        <v>1.7284072099999999</v>
      </c>
      <c r="N64" s="632">
        <f>SUM(B64:M64)</f>
        <v>21.805555620000003</v>
      </c>
      <c r="O64" s="632">
        <f>SUM(B64:M64)</f>
        <v>21.805555620000003</v>
      </c>
      <c r="P64" s="635">
        <f>+O66-O64</f>
        <v>-2.0217380000001839E-2</v>
      </c>
      <c r="S64" s="605" t="s">
        <v>92</v>
      </c>
      <c r="T64" s="640">
        <f>+VLOOKUP($A$1,data!$A$197:$AU$227,35)</f>
        <v>0.95949923999999998</v>
      </c>
      <c r="U64" s="640">
        <f>+VLOOKUP($A$1,data!$A$197:$AU$227,36)</f>
        <v>1.00279019</v>
      </c>
      <c r="V64" s="640">
        <f>+VLOOKUP($A$1,data!$A$197:$AU$227,37)</f>
        <v>1.0126688699999999</v>
      </c>
      <c r="W64" s="640">
        <f>+VLOOKUP($A$1,data!$A$197:$AU$227,38)</f>
        <v>1.0292213299999999</v>
      </c>
      <c r="X64" s="640">
        <f>+VLOOKUP($A$1,data!$A$197:$AU$227,39)</f>
        <v>0.94176207000000023</v>
      </c>
      <c r="Y64" s="640">
        <f>+VLOOKUP($A$1,data!$A$197:$AU$227,40)</f>
        <v>0.94488033000000005</v>
      </c>
      <c r="Z64" s="640">
        <f>+VLOOKUP($A$1,data!$A$197:$AU$227,41)</f>
        <v>1.0267422700000002</v>
      </c>
      <c r="AA64" s="640">
        <f>+VLOOKUP($A$1,data!$A$197:$AU$227,42)</f>
        <v>0.98839774000000002</v>
      </c>
      <c r="AB64" s="640">
        <f>+VLOOKUP($A$1,data!$A$197:$AU$227,43)</f>
        <v>1.0236567700000001</v>
      </c>
      <c r="AC64" s="640">
        <f>+VLOOKUP($A$1,data!$A$197:$AU$227,44)</f>
        <v>0.99173962000000004</v>
      </c>
      <c r="AD64" s="640">
        <f>+VLOOKUP($A$1,data!$A$197:$AU$227,45)</f>
        <v>0.96841309000000009</v>
      </c>
      <c r="AE64" s="640">
        <f>+VLOOKUP($A$1,data!$A$197:$AU$227,46)</f>
        <v>1.2121395100000001</v>
      </c>
      <c r="AF64" s="640">
        <f>SUM(T64:AE64)</f>
        <v>12.101911030000002</v>
      </c>
      <c r="AG64" s="640">
        <f>SUM(T64:AE64)</f>
        <v>12.101911030000002</v>
      </c>
      <c r="AH64" s="641">
        <f>+AG66-AG64</f>
        <v>0.38852540000000069</v>
      </c>
      <c r="AI64" s="621" t="s">
        <v>92</v>
      </c>
      <c r="AJ64" s="648">
        <f>+B64-T64</f>
        <v>0.76943291999999985</v>
      </c>
      <c r="AK64" s="648">
        <f t="shared" ref="AK64:AU66" si="7">+C64-U64</f>
        <v>0.81162062999999973</v>
      </c>
      <c r="AL64" s="648">
        <f t="shared" si="7"/>
        <v>0.63796990999999981</v>
      </c>
      <c r="AM64" s="648">
        <f t="shared" si="7"/>
        <v>0.74497196000000021</v>
      </c>
      <c r="AN64" s="648">
        <f t="shared" si="7"/>
        <v>0.67357052999999989</v>
      </c>
      <c r="AO64" s="648">
        <f t="shared" si="7"/>
        <v>0.75618385999999982</v>
      </c>
      <c r="AP64" s="648">
        <f t="shared" si="7"/>
        <v>1.0224462999999995</v>
      </c>
      <c r="AQ64" s="648">
        <f t="shared" si="7"/>
        <v>1.1211708099999997</v>
      </c>
      <c r="AR64" s="648">
        <f t="shared" si="7"/>
        <v>1.00701887</v>
      </c>
      <c r="AS64" s="648">
        <f t="shared" si="7"/>
        <v>0.94977377000000007</v>
      </c>
      <c r="AT64" s="648">
        <f t="shared" si="7"/>
        <v>0.69321732999999996</v>
      </c>
      <c r="AU64" s="648">
        <f t="shared" si="7"/>
        <v>0.51626769999999977</v>
      </c>
      <c r="AV64" s="648">
        <f>SUM(AJ64:AU64)</f>
        <v>9.7036445899999997</v>
      </c>
      <c r="AW64" s="648">
        <f>SUM(AJ64:AU64)</f>
        <v>9.7036445899999997</v>
      </c>
      <c r="AX64" s="651">
        <f>+AW66-AW64</f>
        <v>-0.40874278000000075</v>
      </c>
    </row>
    <row r="65" spans="1:50" ht="21.75" thickBot="1" x14ac:dyDescent="0.4">
      <c r="A65" s="538" t="s">
        <v>94</v>
      </c>
      <c r="B65" s="633">
        <f>+VLOOKUP($A$1,data!$A$165:$AU$195,19)</f>
        <v>1.9006460000000001</v>
      </c>
      <c r="C65" s="633">
        <f>+VLOOKUP($A$1,data!$A$165:$AU$195,20)</f>
        <v>1.8990009999999999</v>
      </c>
      <c r="D65" s="633">
        <f>+VLOOKUP($A$1,data!$A$165:$AU$195,21)</f>
        <v>1.838295</v>
      </c>
      <c r="E65" s="633">
        <f>+VLOOKUP($A$1,data!$A$165:$AU$195,22)</f>
        <v>1.9979910000000001</v>
      </c>
      <c r="F65" s="633">
        <f>+VLOOKUP($A$1,data!$A$165:$AU$195,23)</f>
        <v>1.8588519999999999</v>
      </c>
      <c r="G65" s="633">
        <f>+VLOOKUP($A$1,data!$A$165:$AU$195,24)</f>
        <v>1.8635429999999999</v>
      </c>
      <c r="H65" s="633">
        <f>+VLOOKUP($A$1,data!$A$165:$AU$195,25)</f>
        <v>2.1747640000000001</v>
      </c>
      <c r="I65" s="633">
        <f>+VLOOKUP($A$1,data!$A$165:$AU$195,26)</f>
        <v>2.2698809999999998</v>
      </c>
      <c r="J65" s="633">
        <f>+VLOOKUP($A$1,data!$A$165:$AU$195,27)</f>
        <v>2.214712</v>
      </c>
      <c r="K65" s="633">
        <f>+VLOOKUP($A$1,data!$A$165:$AU$195,28)</f>
        <v>2.0853869999999999</v>
      </c>
      <c r="L65" s="633">
        <f>+VLOOKUP($A$1,data!$A$165:$AU$195,29)</f>
        <v>2.0042789999999999</v>
      </c>
      <c r="M65" s="633">
        <f>+VLOOKUP($A$1,data!$A$165:$AU$195,30)</f>
        <v>2.0247310000000001</v>
      </c>
      <c r="N65" s="633">
        <f>SUM(B65:M65)</f>
        <v>24.132082</v>
      </c>
      <c r="O65" s="636">
        <f t="shared" ref="O65:O66" si="8">SUM(B65:M65)</f>
        <v>24.132082</v>
      </c>
      <c r="P65" s="637">
        <f>+O66-O65</f>
        <v>-2.346743759999999</v>
      </c>
      <c r="S65" s="601" t="s">
        <v>94</v>
      </c>
      <c r="T65" s="642">
        <f>+VLOOKUP($A$1,data!$A$197:$AU$227,19)</f>
        <v>0.98391600000000001</v>
      </c>
      <c r="U65" s="642">
        <f>+VLOOKUP($A$1,data!$A$197:$AU$227,20)</f>
        <v>0.99450700000000003</v>
      </c>
      <c r="V65" s="642">
        <f>+VLOOKUP($A$1,data!$A$197:$AU$227,21)</f>
        <v>0.96327099999999999</v>
      </c>
      <c r="W65" s="642">
        <f>+VLOOKUP($A$1,data!$A$197:$AU$227,22)</f>
        <v>1.0005040000000001</v>
      </c>
      <c r="X65" s="642">
        <f>+VLOOKUP($A$1,data!$A$197:$AU$227,23)</f>
        <v>1.151797</v>
      </c>
      <c r="Y65" s="642">
        <f>+VLOOKUP($A$1,data!$A$197:$AU$227,24)</f>
        <v>1.001544</v>
      </c>
      <c r="Z65" s="642">
        <f>+VLOOKUP($A$1,data!$A$197:$AU$227,25)</f>
        <v>1.00274</v>
      </c>
      <c r="AA65" s="642">
        <f>+VLOOKUP($A$1,data!$A$197:$AU$227,26)</f>
        <v>0.99986900000000001</v>
      </c>
      <c r="AB65" s="642">
        <f>+VLOOKUP($A$1,data!$A$197:$AU$227,27)</f>
        <v>1.051739</v>
      </c>
      <c r="AC65" s="642">
        <f>+VLOOKUP($A$1,data!$A$197:$AU$227,28)</f>
        <v>0.97192699999999999</v>
      </c>
      <c r="AD65" s="642">
        <f>+VLOOKUP($A$1,data!$A$197:$AU$227,29)</f>
        <v>0.99184700000000003</v>
      </c>
      <c r="AE65" s="642">
        <f>+VLOOKUP($A$1,data!$A$197:$AU$227,30)</f>
        <v>1.1243300000000001</v>
      </c>
      <c r="AF65" s="642">
        <f>SUM(T65:AE65)</f>
        <v>12.237991000000001</v>
      </c>
      <c r="AG65" s="643">
        <f t="shared" ref="AG65:AG66" si="9">SUM(T65:AE65)</f>
        <v>12.237991000000001</v>
      </c>
      <c r="AH65" s="644">
        <f>+AG66-AG65</f>
        <v>0.25244543000000164</v>
      </c>
      <c r="AI65" s="617" t="s">
        <v>94</v>
      </c>
      <c r="AJ65" s="649">
        <f>+B65-T65</f>
        <v>0.91673000000000004</v>
      </c>
      <c r="AK65" s="649">
        <f t="shared" si="7"/>
        <v>0.90449399999999991</v>
      </c>
      <c r="AL65" s="649">
        <f t="shared" si="7"/>
        <v>0.87502400000000002</v>
      </c>
      <c r="AM65" s="649">
        <f t="shared" si="7"/>
        <v>0.99748700000000001</v>
      </c>
      <c r="AN65" s="649">
        <f t="shared" si="7"/>
        <v>0.70705499999999999</v>
      </c>
      <c r="AO65" s="649">
        <f t="shared" si="7"/>
        <v>0.86199899999999996</v>
      </c>
      <c r="AP65" s="649">
        <f t="shared" si="7"/>
        <v>1.1720240000000002</v>
      </c>
      <c r="AQ65" s="649">
        <f t="shared" si="7"/>
        <v>1.2700119999999999</v>
      </c>
      <c r="AR65" s="649">
        <f t="shared" si="7"/>
        <v>1.162973</v>
      </c>
      <c r="AS65" s="649">
        <f t="shared" si="7"/>
        <v>1.1134599999999999</v>
      </c>
      <c r="AT65" s="649">
        <f t="shared" si="7"/>
        <v>1.012432</v>
      </c>
      <c r="AU65" s="649">
        <f t="shared" si="7"/>
        <v>0.90040100000000001</v>
      </c>
      <c r="AV65" s="649">
        <f>SUM(AJ65:AU65)</f>
        <v>11.894091000000001</v>
      </c>
      <c r="AW65" s="652">
        <f t="shared" ref="AW65:AW66" si="10">SUM(AJ65:AU65)</f>
        <v>11.894091000000001</v>
      </c>
      <c r="AX65" s="653">
        <f>+AW66-AW65</f>
        <v>-2.5991891900000024</v>
      </c>
    </row>
    <row r="66" spans="1:50" ht="21.75" thickBot="1" x14ac:dyDescent="0.4">
      <c r="A66" s="546" t="s">
        <v>93</v>
      </c>
      <c r="B66" s="634">
        <f>+VLOOKUP($A$1,data!$A$165:$AU$195,3)</f>
        <v>1.7400232499999999</v>
      </c>
      <c r="C66" s="634">
        <f>+VLOOKUP($A$1,data!$A$165:$AU$195,4)</f>
        <v>1.7510754499999996</v>
      </c>
      <c r="D66" s="634">
        <f>+VLOOKUP($A$1,data!$A$165:$AU$195,5)</f>
        <v>1.7087324700000002</v>
      </c>
      <c r="E66" s="634">
        <f>+VLOOKUP($A$1,data!$A$165:$AU$195,6)</f>
        <v>1.6996047899999998</v>
      </c>
      <c r="F66" s="634">
        <f>+VLOOKUP($A$1,data!$A$165:$AU$195,7)</f>
        <v>1.7906440700000001</v>
      </c>
      <c r="G66" s="634">
        <f>+VLOOKUP($A$1,data!$A$165:$AU$195,8)</f>
        <v>1.78800297</v>
      </c>
      <c r="H66" s="634">
        <f>+VLOOKUP($A$1,data!$A$165:$AU$195,9)</f>
        <v>2.0537876000000002</v>
      </c>
      <c r="I66" s="634">
        <f>+VLOOKUP($A$1,data!$A$165:$AU$195,10)</f>
        <v>2.0100690299999999</v>
      </c>
      <c r="J66" s="634">
        <f>+VLOOKUP($A$1,data!$A$165:$AU$195,11)</f>
        <v>1.8977047499999999</v>
      </c>
      <c r="K66" s="634">
        <f>+VLOOKUP($A$1,data!$A$165:$AU$195,12)</f>
        <v>1.7703941000000001</v>
      </c>
      <c r="L66" s="634">
        <f>+VLOOKUP($A$1,data!$A$165:$AU$195,13)</f>
        <v>1.7549579600000005</v>
      </c>
      <c r="M66" s="634">
        <f>+VLOOKUP($A$1,data!$A$165:$AU$195,14)</f>
        <v>1.8203418</v>
      </c>
      <c r="N66" s="634">
        <f>SUM(B66:M66)</f>
        <v>21.785338240000002</v>
      </c>
      <c r="O66" s="638">
        <f t="shared" si="8"/>
        <v>21.785338240000002</v>
      </c>
      <c r="P66" s="639"/>
      <c r="S66" s="608" t="s">
        <v>93</v>
      </c>
      <c r="T66" s="645">
        <f>+VLOOKUP($A$1,data!$A$197:$AU$227,3)</f>
        <v>0.94793689000000014</v>
      </c>
      <c r="U66" s="645">
        <f>+VLOOKUP($A$1,data!$A$197:$AU$227,4)</f>
        <v>1.01169468</v>
      </c>
      <c r="V66" s="645">
        <f>+VLOOKUP($A$1,data!$A$197:$AU$227,5)</f>
        <v>1.0972923499999996</v>
      </c>
      <c r="W66" s="645">
        <f>+VLOOKUP($A$1,data!$A$197:$AU$227,6)</f>
        <v>0.94764974000000013</v>
      </c>
      <c r="X66" s="645">
        <f>+VLOOKUP($A$1,data!$A$197:$AU$227,7)</f>
        <v>0.92293220999999992</v>
      </c>
      <c r="Y66" s="645">
        <f>+VLOOKUP($A$1,data!$A$197:$AU$227,8)</f>
        <v>1.1369064800000002</v>
      </c>
      <c r="Z66" s="645">
        <f>+VLOOKUP($A$1,data!$A$197:$AU$227,9)</f>
        <v>1.08947119</v>
      </c>
      <c r="AA66" s="645">
        <f>+VLOOKUP($A$1,data!$A$197:$AU$227,10)</f>
        <v>1.03495636</v>
      </c>
      <c r="AB66" s="645">
        <f>+VLOOKUP($A$1,data!$A$197:$AU$227,11)</f>
        <v>1.0771876500000004</v>
      </c>
      <c r="AC66" s="645">
        <f>+VLOOKUP($A$1,data!$A$197:$AU$227,12)</f>
        <v>1.0096955500000002</v>
      </c>
      <c r="AD66" s="645">
        <f>+VLOOKUP($A$1,data!$A$197:$AU$227,13)</f>
        <v>1.12324979</v>
      </c>
      <c r="AE66" s="645">
        <f>+VLOOKUP($A$1,data!$A$197:$AU$227,14)</f>
        <v>1.0914635399999999</v>
      </c>
      <c r="AF66" s="645">
        <f>SUM(T66:AE66)</f>
        <v>12.490436430000003</v>
      </c>
      <c r="AG66" s="646">
        <f t="shared" si="9"/>
        <v>12.490436430000003</v>
      </c>
      <c r="AH66" s="647"/>
      <c r="AI66" s="624" t="s">
        <v>93</v>
      </c>
      <c r="AJ66" s="650">
        <f>+B66-T66</f>
        <v>0.79208635999999977</v>
      </c>
      <c r="AK66" s="650">
        <f t="shared" si="7"/>
        <v>0.73938076999999969</v>
      </c>
      <c r="AL66" s="650">
        <f t="shared" si="7"/>
        <v>0.61144012000000059</v>
      </c>
      <c r="AM66" s="650">
        <f t="shared" si="7"/>
        <v>0.75195504999999963</v>
      </c>
      <c r="AN66" s="650">
        <f t="shared" si="7"/>
        <v>0.86771186000000022</v>
      </c>
      <c r="AO66" s="650">
        <f t="shared" si="7"/>
        <v>0.65109648999999981</v>
      </c>
      <c r="AP66" s="650">
        <f t="shared" si="7"/>
        <v>0.96431641000000012</v>
      </c>
      <c r="AQ66" s="650">
        <f t="shared" si="7"/>
        <v>0.9751126699999999</v>
      </c>
      <c r="AR66" s="650">
        <f t="shared" si="7"/>
        <v>0.82051709999999956</v>
      </c>
      <c r="AS66" s="650">
        <f>+K66-AC66</f>
        <v>0.76069854999999986</v>
      </c>
      <c r="AT66" s="650">
        <f>+L66-AD66</f>
        <v>0.63170817000000046</v>
      </c>
      <c r="AU66" s="650">
        <f>+M66-AE66</f>
        <v>0.72887826000000011</v>
      </c>
      <c r="AV66" s="650">
        <f>SUM(AJ66:AU66)</f>
        <v>9.2949018099999989</v>
      </c>
      <c r="AW66" s="654">
        <f t="shared" si="10"/>
        <v>9.2949018099999989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1.7289321599999998</v>
      </c>
      <c r="D85" s="628">
        <f t="shared" ref="D85:N87" si="11">+C85+C64</f>
        <v>3.5433429799999994</v>
      </c>
      <c r="E85" s="628">
        <f t="shared" si="11"/>
        <v>5.1939817599999989</v>
      </c>
      <c r="F85" s="628">
        <f t="shared" si="11"/>
        <v>6.9681750499999993</v>
      </c>
      <c r="G85" s="628">
        <f t="shared" si="11"/>
        <v>8.5835076499999996</v>
      </c>
      <c r="H85" s="628">
        <f t="shared" si="11"/>
        <v>10.28457184</v>
      </c>
      <c r="I85" s="628">
        <f t="shared" si="11"/>
        <v>12.33376041</v>
      </c>
      <c r="J85" s="628">
        <f t="shared" si="11"/>
        <v>14.443328959999999</v>
      </c>
      <c r="K85" s="628">
        <f t="shared" si="11"/>
        <v>16.474004600000001</v>
      </c>
      <c r="L85" s="628">
        <f t="shared" si="11"/>
        <v>18.415517990000001</v>
      </c>
      <c r="M85" s="628">
        <f t="shared" si="11"/>
        <v>20.077148410000003</v>
      </c>
      <c r="N85" s="628">
        <f t="shared" si="11"/>
        <v>21.805555620000003</v>
      </c>
      <c r="S85"/>
      <c r="T85" s="605" t="s">
        <v>92</v>
      </c>
      <c r="U85" s="640">
        <f>+T64</f>
        <v>0.95949923999999998</v>
      </c>
      <c r="V85" s="640">
        <f t="shared" ref="V85:AF87" si="12">+U85+U64</f>
        <v>1.96228943</v>
      </c>
      <c r="W85" s="640">
        <f t="shared" si="12"/>
        <v>2.9749582999999999</v>
      </c>
      <c r="X85" s="640">
        <f t="shared" si="12"/>
        <v>4.0041796299999994</v>
      </c>
      <c r="Y85" s="640">
        <f t="shared" si="12"/>
        <v>4.9459416999999997</v>
      </c>
      <c r="Z85" s="640">
        <f t="shared" si="12"/>
        <v>5.8908220299999998</v>
      </c>
      <c r="AA85" s="640">
        <f t="shared" si="12"/>
        <v>6.9175643000000004</v>
      </c>
      <c r="AB85" s="640">
        <f t="shared" si="12"/>
        <v>7.9059620400000004</v>
      </c>
      <c r="AC85" s="640">
        <f t="shared" si="12"/>
        <v>8.9296188100000009</v>
      </c>
      <c r="AD85" s="640">
        <f t="shared" si="12"/>
        <v>9.9213584300000015</v>
      </c>
      <c r="AE85" s="640">
        <f t="shared" si="12"/>
        <v>10.889771520000002</v>
      </c>
      <c r="AF85" s="640">
        <f t="shared" si="12"/>
        <v>12.101911030000002</v>
      </c>
      <c r="AG85" s="158"/>
      <c r="AH85" s="158"/>
      <c r="AI85"/>
      <c r="AJ85" s="621" t="s">
        <v>92</v>
      </c>
      <c r="AK85" s="648">
        <f>+AJ64</f>
        <v>0.76943291999999985</v>
      </c>
      <c r="AL85" s="648">
        <f t="shared" ref="AL85:AV87" si="13">+AK85+AK64</f>
        <v>1.5810535499999996</v>
      </c>
      <c r="AM85" s="648">
        <f t="shared" si="13"/>
        <v>2.2190234599999994</v>
      </c>
      <c r="AN85" s="648">
        <f t="shared" si="13"/>
        <v>2.9639954199999998</v>
      </c>
      <c r="AO85" s="648">
        <f t="shared" si="13"/>
        <v>3.6375659499999999</v>
      </c>
      <c r="AP85" s="648">
        <f t="shared" si="13"/>
        <v>4.3937498100000001</v>
      </c>
      <c r="AQ85" s="648">
        <f t="shared" si="13"/>
        <v>5.4161961099999996</v>
      </c>
      <c r="AR85" s="648">
        <f t="shared" si="13"/>
        <v>6.5373669199999993</v>
      </c>
      <c r="AS85" s="648">
        <f t="shared" si="13"/>
        <v>7.5443857899999998</v>
      </c>
      <c r="AT85" s="648">
        <f t="shared" si="13"/>
        <v>8.4941595599999999</v>
      </c>
      <c r="AU85" s="648">
        <f t="shared" si="13"/>
        <v>9.1873768899999995</v>
      </c>
      <c r="AV85" s="648">
        <f t="shared" si="13"/>
        <v>9.7036445899999997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1.9006460000000001</v>
      </c>
      <c r="D86" s="633">
        <f t="shared" si="11"/>
        <v>3.7996470000000002</v>
      </c>
      <c r="E86" s="633">
        <f t="shared" si="11"/>
        <v>5.6379420000000007</v>
      </c>
      <c r="F86" s="633">
        <f t="shared" si="11"/>
        <v>7.6359330000000005</v>
      </c>
      <c r="G86" s="633">
        <f t="shared" si="11"/>
        <v>9.4947850000000003</v>
      </c>
      <c r="H86" s="633">
        <f t="shared" si="11"/>
        <v>11.358328</v>
      </c>
      <c r="I86" s="633">
        <f t="shared" si="11"/>
        <v>13.533092</v>
      </c>
      <c r="J86" s="633">
        <f t="shared" si="11"/>
        <v>15.802973</v>
      </c>
      <c r="K86" s="633">
        <f t="shared" si="11"/>
        <v>18.017685</v>
      </c>
      <c r="L86" s="633">
        <f t="shared" si="11"/>
        <v>20.103072000000001</v>
      </c>
      <c r="M86" s="633">
        <f t="shared" si="11"/>
        <v>22.107351000000001</v>
      </c>
      <c r="N86" s="633">
        <f t="shared" si="11"/>
        <v>24.132082</v>
      </c>
      <c r="S86"/>
      <c r="T86" s="601" t="s">
        <v>94</v>
      </c>
      <c r="U86" s="642">
        <f>+T65</f>
        <v>0.98391600000000001</v>
      </c>
      <c r="V86" s="642">
        <f t="shared" si="12"/>
        <v>1.978423</v>
      </c>
      <c r="W86" s="642">
        <f t="shared" si="12"/>
        <v>2.941694</v>
      </c>
      <c r="X86" s="642">
        <f t="shared" si="12"/>
        <v>3.9421980000000003</v>
      </c>
      <c r="Y86" s="642">
        <f t="shared" si="12"/>
        <v>5.0939950000000005</v>
      </c>
      <c r="Z86" s="642">
        <f t="shared" si="12"/>
        <v>6.0955390000000005</v>
      </c>
      <c r="AA86" s="642">
        <f t="shared" si="12"/>
        <v>7.0982790000000007</v>
      </c>
      <c r="AB86" s="642">
        <f t="shared" si="12"/>
        <v>8.0981480000000001</v>
      </c>
      <c r="AC86" s="642">
        <f t="shared" si="12"/>
        <v>9.1498869999999997</v>
      </c>
      <c r="AD86" s="642">
        <f t="shared" si="12"/>
        <v>10.121814000000001</v>
      </c>
      <c r="AE86" s="642">
        <f t="shared" si="12"/>
        <v>11.113661</v>
      </c>
      <c r="AF86" s="642">
        <f t="shared" si="12"/>
        <v>12.237991000000001</v>
      </c>
      <c r="AG86" s="158"/>
      <c r="AH86" s="158"/>
      <c r="AI86"/>
      <c r="AJ86" s="617" t="s">
        <v>94</v>
      </c>
      <c r="AK86" s="649">
        <f>+AJ65</f>
        <v>0.91673000000000004</v>
      </c>
      <c r="AL86" s="649">
        <f t="shared" si="13"/>
        <v>1.821224</v>
      </c>
      <c r="AM86" s="649">
        <f t="shared" si="13"/>
        <v>2.6962479999999998</v>
      </c>
      <c r="AN86" s="649">
        <f t="shared" si="13"/>
        <v>3.6937349999999998</v>
      </c>
      <c r="AO86" s="649">
        <f t="shared" si="13"/>
        <v>4.4007899999999998</v>
      </c>
      <c r="AP86" s="649">
        <f t="shared" si="13"/>
        <v>5.2627889999999997</v>
      </c>
      <c r="AQ86" s="649">
        <f t="shared" si="13"/>
        <v>6.4348130000000001</v>
      </c>
      <c r="AR86" s="649">
        <f t="shared" si="13"/>
        <v>7.7048249999999996</v>
      </c>
      <c r="AS86" s="649">
        <f t="shared" si="13"/>
        <v>8.8677980000000005</v>
      </c>
      <c r="AT86" s="649">
        <f t="shared" si="13"/>
        <v>9.9812580000000004</v>
      </c>
      <c r="AU86" s="649">
        <f t="shared" si="13"/>
        <v>10.993690000000001</v>
      </c>
      <c r="AV86" s="649">
        <f t="shared" si="13"/>
        <v>11.894091000000001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1.7400232499999999</v>
      </c>
      <c r="D87" s="629">
        <f t="shared" si="11"/>
        <v>3.4910986999999993</v>
      </c>
      <c r="E87" s="629">
        <f t="shared" si="11"/>
        <v>5.1998311699999995</v>
      </c>
      <c r="F87" s="629">
        <f t="shared" si="11"/>
        <v>6.899435959999999</v>
      </c>
      <c r="G87" s="629">
        <f t="shared" si="11"/>
        <v>8.690080029999999</v>
      </c>
      <c r="H87" s="629">
        <f t="shared" si="11"/>
        <v>10.478082999999998</v>
      </c>
      <c r="I87" s="629">
        <f t="shared" si="11"/>
        <v>12.531870599999998</v>
      </c>
      <c r="J87" s="629">
        <f t="shared" si="11"/>
        <v>14.541939629999998</v>
      </c>
      <c r="K87" s="629">
        <f t="shared" si="11"/>
        <v>16.439644379999997</v>
      </c>
      <c r="L87" s="629">
        <f t="shared" si="11"/>
        <v>18.210038479999998</v>
      </c>
      <c r="M87" s="629">
        <f t="shared" si="11"/>
        <v>19.96499644</v>
      </c>
      <c r="N87" s="629">
        <f t="shared" si="11"/>
        <v>21.785338240000002</v>
      </c>
      <c r="S87"/>
      <c r="T87" s="608" t="s">
        <v>93</v>
      </c>
      <c r="U87" s="645">
        <f>+T66</f>
        <v>0.94793689000000014</v>
      </c>
      <c r="V87" s="645">
        <f t="shared" si="12"/>
        <v>1.95963157</v>
      </c>
      <c r="W87" s="645">
        <f t="shared" si="12"/>
        <v>3.0569239199999996</v>
      </c>
      <c r="X87" s="645">
        <f t="shared" si="12"/>
        <v>4.0045736600000001</v>
      </c>
      <c r="Y87" s="645">
        <f t="shared" si="12"/>
        <v>4.9275058700000001</v>
      </c>
      <c r="Z87" s="645">
        <f t="shared" si="12"/>
        <v>6.0644123500000005</v>
      </c>
      <c r="AA87" s="645">
        <f t="shared" si="12"/>
        <v>7.1538835400000007</v>
      </c>
      <c r="AB87" s="645">
        <f t="shared" si="12"/>
        <v>8.1888399000000014</v>
      </c>
      <c r="AC87" s="645">
        <f t="shared" si="12"/>
        <v>9.2660275500000022</v>
      </c>
      <c r="AD87" s="645">
        <f t="shared" si="12"/>
        <v>10.275723100000002</v>
      </c>
      <c r="AE87" s="645">
        <f t="shared" si="12"/>
        <v>11.398972890000003</v>
      </c>
      <c r="AF87" s="645">
        <f t="shared" si="12"/>
        <v>12.490436430000003</v>
      </c>
      <c r="AG87" s="158"/>
      <c r="AH87" s="158"/>
      <c r="AI87"/>
      <c r="AJ87" s="624" t="s">
        <v>93</v>
      </c>
      <c r="AK87" s="650">
        <f>+AJ66</f>
        <v>0.79208635999999977</v>
      </c>
      <c r="AL87" s="650">
        <f t="shared" si="13"/>
        <v>1.5314671299999993</v>
      </c>
      <c r="AM87" s="650">
        <f t="shared" si="13"/>
        <v>2.1429072499999999</v>
      </c>
      <c r="AN87" s="650">
        <f t="shared" si="13"/>
        <v>2.8948622999999998</v>
      </c>
      <c r="AO87" s="650">
        <f t="shared" si="13"/>
        <v>3.7625741599999998</v>
      </c>
      <c r="AP87" s="650">
        <f t="shared" si="13"/>
        <v>4.4136706499999994</v>
      </c>
      <c r="AQ87" s="650">
        <f t="shared" si="13"/>
        <v>5.3779870599999997</v>
      </c>
      <c r="AR87" s="650">
        <f t="shared" si="13"/>
        <v>6.3530997299999994</v>
      </c>
      <c r="AS87" s="650">
        <f t="shared" si="13"/>
        <v>7.1736168299999985</v>
      </c>
      <c r="AT87" s="650">
        <f t="shared" si="13"/>
        <v>7.9343153799999984</v>
      </c>
      <c r="AU87" s="650">
        <f t="shared" si="13"/>
        <v>8.5660235499999988</v>
      </c>
      <c r="AV87" s="650">
        <f t="shared" si="13"/>
        <v>9.2949018099999989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G16:G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T1:AD1"/>
    <mergeCell ref="AE1:AH1"/>
    <mergeCell ref="BG16:BG17"/>
    <mergeCell ref="BH16:BH17"/>
    <mergeCell ref="BI16:BI17"/>
    <mergeCell ref="AS16:AS17"/>
    <mergeCell ref="AT16:AT17"/>
    <mergeCell ref="AU16:AU17"/>
    <mergeCell ref="A16:A17"/>
    <mergeCell ref="B16:B17"/>
    <mergeCell ref="C16:C17"/>
    <mergeCell ref="D16:D17"/>
    <mergeCell ref="E16:E17"/>
    <mergeCell ref="F16:F17"/>
    <mergeCell ref="AD19:AE19"/>
    <mergeCell ref="H16:H17"/>
    <mergeCell ref="I16:I17"/>
    <mergeCell ref="J16:J17"/>
    <mergeCell ref="K16:K17"/>
    <mergeCell ref="T19:U20"/>
    <mergeCell ref="V19:W19"/>
    <mergeCell ref="X19:Y19"/>
    <mergeCell ref="Z19:AA19"/>
    <mergeCell ref="AB19:AC19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AN16:AN17"/>
    <mergeCell ref="G37:G38"/>
    <mergeCell ref="AM16:AM17"/>
    <mergeCell ref="AM37:AM38"/>
    <mergeCell ref="T21:U21"/>
    <mergeCell ref="T22:U22"/>
    <mergeCell ref="T23:U23"/>
    <mergeCell ref="AN37:AN38"/>
    <mergeCell ref="H37:H38"/>
    <mergeCell ref="I37:I38"/>
    <mergeCell ref="J37:J38"/>
    <mergeCell ref="K37:K38"/>
    <mergeCell ref="L37:L38"/>
    <mergeCell ref="AV16:AV17"/>
    <mergeCell ref="AY16:AY17"/>
    <mergeCell ref="AZ16:AZ17"/>
    <mergeCell ref="BA16:BA17"/>
    <mergeCell ref="BC16:BC17"/>
    <mergeCell ref="BD16:BD17"/>
    <mergeCell ref="BE16:BE17"/>
    <mergeCell ref="BF16:BF17"/>
    <mergeCell ref="BB16:BB17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AU62:AU63"/>
    <mergeCell ref="AV62:AV63"/>
    <mergeCell ref="AP62:AP63"/>
    <mergeCell ref="AQ62:AQ63"/>
    <mergeCell ref="AR62:AR63"/>
    <mergeCell ref="AS62:AS63"/>
    <mergeCell ref="X62:X63"/>
    <mergeCell ref="Y62:Y63"/>
    <mergeCell ref="AO62:AO63"/>
    <mergeCell ref="B83:B84"/>
    <mergeCell ref="C83:C84"/>
    <mergeCell ref="D83:D84"/>
    <mergeCell ref="E83:E84"/>
    <mergeCell ref="F83:F84"/>
    <mergeCell ref="G83:G84"/>
    <mergeCell ref="H83:H84"/>
    <mergeCell ref="I83:I84"/>
    <mergeCell ref="AN62:AN63"/>
    <mergeCell ref="AF62:AF63"/>
    <mergeCell ref="AI62:AI63"/>
    <mergeCell ref="AJ62:AJ63"/>
    <mergeCell ref="AK62:AK63"/>
    <mergeCell ref="AL62:AL63"/>
    <mergeCell ref="AM62:AM63"/>
    <mergeCell ref="Z62:Z63"/>
    <mergeCell ref="AA62:AA63"/>
    <mergeCell ref="AB62:AB63"/>
    <mergeCell ref="AC62:AC63"/>
    <mergeCell ref="AD62:AD63"/>
    <mergeCell ref="AE62:AE63"/>
    <mergeCell ref="U62:U63"/>
    <mergeCell ref="V62:V63"/>
    <mergeCell ref="W62:W63"/>
    <mergeCell ref="J83:J84"/>
    <mergeCell ref="K83:K84"/>
    <mergeCell ref="L83:L84"/>
    <mergeCell ref="M83:M84"/>
    <mergeCell ref="N83:N84"/>
    <mergeCell ref="AB83:AB84"/>
    <mergeCell ref="Z83:Z84"/>
    <mergeCell ref="AA83:AA84"/>
    <mergeCell ref="AT62:AT63"/>
    <mergeCell ref="J62:J63"/>
    <mergeCell ref="K62:K63"/>
    <mergeCell ref="L62:L63"/>
    <mergeCell ref="M62:M63"/>
    <mergeCell ref="N62:N63"/>
    <mergeCell ref="S62:S63"/>
    <mergeCell ref="T62:T63"/>
    <mergeCell ref="AC83:AC84"/>
    <mergeCell ref="AD83:AD84"/>
    <mergeCell ref="AE83:AE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F83:AF84"/>
    <mergeCell ref="AJ83:AJ84"/>
    <mergeCell ref="AK83:AK84"/>
    <mergeCell ref="AL83:AL84"/>
    <mergeCell ref="AM83:AM84"/>
    <mergeCell ref="AN83:AN84"/>
  </mergeCells>
  <conditionalFormatting sqref="P21:R22 Q18:R20 AH18:AH22">
    <cfRule type="cellIs" dxfId="75" priority="15" operator="lessThan">
      <formula>0</formula>
    </cfRule>
  </conditionalFormatting>
  <conditionalFormatting sqref="O41">
    <cfRule type="cellIs" dxfId="74" priority="14" operator="lessThan">
      <formula>0</formula>
    </cfRule>
  </conditionalFormatting>
  <conditionalFormatting sqref="AX18:AX22">
    <cfRule type="cellIs" dxfId="73" priority="13" operator="lessThan">
      <formula>0</formula>
    </cfRule>
  </conditionalFormatting>
  <conditionalFormatting sqref="BN21:BN22">
    <cfRule type="cellIs" dxfId="72" priority="12" operator="lessThan">
      <formula>0</formula>
    </cfRule>
  </conditionalFormatting>
  <conditionalFormatting sqref="BB43:BB46">
    <cfRule type="cellIs" dxfId="71" priority="11" operator="greaterThan">
      <formula>0</formula>
    </cfRule>
  </conditionalFormatting>
  <conditionalFormatting sqref="AX18:AX20">
    <cfRule type="cellIs" dxfId="70" priority="10" operator="lessThan">
      <formula>0</formula>
    </cfRule>
  </conditionalFormatting>
  <conditionalFormatting sqref="BN18:BN20">
    <cfRule type="cellIs" dxfId="69" priority="9" operator="greaterThan">
      <formula>0</formula>
    </cfRule>
  </conditionalFormatting>
  <conditionalFormatting sqref="P18:P20">
    <cfRule type="cellIs" dxfId="68" priority="8" operator="lessThan">
      <formula>0</formula>
    </cfRule>
  </conditionalFormatting>
  <conditionalFormatting sqref="P67:P68">
    <cfRule type="cellIs" dxfId="67" priority="7" operator="lessThan">
      <formula>0</formula>
    </cfRule>
  </conditionalFormatting>
  <conditionalFormatting sqref="P64:P66">
    <cfRule type="cellIs" dxfId="66" priority="6" operator="lessThan">
      <formula>0</formula>
    </cfRule>
  </conditionalFormatting>
  <conditionalFormatting sqref="AH67:AH68">
    <cfRule type="cellIs" dxfId="65" priority="5" operator="lessThan">
      <formula>0</formula>
    </cfRule>
  </conditionalFormatting>
  <conditionalFormatting sqref="AH64:AH66">
    <cfRule type="cellIs" dxfId="64" priority="4" operator="greaterThan">
      <formula>0</formula>
    </cfRule>
  </conditionalFormatting>
  <conditionalFormatting sqref="AX67:AX68">
    <cfRule type="cellIs" dxfId="63" priority="3" operator="lessThan">
      <formula>0</formula>
    </cfRule>
  </conditionalFormatting>
  <conditionalFormatting sqref="AX64:AX66">
    <cfRule type="cellIs" dxfId="62" priority="2" operator="lessThan">
      <formula>0</formula>
    </cfRule>
  </conditionalFormatting>
  <conditionalFormatting sqref="S21:T23 V21:AG23">
    <cfRule type="cellIs" dxfId="61" priority="1" operator="lessThan">
      <formula>0</formula>
    </cfRule>
  </conditionalFormatting>
  <pageMargins left="0.17" right="0.19685039370078741" top="0.74803149606299213" bottom="0.23" header="0.31496062992125984" footer="0.31496062992125984"/>
  <pageSetup paperSize="9" scale="80" pageOrder="overThenDown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1026</v>
      </c>
      <c r="B3" s="807" t="str">
        <f>+VLOOKUP($A3,data!$A$4:$AH$32,2,0)</f>
        <v>เทิง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1528</v>
      </c>
      <c r="C9" s="180">
        <f>+VLOOKUP($A$3,data!$A$4:$AH$32,8,0)/10^6</f>
        <v>0.23633799999999999</v>
      </c>
      <c r="D9" s="181">
        <f>+VLOOKUP($A$3,data!$A$4:$AH$32,9,0)</f>
        <v>0.43412763651559749</v>
      </c>
      <c r="E9" s="180">
        <f>+VLOOKUP($A$3,data!$A$4:$AH$32,10,0)/10^6</f>
        <v>3.2990944699999991</v>
      </c>
      <c r="F9" s="182">
        <f>+E9/C9</f>
        <v>13.95922141170696</v>
      </c>
      <c r="G9" s="179">
        <f>+VLOOKUP($A$3,data!$A$4:$AH$32,23,0)</f>
        <v>1579</v>
      </c>
      <c r="H9" s="180">
        <f>+VLOOKUP($A$3,data!$A$4:$AH$32,24,0)/10^6</f>
        <v>0.23528499999999999</v>
      </c>
      <c r="I9" s="181">
        <f>+VLOOKUP($A$3,data!$A$4:$AH$32,25,0)</f>
        <v>0.41494460145231049</v>
      </c>
      <c r="J9" s="180">
        <f>+VLOOKUP($A$3,data!$A$4:$AH$32,26,0)/10^6</f>
        <v>3.2566925800000006</v>
      </c>
      <c r="K9" s="182">
        <f>+J9/H9</f>
        <v>13.841479822343119</v>
      </c>
    </row>
    <row r="10" spans="1:12" ht="26.25" x14ac:dyDescent="0.4">
      <c r="A10" s="187" t="s">
        <v>4</v>
      </c>
      <c r="B10" s="189">
        <f>+B9/B20</f>
        <v>0.6824475212148281</v>
      </c>
      <c r="C10" s="190"/>
      <c r="D10" s="190"/>
      <c r="E10" s="190"/>
      <c r="F10" s="191"/>
      <c r="G10" s="189">
        <f>+G9/G20</f>
        <v>0.67768240343347641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549</v>
      </c>
      <c r="C13" s="180">
        <f>+VLOOKUP($A$3,data!$A$4:$AH$32,12,0)/10^6</f>
        <v>0.20403099999999999</v>
      </c>
      <c r="D13" s="181">
        <f>+VLOOKUP($A$3,data!$A$4:$AH$32,13,0)</f>
        <v>1.0507312802554329</v>
      </c>
      <c r="E13" s="180">
        <f>+VLOOKUP($A$3,data!$A$4:$AH$32,14,0)/10^6</f>
        <v>4.2417301000000007</v>
      </c>
      <c r="F13" s="182">
        <f>+E13/C13</f>
        <v>20.789635398542384</v>
      </c>
      <c r="G13" s="179">
        <f>+VLOOKUP($A$3,data!$A$4:$AH$32,27,0)</f>
        <v>585</v>
      </c>
      <c r="H13" s="180">
        <f>+VLOOKUP($A$3,data!$A$4:$AH$32,28,0)/10^6</f>
        <v>0.218995</v>
      </c>
      <c r="I13" s="181">
        <f>+VLOOKUP($A$3,data!$A$4:$AH$32,29,0)</f>
        <v>1.0581768983595468</v>
      </c>
      <c r="J13" s="180">
        <f>+VLOOKUP($A$3,data!$A$4:$AH$32,30,0)/10^6</f>
        <v>4.54851195</v>
      </c>
      <c r="K13" s="182">
        <f>+J13/H13</f>
        <v>20.769935158336949</v>
      </c>
    </row>
    <row r="14" spans="1:12" ht="26.25" x14ac:dyDescent="0.4">
      <c r="A14" s="187" t="s">
        <v>29</v>
      </c>
      <c r="B14" s="189">
        <f>+B13/B20</f>
        <v>0.24519874944171505</v>
      </c>
      <c r="C14" s="190"/>
      <c r="D14" s="190"/>
      <c r="E14" s="190"/>
      <c r="F14" s="191"/>
      <c r="G14" s="189">
        <f>+G13/G20</f>
        <v>0.25107296137339058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162</v>
      </c>
      <c r="C17" s="180">
        <f>+VLOOKUP($A$3,data!$A$4:$AH$32,16,0)/10^6</f>
        <v>4.4803999999999997E-2</v>
      </c>
      <c r="D17" s="181">
        <f>+VLOOKUP($A$3,data!$A$4:$AH$32,17,0)</f>
        <v>0.81023554410235554</v>
      </c>
      <c r="E17" s="180">
        <f>+VLOOKUP($A$3,data!$A$4:$AH$32,18,0)/10^6</f>
        <v>1.1752787499999999</v>
      </c>
      <c r="F17" s="182">
        <f>+E17/C17</f>
        <v>26.231558566199446</v>
      </c>
      <c r="G17" s="179">
        <f>+VLOOKUP($A$3,data!$A$4:$AH$32,31,0)</f>
        <v>166</v>
      </c>
      <c r="H17" s="180">
        <f>+VLOOKUP($A$3,data!$A$4:$AH$32,32,0)/10^6</f>
        <v>5.3296000000000003E-2</v>
      </c>
      <c r="I17" s="181">
        <f>+VLOOKUP($A$3,data!$A$4:$AH$32,33,0)</f>
        <v>0.89034413631807552</v>
      </c>
      <c r="J17" s="180">
        <f>+VLOOKUP($A$3,data!$A$4:$AH$32,34,0)/10^6</f>
        <v>1.4118356999999999</v>
      </c>
      <c r="K17" s="182">
        <f>+J17/H17</f>
        <v>26.490462698889218</v>
      </c>
    </row>
    <row r="18" spans="1:11" ht="26.25" x14ac:dyDescent="0.4">
      <c r="A18" s="187" t="s">
        <v>30</v>
      </c>
      <c r="B18" s="189">
        <f>+B17/B20</f>
        <v>7.2353729343456907E-2</v>
      </c>
      <c r="C18" s="190"/>
      <c r="D18" s="190"/>
      <c r="E18" s="190"/>
      <c r="F18" s="191"/>
      <c r="G18" s="189">
        <f>+G17/G20</f>
        <v>7.1244635193133052E-2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2239</v>
      </c>
      <c r="C20" s="180">
        <f>+VLOOKUP($A$3,data!$A$4:$AH$32,4,0)/10^6</f>
        <v>0.48517300000000002</v>
      </c>
      <c r="D20" s="181">
        <f>+VLOOKUP($A$3,data!$A$4:$AH$32,5,0)</f>
        <v>0.61114533144386718</v>
      </c>
      <c r="E20" s="180">
        <f>+VLOOKUP($A$3,data!$A$4:$AH$32,6,0)/10^6</f>
        <v>8.7161033200000002</v>
      </c>
      <c r="F20" s="182">
        <f>+E20/C20</f>
        <v>17.964938939306187</v>
      </c>
      <c r="G20" s="179">
        <f>+VLOOKUP($A$3,data!$A$4:$AH$32,19,0)</f>
        <v>2330</v>
      </c>
      <c r="H20" s="180">
        <f>+VLOOKUP($A$3,data!$A$4:$AH$32,20,0)/10^6</f>
        <v>0.50757600000000003</v>
      </c>
      <c r="I20" s="181">
        <f>+VLOOKUP($A$3,data!$A$4:$AH$32,21,0)</f>
        <v>0.60871927252448754</v>
      </c>
      <c r="J20" s="180">
        <f>+VLOOKUP($A$3,data!$A$4:$AH$32,22,0)/10^6</f>
        <v>9.2170402300000003</v>
      </c>
      <c r="K20" s="182">
        <f>+J20/H20</f>
        <v>18.158936257821487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เทิง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topLeftCell="T1" zoomScale="66" zoomScaleNormal="100" zoomScalePageLayoutView="66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7.125" style="158" bestFit="1" customWidth="1"/>
    <col min="3" max="6" width="5.875" style="158" bestFit="1" customWidth="1"/>
    <col min="7" max="13" width="6.125" style="158" bestFit="1" customWidth="1"/>
    <col min="14" max="14" width="7.1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7" bestFit="1" customWidth="1"/>
    <col min="48" max="48" width="7.125" bestFit="1" customWidth="1"/>
    <col min="49" max="49" width="9" bestFit="1" customWidth="1"/>
    <col min="50" max="50" width="9.625" customWidth="1"/>
    <col min="51" max="51" width="9" customWidth="1"/>
    <col min="52" max="64" width="7.125" bestFit="1" customWidth="1"/>
    <col min="65" max="66" width="7.875" bestFit="1" customWidth="1"/>
    <col min="67" max="67" width="6.375" bestFit="1" customWidth="1"/>
  </cols>
  <sheetData>
    <row r="1" spans="1:66" ht="27" thickBot="1" x14ac:dyDescent="0.25">
      <c r="A1" s="248">
        <v>1026</v>
      </c>
      <c r="B1" s="817" t="str">
        <f>+VLOOKUP($A$1,data!$A$4:$AH$32,2,0)</f>
        <v>เทิง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1026</v>
      </c>
      <c r="T1" s="817" t="str">
        <f>+VLOOKUP($A$1,data!$A$4:$AH$32,2,0)</f>
        <v>เทิง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1026</v>
      </c>
      <c r="AJ1" s="817" t="str">
        <f>+VLOOKUP($A$1,data!$A$4:$AH$32,2,0)</f>
        <v>เทิง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1026</v>
      </c>
      <c r="AZ1" s="817" t="str">
        <f>+VLOOKUP($A$1,data!$A$4:$AH$32,2,0)</f>
        <v>เทิง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72" t="s">
        <v>74</v>
      </c>
      <c r="BA16" s="872" t="s">
        <v>75</v>
      </c>
      <c r="BB16" s="872" t="s">
        <v>76</v>
      </c>
      <c r="BC16" s="872" t="s">
        <v>77</v>
      </c>
      <c r="BD16" s="872" t="s">
        <v>78</v>
      </c>
      <c r="BE16" s="872" t="s">
        <v>79</v>
      </c>
      <c r="BF16" s="872" t="s">
        <v>80</v>
      </c>
      <c r="BG16" s="872" t="s">
        <v>81</v>
      </c>
      <c r="BH16" s="872" t="s">
        <v>82</v>
      </c>
      <c r="BI16" s="872" t="s">
        <v>83</v>
      </c>
      <c r="BJ16" s="872" t="s">
        <v>84</v>
      </c>
      <c r="BK16" s="872" t="s">
        <v>85</v>
      </c>
      <c r="BL16" s="872" t="s">
        <v>95</v>
      </c>
      <c r="BM16" s="722" t="s">
        <v>89</v>
      </c>
      <c r="BN16" s="722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73"/>
      <c r="BA17" s="873"/>
      <c r="BB17" s="873"/>
      <c r="BC17" s="873"/>
      <c r="BD17" s="873"/>
      <c r="BE17" s="873"/>
      <c r="BF17" s="873"/>
      <c r="BG17" s="873"/>
      <c r="BH17" s="873"/>
      <c r="BI17" s="873"/>
      <c r="BJ17" s="873"/>
      <c r="BK17" s="873"/>
      <c r="BL17" s="873"/>
      <c r="BM17" s="723" t="str">
        <f>+O17</f>
        <v>12 เดือน</v>
      </c>
      <c r="BN17" s="723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8</v>
      </c>
      <c r="C18" s="406">
        <f>+VLOOKUP($A$1,data!$A$37:$AU$67,36)</f>
        <v>14</v>
      </c>
      <c r="D18" s="406">
        <f>+VLOOKUP($A$1,data!$A$37:$AU$67,37)</f>
        <v>5</v>
      </c>
      <c r="E18" s="406">
        <f>+VLOOKUP($A$1,data!$A$37:$AU$67,38)</f>
        <v>4</v>
      </c>
      <c r="F18" s="406">
        <f>+VLOOKUP($A$1,data!$A$37:$AU$67,39)</f>
        <v>14</v>
      </c>
      <c r="G18" s="406">
        <f>+VLOOKUP($A$1,data!$A$37:$AU$67,40)</f>
        <v>15</v>
      </c>
      <c r="H18" s="406">
        <f>+VLOOKUP($A$1,data!$A$37:$AU$67,41)</f>
        <v>16</v>
      </c>
      <c r="I18" s="406">
        <f>+VLOOKUP($A$1,data!$A$37:$AU$67,42)</f>
        <v>13</v>
      </c>
      <c r="J18" s="406">
        <f>+VLOOKUP($A$1,data!$A$37:$AU$67,43)</f>
        <v>25</v>
      </c>
      <c r="K18" s="406">
        <f>+VLOOKUP($A$1,data!$A$37:$AU$67,44)</f>
        <v>5</v>
      </c>
      <c r="L18" s="406">
        <f>+VLOOKUP($A$1,data!$A$37:$AU$67,45)</f>
        <v>6</v>
      </c>
      <c r="M18" s="406">
        <f>+VLOOKUP($A$1,data!$A$37:$AU$67,46)</f>
        <v>40</v>
      </c>
      <c r="N18" s="406">
        <f>SUM(B18:M18)</f>
        <v>165</v>
      </c>
      <c r="O18" s="406">
        <f>SUM(B18:M18)</f>
        <v>165</v>
      </c>
      <c r="P18" s="407">
        <f>+O20-O18</f>
        <v>-95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3.9801999999999997E-2</v>
      </c>
      <c r="AK18" s="418">
        <f>+VLOOKUP($A$1,data!$A$69:$AU$99,36)</f>
        <v>3.7627000000000001E-2</v>
      </c>
      <c r="AL18" s="418">
        <f>+VLOOKUP($A$1,data!$A$69:$AU$99,37)</f>
        <v>4.1244999999999997E-2</v>
      </c>
      <c r="AM18" s="418">
        <f>+VLOOKUP($A$1,data!$A$69:$AU$99,38)</f>
        <v>3.9914999999999999E-2</v>
      </c>
      <c r="AN18" s="418">
        <f>+VLOOKUP($A$1,data!$A$69:$AU$99,39)</f>
        <v>3.8653E-2</v>
      </c>
      <c r="AO18" s="418">
        <f>+VLOOKUP($A$1,data!$A$69:$AU$99,40)</f>
        <v>3.5992999999999997E-2</v>
      </c>
      <c r="AP18" s="418">
        <f>+VLOOKUP($A$1,data!$A$69:$AU$99,41)</f>
        <v>4.3833110000000002E-2</v>
      </c>
      <c r="AQ18" s="418">
        <f>+VLOOKUP($A$1,data!$A$69:$AU$99,42)</f>
        <v>4.4984000000000003E-2</v>
      </c>
      <c r="AR18" s="418">
        <f>+VLOOKUP($A$1,data!$A$69:$AU$99,43)</f>
        <v>4.1010999999999999E-2</v>
      </c>
      <c r="AS18" s="418">
        <f>+VLOOKUP($A$1,data!$A$69:$AU$99,44)</f>
        <v>4.2931999999999998E-2</v>
      </c>
      <c r="AT18" s="418">
        <f>+VLOOKUP($A$1,data!$A$69:$AU$99,45)</f>
        <v>3.8087000000000003E-2</v>
      </c>
      <c r="AU18" s="418">
        <f>+VLOOKUP($A$1,data!$A$69:$AU$99,46)</f>
        <v>4.2757000000000003E-2</v>
      </c>
      <c r="AV18" s="418">
        <f>SUM(AJ18:AU18)</f>
        <v>0.48683910999999996</v>
      </c>
      <c r="AW18" s="418">
        <f>SUM(AJ18:AU18)</f>
        <v>0.48683910999999996</v>
      </c>
      <c r="AX18" s="419">
        <f>+AW20-AW18</f>
        <v>2.1011890000000089E-2</v>
      </c>
      <c r="AY18" s="308" t="s">
        <v>92</v>
      </c>
      <c r="AZ18" s="724">
        <f>+VLOOKUP($A$1,data!$A$101:$AU$131,35)</f>
        <v>7.6010000000000001E-3</v>
      </c>
      <c r="BA18" s="724">
        <f>+VLOOKUP($A$1,data!$A$101:$AU$131,36)</f>
        <v>7.6361100000000006E-3</v>
      </c>
      <c r="BB18" s="724">
        <f>+VLOOKUP($A$1,data!$A$101:$AU$131,37)</f>
        <v>4.638709999999999E-3</v>
      </c>
      <c r="BC18" s="724">
        <f>+VLOOKUP($A$1,data!$A$101:$AU$131,38)</f>
        <v>6.8020400000000005E-3</v>
      </c>
      <c r="BD18" s="724">
        <f>+VLOOKUP($A$1,data!$A$101:$AU$131,39)</f>
        <v>2.697779999999999E-3</v>
      </c>
      <c r="BE18" s="724">
        <f>+VLOOKUP($A$1,data!$A$101:$AU$131,40)</f>
        <v>1.3169300000000004E-2</v>
      </c>
      <c r="BF18" s="724">
        <f>+VLOOKUP($A$1,data!$A$101:$AU$131,41)</f>
        <v>4.1021599999999962E-3</v>
      </c>
      <c r="BG18" s="724">
        <f>+VLOOKUP($A$1,data!$A$101:$AU$131,42)</f>
        <v>5.0354700000000011E-3</v>
      </c>
      <c r="BH18" s="724">
        <f>+VLOOKUP($A$1,data!$A$101:$AU$131,43)</f>
        <v>7.4465699999999996E-3</v>
      </c>
      <c r="BI18" s="724">
        <f>+VLOOKUP($A$1,data!$A$101:$AU$131,44)</f>
        <v>6.3200199999999965E-3</v>
      </c>
      <c r="BJ18" s="724">
        <f>+VLOOKUP($A$1,data!$A$101:$AU$131,45)</f>
        <v>8.106270000000004E-3</v>
      </c>
      <c r="BK18" s="724">
        <f>+VLOOKUP($A$1,data!$A$101:$AU$131,46)</f>
        <v>2.5021800000000001E-3</v>
      </c>
      <c r="BL18" s="724">
        <f>SUM(AZ18:BK18)</f>
        <v>7.6057610000000012E-2</v>
      </c>
      <c r="BM18" s="724">
        <f>SUM(AZ18:BK18)</f>
        <v>7.6057610000000012E-2</v>
      </c>
      <c r="BN18" s="725">
        <f>+BM20-BM18</f>
        <v>7.7188799999999974E-3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6.1363636363636367</v>
      </c>
      <c r="C19" s="409">
        <f>+VLOOKUP($A$1,data!$A$37:$AU$67,20)</f>
        <v>9.8181818181818183</v>
      </c>
      <c r="D19" s="409">
        <f>+VLOOKUP($A$1,data!$A$37:$AU$67,21)</f>
        <v>3.6818181818181821</v>
      </c>
      <c r="E19" s="409">
        <f>+VLOOKUP($A$1,data!$A$37:$AU$67,22)</f>
        <v>5.2159090909090917</v>
      </c>
      <c r="F19" s="409">
        <f>+VLOOKUP($A$1,data!$A$37:$AU$67,23)</f>
        <v>7.9772727272727275</v>
      </c>
      <c r="G19" s="409">
        <f>+VLOOKUP($A$1,data!$A$37:$AU$67,24)</f>
        <v>10.431818181818183</v>
      </c>
      <c r="H19" s="409">
        <f>+VLOOKUP($A$1,data!$A$37:$AU$67,25)</f>
        <v>10.738636363636363</v>
      </c>
      <c r="I19" s="409">
        <f>+VLOOKUP($A$1,data!$A$37:$AU$67,26)</f>
        <v>9.8181818181818183</v>
      </c>
      <c r="J19" s="409">
        <f>+VLOOKUP($A$1,data!$A$37:$AU$67,27)</f>
        <v>21.170454545454547</v>
      </c>
      <c r="K19" s="409">
        <f>+VLOOKUP($A$1,data!$A$37:$AU$67,28)</f>
        <v>4.9090909090909092</v>
      </c>
      <c r="L19" s="409">
        <f>+VLOOKUP($A$1,data!$A$37:$AU$67,29)</f>
        <v>3.375</v>
      </c>
      <c r="M19" s="409">
        <f>+VLOOKUP($A$1,data!$A$37:$AU$67,30)</f>
        <v>14.727272727272728</v>
      </c>
      <c r="N19" s="409">
        <f>SUM(B19:M19)</f>
        <v>108.00000000000001</v>
      </c>
      <c r="O19" s="630">
        <f t="shared" ref="O19:O20" si="0">SUM(B19:M19)</f>
        <v>108.00000000000001</v>
      </c>
      <c r="P19" s="412">
        <f>+O20-O19</f>
        <v>-38.000000000000014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4.1882999999999997E-2</v>
      </c>
      <c r="AK19" s="423">
        <f>+VLOOKUP($A$1,data!$A$69:$AU$99,20)</f>
        <v>4.1324E-2</v>
      </c>
      <c r="AL19" s="423">
        <f>+VLOOKUP($A$1,data!$A$69:$AU$99,21)</f>
        <v>4.2770000000000002E-2</v>
      </c>
      <c r="AM19" s="423">
        <f>+VLOOKUP($A$1,data!$A$69:$AU$99,22)</f>
        <v>4.2803000000000001E-2</v>
      </c>
      <c r="AN19" s="423">
        <f>+VLOOKUP($A$1,data!$A$69:$AU$99,23)</f>
        <v>4.1088E-2</v>
      </c>
      <c r="AO19" s="423">
        <f>+VLOOKUP($A$1,data!$A$69:$AU$99,24)</f>
        <v>3.9405999999999997E-2</v>
      </c>
      <c r="AP19" s="423">
        <f>+VLOOKUP($A$1,data!$A$69:$AU$99,25)</f>
        <v>4.6315000000000002E-2</v>
      </c>
      <c r="AQ19" s="423">
        <f>+VLOOKUP($A$1,data!$A$69:$AU$99,26)</f>
        <v>4.6248999999999998E-2</v>
      </c>
      <c r="AR19" s="423">
        <f>+VLOOKUP($A$1,data!$A$69:$AU$99,27)</f>
        <v>4.5356E-2</v>
      </c>
      <c r="AS19" s="423">
        <f>+VLOOKUP($A$1,data!$A$69:$AU$99,28)</f>
        <v>4.5817999999999998E-2</v>
      </c>
      <c r="AT19" s="423">
        <f>+VLOOKUP($A$1,data!$A$69:$AU$99,29)</f>
        <v>4.2617000000000002E-2</v>
      </c>
      <c r="AU19" s="423">
        <f>+VLOOKUP($A$1,data!$A$69:$AU$99,30)</f>
        <v>4.3671000000000001E-2</v>
      </c>
      <c r="AV19" s="423">
        <f>SUM(AJ19:AU19)</f>
        <v>0.51929999999999998</v>
      </c>
      <c r="AW19" s="424">
        <f t="shared" ref="AW19:AW20" si="1">SUM(AJ19:AU19)</f>
        <v>0.51929999999999998</v>
      </c>
      <c r="AX19" s="425">
        <f>+AW20-AW19</f>
        <v>-1.1448999999999931E-2</v>
      </c>
      <c r="AY19" s="311" t="s">
        <v>94</v>
      </c>
      <c r="AZ19" s="727">
        <f>+VLOOKUP($A$1,data!$A$101:$AU$131,19)</f>
        <v>7.1809999999999999E-3</v>
      </c>
      <c r="BA19" s="727">
        <f>+VLOOKUP($A$1,data!$A$101:$AU$131,20)</f>
        <v>7.5700000000000003E-3</v>
      </c>
      <c r="BB19" s="727">
        <f>+VLOOKUP($A$1,data!$A$101:$AU$131,21)</f>
        <v>7.2709999999999997E-3</v>
      </c>
      <c r="BC19" s="727">
        <f>+VLOOKUP($A$1,data!$A$101:$AU$131,22)</f>
        <v>8.09E-3</v>
      </c>
      <c r="BD19" s="727">
        <f>+VLOOKUP($A$1,data!$A$101:$AU$131,23)</f>
        <v>4.7580000000000001E-3</v>
      </c>
      <c r="BE19" s="727">
        <f>+VLOOKUP($A$1,data!$A$101:$AU$131,24)</f>
        <v>1.3412E-2</v>
      </c>
      <c r="BF19" s="727">
        <f>+VLOOKUP($A$1,data!$A$101:$AU$131,25)</f>
        <v>5.6839999999999998E-3</v>
      </c>
      <c r="BG19" s="727">
        <f>+VLOOKUP($A$1,data!$A$101:$AU$131,26)</f>
        <v>8.0389999999999993E-3</v>
      </c>
      <c r="BH19" s="727">
        <f>+VLOOKUP($A$1,data!$A$101:$AU$131,27)</f>
        <v>8.09E-3</v>
      </c>
      <c r="BI19" s="727">
        <f>+VLOOKUP($A$1,data!$A$101:$AU$131,28)</f>
        <v>6.9769999999999997E-3</v>
      </c>
      <c r="BJ19" s="727">
        <f>+VLOOKUP($A$1,data!$A$101:$AU$131,29)</f>
        <v>8.3890000000000006E-3</v>
      </c>
      <c r="BK19" s="727">
        <f>+VLOOKUP($A$1,data!$A$101:$AU$131,30)</f>
        <v>6.1799999999999997E-3</v>
      </c>
      <c r="BL19" s="727">
        <f>SUM(AZ19:BK19)</f>
        <v>9.1640999999999986E-2</v>
      </c>
      <c r="BM19" s="728">
        <f t="shared" ref="BM19:BM20" si="2">SUM(AZ19:BK19)</f>
        <v>9.1640999999999986E-2</v>
      </c>
      <c r="BN19" s="729">
        <f>+BM20-BM19</f>
        <v>-7.8645099999999774E-3</v>
      </c>
    </row>
    <row r="20" spans="1:66" s="247" customFormat="1" ht="19.5" thickBot="1" x14ac:dyDescent="0.35">
      <c r="A20" s="413" t="s">
        <v>93</v>
      </c>
      <c r="B20" s="414">
        <f>+VLOOKUP($A$1,data!$A$37:$AU$67,3)</f>
        <v>5</v>
      </c>
      <c r="C20" s="414">
        <f>+VLOOKUP($A$1,data!$A$37:$AU$67,4)</f>
        <v>10</v>
      </c>
      <c r="D20" s="414">
        <f>+VLOOKUP($A$1,data!$A$37:$AU$67,5)</f>
        <v>7</v>
      </c>
      <c r="E20" s="414">
        <f>+VLOOKUP($A$1,data!$A$37:$AU$67,6)</f>
        <v>7</v>
      </c>
      <c r="F20" s="414">
        <f>+VLOOKUP($A$1,data!$A$37:$AU$67,7)</f>
        <v>5</v>
      </c>
      <c r="G20" s="414">
        <f>+VLOOKUP($A$1,data!$A$37:$AU$67,8)</f>
        <v>10</v>
      </c>
      <c r="H20" s="414">
        <f>+VLOOKUP($A$1,data!$A$37:$AU$67,9)</f>
        <v>3</v>
      </c>
      <c r="I20" s="414">
        <f>+VLOOKUP($A$1,data!$A$37:$AU$67,10)</f>
        <v>2</v>
      </c>
      <c r="J20" s="414">
        <f>+VLOOKUP($A$1,data!$A$37:$AU$67,11)</f>
        <v>9</v>
      </c>
      <c r="K20" s="414">
        <f>+VLOOKUP($A$1,data!$A$37:$AU$67,12)</f>
        <v>7</v>
      </c>
      <c r="L20" s="414">
        <f>+VLOOKUP($A$1,data!$A$37:$AU$67,13)</f>
        <v>2</v>
      </c>
      <c r="M20" s="414">
        <f>+VLOOKUP($A$1,data!$A$37:$AU$67,14)</f>
        <v>3</v>
      </c>
      <c r="N20" s="414">
        <f>SUM(B20:M20)</f>
        <v>70</v>
      </c>
      <c r="O20" s="631">
        <f t="shared" si="0"/>
        <v>70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3.9317999999999999E-2</v>
      </c>
      <c r="AK20" s="420">
        <f>+VLOOKUP($A$1,data!$A$69:$AU$99,4)</f>
        <v>4.0953000000000003E-2</v>
      </c>
      <c r="AL20" s="420">
        <f>+VLOOKUP($A$1,data!$A$69:$AU$99,5)</f>
        <v>4.1812000000000002E-2</v>
      </c>
      <c r="AM20" s="420">
        <f>+VLOOKUP($A$1,data!$A$69:$AU$99,6)</f>
        <v>4.1627999999999998E-2</v>
      </c>
      <c r="AN20" s="420">
        <f>+VLOOKUP($A$1,data!$A$69:$AU$99,7)</f>
        <v>4.0267999999999998E-2</v>
      </c>
      <c r="AO20" s="420">
        <f>+VLOOKUP($A$1,data!$A$69:$AU$99,8)</f>
        <v>3.9917000000000001E-2</v>
      </c>
      <c r="AP20" s="420">
        <f>+VLOOKUP($A$1,data!$A$69:$AU$99,9)</f>
        <v>4.5881999999999999E-2</v>
      </c>
      <c r="AQ20" s="420">
        <f>+VLOOKUP($A$1,data!$A$69:$AU$99,10)</f>
        <v>4.4142000000000001E-2</v>
      </c>
      <c r="AR20" s="420">
        <f>+VLOOKUP($A$1,data!$A$69:$AU$99,11)</f>
        <v>4.4581000000000003E-2</v>
      </c>
      <c r="AS20" s="420">
        <f>+VLOOKUP($A$1,data!$A$69:$AU$99,12)</f>
        <v>4.3104000000000003E-2</v>
      </c>
      <c r="AT20" s="420">
        <f>+VLOOKUP($A$1,data!$A$69:$AU$99,13)</f>
        <v>4.2178E-2</v>
      </c>
      <c r="AU20" s="420">
        <f>+VLOOKUP($A$1,data!$A$69:$AU$99,14)</f>
        <v>4.4068000000000003E-2</v>
      </c>
      <c r="AV20" s="420">
        <f>SUM(AJ20:AU20)</f>
        <v>0.50785100000000005</v>
      </c>
      <c r="AW20" s="421">
        <f t="shared" si="1"/>
        <v>0.50785100000000005</v>
      </c>
      <c r="AX20" s="422"/>
      <c r="AY20" s="315" t="s">
        <v>93</v>
      </c>
      <c r="AZ20" s="730">
        <f>+VLOOKUP($A$1,data!$A$101:$AU$131,3)</f>
        <v>6.6520400000000006E-3</v>
      </c>
      <c r="BA20" s="730">
        <f>+VLOOKUP($A$1,data!$A$101:$AU$131,4)</f>
        <v>5.0115500000000026E-3</v>
      </c>
      <c r="BB20" s="730">
        <f>+VLOOKUP($A$1,data!$A$101:$AU$131,5)</f>
        <v>8.2219000000000007E-3</v>
      </c>
      <c r="BC20" s="730">
        <f>+VLOOKUP($A$1,data!$A$101:$AU$131,6)</f>
        <v>7.1543899999999992E-3</v>
      </c>
      <c r="BD20" s="730">
        <f>+VLOOKUP($A$1,data!$A$101:$AU$131,7)</f>
        <v>5.7971799999999999E-3</v>
      </c>
      <c r="BE20" s="730">
        <f>+VLOOKUP($A$1,data!$A$101:$AU$131,8)</f>
        <v>1.1802580000000002E-2</v>
      </c>
      <c r="BF20" s="730">
        <f>+VLOOKUP($A$1,data!$A$101:$AU$131,9)</f>
        <v>4.1561100000000002E-3</v>
      </c>
      <c r="BG20" s="730">
        <f>+VLOOKUP($A$1,data!$A$101:$AU$131,10)</f>
        <v>7.6303700000000026E-3</v>
      </c>
      <c r="BH20" s="730">
        <f>+VLOOKUP($A$1,data!$A$101:$AU$131,11)</f>
        <v>6.9272100000000066E-3</v>
      </c>
      <c r="BI20" s="730">
        <f>+VLOOKUP($A$1,data!$A$101:$AU$131,12)</f>
        <v>8.078550000000002E-3</v>
      </c>
      <c r="BJ20" s="730">
        <f>+VLOOKUP($A$1,data!$A$101:$AU$131,13)</f>
        <v>8.6627500000000003E-3</v>
      </c>
      <c r="BK20" s="730">
        <f>+VLOOKUP($A$1,data!$A$101:$AU$131,14)</f>
        <v>3.6818600000000008E-3</v>
      </c>
      <c r="BL20" s="730">
        <f>SUM(AZ20:BK20)</f>
        <v>8.3776490000000009E-2</v>
      </c>
      <c r="BM20" s="731">
        <f t="shared" si="2"/>
        <v>8.3776490000000009E-2</v>
      </c>
      <c r="BN20" s="732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17.636363636363637</v>
      </c>
      <c r="W21" s="671">
        <f>+VLOOKUP($A$1,data!$A$261:$AK$291,16)</f>
        <v>20</v>
      </c>
      <c r="X21" s="671">
        <f>+VLOOKUP($A$1,data!$A$261:$AK$291,36)</f>
        <v>38.26136363636364</v>
      </c>
      <c r="Y21" s="671">
        <f>+VLOOKUP($A$1,data!$A$261:$AK$291,17)</f>
        <v>42</v>
      </c>
      <c r="Z21" s="671">
        <f>+VLOOKUP($A$1,data!$A$261:$AK$291,37)</f>
        <v>75.988636363636374</v>
      </c>
      <c r="AA21" s="671">
        <f>+VLOOKUP($A$1,data!$A$261:$AK$291,18)</f>
        <v>55</v>
      </c>
      <c r="AB21" s="671">
        <f>+VLOOKUP($A$1,data!$A$261:$AK$291,34)</f>
        <v>92.000000000000014</v>
      </c>
      <c r="AC21" s="671">
        <f>+VLOOKUP($A$1,data!$A$261:$AK$291,15)</f>
        <v>66</v>
      </c>
      <c r="AD21" s="671">
        <f>+AA21-Z21</f>
        <v>-20.988636363636374</v>
      </c>
      <c r="AE21" s="684">
        <f>+AC21-AB21</f>
        <v>-26.000000000000014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2</v>
      </c>
      <c r="W22" s="672">
        <f>+VLOOKUP($A$1,data!$A$229:$AK$259,16)</f>
        <v>2</v>
      </c>
      <c r="X22" s="672">
        <f>+VLOOKUP($A$1,data!$A$229:$AK$259,36)</f>
        <v>5</v>
      </c>
      <c r="Y22" s="672">
        <f>+VLOOKUP($A$1,data!$A$229:$AK$259,17)</f>
        <v>2</v>
      </c>
      <c r="Z22" s="672">
        <f>+VLOOKUP($A$1,data!$A$229:$AK$259,37)</f>
        <v>9</v>
      </c>
      <c r="AA22" s="672">
        <f>+VLOOKUP($A$1,data!$A$229:$AK$259,18)</f>
        <v>3</v>
      </c>
      <c r="AB22" s="672">
        <f>+VLOOKUP($A$1,data!$A$229:$AK$259,34)</f>
        <v>16</v>
      </c>
      <c r="AC22" s="765">
        <f>+VLOOKUP($A$1,data!$A$229:$AK$259,15)</f>
        <v>4</v>
      </c>
      <c r="AD22" s="671">
        <f>+AA22-Z22</f>
        <v>-6</v>
      </c>
      <c r="AE22" s="685">
        <f>+AC22-AB22</f>
        <v>-12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713">
        <f>SUM(V21:V22)</f>
        <v>19.636363636363637</v>
      </c>
      <c r="W23" s="713">
        <f t="shared" ref="W23:AC23" si="3">SUM(W21:W22)</f>
        <v>22</v>
      </c>
      <c r="X23" s="713">
        <f t="shared" si="3"/>
        <v>43.26136363636364</v>
      </c>
      <c r="Y23" s="713">
        <f t="shared" si="3"/>
        <v>44</v>
      </c>
      <c r="Z23" s="713">
        <f t="shared" si="3"/>
        <v>84.988636363636374</v>
      </c>
      <c r="AA23" s="713">
        <f t="shared" si="3"/>
        <v>58</v>
      </c>
      <c r="AB23" s="713">
        <f t="shared" si="3"/>
        <v>108.00000000000001</v>
      </c>
      <c r="AC23" s="764">
        <f t="shared" si="3"/>
        <v>70</v>
      </c>
      <c r="AD23" s="713">
        <f>+AA23-Z23</f>
        <v>-26.988636363636374</v>
      </c>
      <c r="AE23" s="686">
        <f>+AC23-AB23</f>
        <v>-38.000000000000014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78" t="s">
        <v>74</v>
      </c>
      <c r="BA37" s="878" t="s">
        <v>75</v>
      </c>
      <c r="BB37" s="878" t="s">
        <v>76</v>
      </c>
      <c r="BC37" s="878" t="s">
        <v>118</v>
      </c>
      <c r="BD37" s="878" t="s">
        <v>77</v>
      </c>
      <c r="BE37" s="878" t="s">
        <v>78</v>
      </c>
      <c r="BF37" s="878" t="s">
        <v>79</v>
      </c>
      <c r="BG37" s="878" t="s">
        <v>119</v>
      </c>
      <c r="BH37" s="878" t="s">
        <v>80</v>
      </c>
      <c r="BI37" s="878" t="s">
        <v>81</v>
      </c>
      <c r="BJ37" s="878" t="s">
        <v>82</v>
      </c>
      <c r="BK37" s="878" t="s">
        <v>120</v>
      </c>
      <c r="BL37" s="878" t="s">
        <v>83</v>
      </c>
      <c r="BM37" s="878" t="s">
        <v>84</v>
      </c>
      <c r="BN37" s="878" t="s">
        <v>85</v>
      </c>
      <c r="BO37" s="878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79"/>
      <c r="BA38" s="879"/>
      <c r="BB38" s="879"/>
      <c r="BC38" s="879"/>
      <c r="BD38" s="879"/>
      <c r="BE38" s="879"/>
      <c r="BF38" s="879"/>
      <c r="BG38" s="879"/>
      <c r="BH38" s="879"/>
      <c r="BI38" s="879"/>
      <c r="BJ38" s="879"/>
      <c r="BK38" s="879"/>
      <c r="BL38" s="879"/>
      <c r="BM38" s="879"/>
      <c r="BN38" s="879"/>
      <c r="BO38" s="879"/>
    </row>
    <row r="39" spans="1:67" ht="22.5" thickTop="1" thickBot="1" x14ac:dyDescent="0.4">
      <c r="A39"/>
      <c r="B39" s="405" t="s">
        <v>92</v>
      </c>
      <c r="C39" s="406">
        <f>+B18</f>
        <v>8</v>
      </c>
      <c r="D39" s="406">
        <f t="shared" ref="D39:N41" si="4">+C39+C18</f>
        <v>22</v>
      </c>
      <c r="E39" s="406">
        <f t="shared" si="4"/>
        <v>27</v>
      </c>
      <c r="F39" s="406">
        <f t="shared" si="4"/>
        <v>31</v>
      </c>
      <c r="G39" s="406">
        <f t="shared" si="4"/>
        <v>45</v>
      </c>
      <c r="H39" s="406">
        <f t="shared" si="4"/>
        <v>60</v>
      </c>
      <c r="I39" s="406">
        <f t="shared" si="4"/>
        <v>76</v>
      </c>
      <c r="J39" s="406">
        <f t="shared" si="4"/>
        <v>89</v>
      </c>
      <c r="K39" s="406">
        <f t="shared" si="4"/>
        <v>114</v>
      </c>
      <c r="L39" s="406">
        <f t="shared" si="4"/>
        <v>119</v>
      </c>
      <c r="M39" s="406">
        <f t="shared" si="4"/>
        <v>125</v>
      </c>
      <c r="N39" s="406">
        <f t="shared" si="4"/>
        <v>165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3.9801999999999997E-2</v>
      </c>
      <c r="AL39" s="418">
        <f t="shared" ref="AL39:AV41" si="5">+AK39+AK18</f>
        <v>7.7428999999999998E-2</v>
      </c>
      <c r="AM39" s="418">
        <f t="shared" si="5"/>
        <v>0.118674</v>
      </c>
      <c r="AN39" s="418">
        <f t="shared" si="5"/>
        <v>0.15858900000000001</v>
      </c>
      <c r="AO39" s="418">
        <f t="shared" si="5"/>
        <v>0.197242</v>
      </c>
      <c r="AP39" s="418">
        <f t="shared" si="5"/>
        <v>0.233235</v>
      </c>
      <c r="AQ39" s="418">
        <f t="shared" si="5"/>
        <v>0.27706810999999998</v>
      </c>
      <c r="AR39" s="418">
        <f t="shared" si="5"/>
        <v>0.32205211</v>
      </c>
      <c r="AS39" s="418">
        <f t="shared" si="5"/>
        <v>0.36306311000000002</v>
      </c>
      <c r="AT39" s="418">
        <f t="shared" si="5"/>
        <v>0.40599510999999999</v>
      </c>
      <c r="AU39" s="418">
        <f t="shared" si="5"/>
        <v>0.44408210999999997</v>
      </c>
      <c r="AV39" s="418">
        <f t="shared" si="5"/>
        <v>0.48683910999999996</v>
      </c>
      <c r="AW39" s="158"/>
      <c r="AX39" s="158"/>
      <c r="AY39" s="308" t="s">
        <v>92</v>
      </c>
      <c r="AZ39" s="714">
        <f>+VLOOKUP($A$1,data!$A$133:$BK$163,26)</f>
        <v>16.034850114971626</v>
      </c>
      <c r="BA39" s="714">
        <f>+VLOOKUP($A$1,data!$A$133:$BK$163,27)</f>
        <v>16.870493432731422</v>
      </c>
      <c r="BB39" s="714">
        <f>+VLOOKUP($A$1,data!$A$133:$BK$163,28)</f>
        <v>10.109709960245148</v>
      </c>
      <c r="BC39" s="714">
        <f>+VLOOKUP($A$1,data!$A$133:$BK$163,29)</f>
        <v>14.345612285891102</v>
      </c>
      <c r="BD39" s="714">
        <f>+VLOOKUP($A$1,data!$A$133:$BK$163,30)</f>
        <v>14.560083429943338</v>
      </c>
      <c r="BE39" s="714">
        <f>+VLOOKUP($A$1,data!$A$133:$BK$163,31)</f>
        <v>6.524133281161804</v>
      </c>
      <c r="BF39" s="714">
        <f>+VLOOKUP($A$1,data!$A$133:$BK$163,32)</f>
        <v>26.7531127286172</v>
      </c>
      <c r="BG39" s="714">
        <f>+VLOOKUP($A$1,data!$A$133:$BK$163,33)</f>
        <v>15.423610261694574</v>
      </c>
      <c r="BH39" s="714">
        <f>+VLOOKUP($A$1,data!$A$133:$BK$163,34)</f>
        <v>8.5269331031857849</v>
      </c>
      <c r="BI39" s="714">
        <f>+VLOOKUP($A$1,data!$A$133:$BK$163,35)</f>
        <v>10.045130042867857</v>
      </c>
      <c r="BJ39" s="714">
        <f>+VLOOKUP($A$1,data!$A$133:$BK$163,36)</f>
        <v>15.367196497884644</v>
      </c>
      <c r="BK39" s="714">
        <f>+VLOOKUP($A$1,data!$A$133:$BK$163,37)</f>
        <v>13.993828946442017</v>
      </c>
      <c r="BL39" s="714">
        <f>+VLOOKUP($A$1,data!$A$133:$BK$163,38)</f>
        <v>12.832001611304463</v>
      </c>
      <c r="BM39" s="714">
        <f>+VLOOKUP($A$1,data!$A$133:$BK$163,39)</f>
        <v>17.54859528238638</v>
      </c>
      <c r="BN39" s="714">
        <f>+VLOOKUP($A$1,data!$A$133:$BK$163,40)</f>
        <v>5.5285579632684465</v>
      </c>
      <c r="BO39" s="714">
        <f>+VLOOKUP($A$1,data!$A$133:$BK$163,41)</f>
        <v>13.503546931857265</v>
      </c>
    </row>
    <row r="40" spans="1:67" ht="21.75" thickBot="1" x14ac:dyDescent="0.4">
      <c r="A40"/>
      <c r="B40" s="408" t="s">
        <v>94</v>
      </c>
      <c r="C40" s="409">
        <f>+B19</f>
        <v>6.1363636363636367</v>
      </c>
      <c r="D40" s="409">
        <f t="shared" si="4"/>
        <v>15.954545454545455</v>
      </c>
      <c r="E40" s="409">
        <f t="shared" si="4"/>
        <v>19.636363636363637</v>
      </c>
      <c r="F40" s="409">
        <f t="shared" si="4"/>
        <v>24.852272727272727</v>
      </c>
      <c r="G40" s="409">
        <f t="shared" si="4"/>
        <v>32.829545454545453</v>
      </c>
      <c r="H40" s="409">
        <f t="shared" si="4"/>
        <v>43.26136363636364</v>
      </c>
      <c r="I40" s="409">
        <f t="shared" si="4"/>
        <v>54</v>
      </c>
      <c r="J40" s="409">
        <f t="shared" si="4"/>
        <v>63.81818181818182</v>
      </c>
      <c r="K40" s="409">
        <f t="shared" si="4"/>
        <v>84.988636363636374</v>
      </c>
      <c r="L40" s="409">
        <f t="shared" si="4"/>
        <v>89.89772727272728</v>
      </c>
      <c r="M40" s="409">
        <f t="shared" si="4"/>
        <v>93.27272727272728</v>
      </c>
      <c r="N40" s="409">
        <f t="shared" si="4"/>
        <v>108.00000000000001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4.1882999999999997E-2</v>
      </c>
      <c r="AL40" s="423">
        <f t="shared" si="5"/>
        <v>8.3207000000000003E-2</v>
      </c>
      <c r="AM40" s="423">
        <f t="shared" si="5"/>
        <v>0.12597700000000001</v>
      </c>
      <c r="AN40" s="423">
        <f t="shared" si="5"/>
        <v>0.16878000000000001</v>
      </c>
      <c r="AO40" s="423">
        <f t="shared" si="5"/>
        <v>0.209868</v>
      </c>
      <c r="AP40" s="423">
        <f t="shared" si="5"/>
        <v>0.249274</v>
      </c>
      <c r="AQ40" s="423">
        <f t="shared" si="5"/>
        <v>0.29558899999999999</v>
      </c>
      <c r="AR40" s="423">
        <f t="shared" si="5"/>
        <v>0.34183799999999998</v>
      </c>
      <c r="AS40" s="423">
        <f t="shared" si="5"/>
        <v>0.38719399999999998</v>
      </c>
      <c r="AT40" s="423">
        <f t="shared" si="5"/>
        <v>0.43301199999999995</v>
      </c>
      <c r="AU40" s="423">
        <f t="shared" si="5"/>
        <v>0.47562899999999997</v>
      </c>
      <c r="AV40" s="423">
        <f t="shared" si="5"/>
        <v>0.51929999999999998</v>
      </c>
      <c r="AW40" s="158"/>
      <c r="AX40" s="158"/>
      <c r="AY40" s="311" t="s">
        <v>94</v>
      </c>
      <c r="AZ40" s="715">
        <f>+VLOOKUP($A$1,data!$A$133:$BK$163,22)</f>
        <v>15</v>
      </c>
      <c r="BA40" s="715">
        <f>+$AZ$40</f>
        <v>15</v>
      </c>
      <c r="BB40" s="715">
        <f t="shared" ref="BB40:BO40" si="6">+$AZ$40</f>
        <v>15</v>
      </c>
      <c r="BC40" s="715">
        <f t="shared" si="6"/>
        <v>15</v>
      </c>
      <c r="BD40" s="715">
        <f t="shared" si="6"/>
        <v>15</v>
      </c>
      <c r="BE40" s="715">
        <f t="shared" si="6"/>
        <v>15</v>
      </c>
      <c r="BF40" s="715">
        <f t="shared" si="6"/>
        <v>15</v>
      </c>
      <c r="BG40" s="715">
        <f t="shared" si="6"/>
        <v>15</v>
      </c>
      <c r="BH40" s="715">
        <f t="shared" si="6"/>
        <v>15</v>
      </c>
      <c r="BI40" s="715">
        <f t="shared" si="6"/>
        <v>15</v>
      </c>
      <c r="BJ40" s="715">
        <f t="shared" si="6"/>
        <v>15</v>
      </c>
      <c r="BK40" s="715">
        <f t="shared" si="6"/>
        <v>15</v>
      </c>
      <c r="BL40" s="715">
        <f t="shared" si="6"/>
        <v>15</v>
      </c>
      <c r="BM40" s="715">
        <f t="shared" si="6"/>
        <v>15</v>
      </c>
      <c r="BN40" s="715">
        <f t="shared" si="6"/>
        <v>15</v>
      </c>
      <c r="BO40" s="715">
        <f t="shared" si="6"/>
        <v>15</v>
      </c>
    </row>
    <row r="41" spans="1:67" ht="21.75" thickBot="1" x14ac:dyDescent="0.4">
      <c r="A41"/>
      <c r="B41" s="413" t="s">
        <v>93</v>
      </c>
      <c r="C41" s="414">
        <f>+B20</f>
        <v>5</v>
      </c>
      <c r="D41" s="414">
        <f t="shared" si="4"/>
        <v>15</v>
      </c>
      <c r="E41" s="414">
        <f t="shared" si="4"/>
        <v>22</v>
      </c>
      <c r="F41" s="414">
        <f t="shared" si="4"/>
        <v>29</v>
      </c>
      <c r="G41" s="414">
        <f t="shared" si="4"/>
        <v>34</v>
      </c>
      <c r="H41" s="414">
        <f t="shared" si="4"/>
        <v>44</v>
      </c>
      <c r="I41" s="414">
        <f t="shared" si="4"/>
        <v>47</v>
      </c>
      <c r="J41" s="414">
        <f t="shared" si="4"/>
        <v>49</v>
      </c>
      <c r="K41" s="414">
        <f t="shared" si="4"/>
        <v>58</v>
      </c>
      <c r="L41" s="414">
        <f t="shared" si="4"/>
        <v>65</v>
      </c>
      <c r="M41" s="414">
        <f t="shared" si="4"/>
        <v>67</v>
      </c>
      <c r="N41" s="414">
        <f t="shared" si="4"/>
        <v>70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3.9317999999999999E-2</v>
      </c>
      <c r="AL41" s="420">
        <f t="shared" si="5"/>
        <v>8.0271000000000009E-2</v>
      </c>
      <c r="AM41" s="420">
        <f t="shared" si="5"/>
        <v>0.12208300000000001</v>
      </c>
      <c r="AN41" s="420">
        <f t="shared" si="5"/>
        <v>0.163711</v>
      </c>
      <c r="AO41" s="420">
        <f t="shared" si="5"/>
        <v>0.20397899999999999</v>
      </c>
      <c r="AP41" s="420">
        <f t="shared" si="5"/>
        <v>0.243896</v>
      </c>
      <c r="AQ41" s="420">
        <f t="shared" si="5"/>
        <v>0.28977799999999998</v>
      </c>
      <c r="AR41" s="420">
        <f t="shared" si="5"/>
        <v>0.33391999999999999</v>
      </c>
      <c r="AS41" s="420">
        <f t="shared" si="5"/>
        <v>0.37850099999999998</v>
      </c>
      <c r="AT41" s="420">
        <f t="shared" si="5"/>
        <v>0.42160500000000001</v>
      </c>
      <c r="AU41" s="420">
        <f t="shared" si="5"/>
        <v>0.463783</v>
      </c>
      <c r="AV41" s="420">
        <f t="shared" si="5"/>
        <v>0.50785100000000005</v>
      </c>
      <c r="AW41" s="158"/>
      <c r="AX41" s="158"/>
      <c r="AY41" s="315" t="s">
        <v>93</v>
      </c>
      <c r="AZ41" s="716">
        <f>+VLOOKUP($A$1,data!$A$133:$BK$163,3)</f>
        <v>14.470381143892849</v>
      </c>
      <c r="BA41" s="716">
        <f>+VLOOKUP($A$1,data!$A$133:$BK$163,4)</f>
        <v>10.903076392567757</v>
      </c>
      <c r="BB41" s="716">
        <f>+VLOOKUP($A$1,data!$A$133:$BK$163,5)</f>
        <v>16.432658657430267</v>
      </c>
      <c r="BC41" s="716">
        <f>+VLOOKUP($A$1,data!$A$133:$BK$163,6)</f>
        <v>14.006974364522714</v>
      </c>
      <c r="BD41" s="716">
        <f>+VLOOKUP($A$1,data!$A$133:$BK$163,7)</f>
        <v>14.665927602153154</v>
      </c>
      <c r="BE41" s="716">
        <f>+VLOOKUP($A$1,data!$A$133:$BK$163,8)</f>
        <v>12.577088410910248</v>
      </c>
      <c r="BF41" s="716">
        <f>+VLOOKUP($A$1,data!$A$133:$BK$163,9)</f>
        <v>22.820332261012176</v>
      </c>
      <c r="BG41" s="716">
        <f>+VLOOKUP($A$1,data!$A$133:$BK$163,10)</f>
        <v>15.469599704245487</v>
      </c>
      <c r="BH41" s="716">
        <f>+VLOOKUP($A$1,data!$A$133:$BK$163,11)</f>
        <v>8.3058892512127258</v>
      </c>
      <c r="BI41" s="716">
        <f>+VLOOKUP($A$1,data!$A$133:$BK$163,12)</f>
        <v>14.738305393398065</v>
      </c>
      <c r="BJ41" s="716">
        <f>+VLOOKUP($A$1,data!$A$133:$BK$163,13)</f>
        <v>13.448749238228247</v>
      </c>
      <c r="BK41" s="716">
        <f>+VLOOKUP($A$1,data!$A$133:$BK$163,14)</f>
        <v>14.33714943976149</v>
      </c>
      <c r="BL41" s="716">
        <f>+VLOOKUP($A$1,data!$A$133:$BK$163,15)</f>
        <v>15.783797407514871</v>
      </c>
      <c r="BM41" s="716">
        <f>+VLOOKUP($A$1,data!$A$133:$BK$163,16)</f>
        <v>17.038989393350807</v>
      </c>
      <c r="BN41" s="716">
        <f>+VLOOKUP($A$1,data!$A$133:$BK$163,17)</f>
        <v>7.7107241780394755</v>
      </c>
      <c r="BO41" s="716">
        <f>+VLOOKUP($A$1,data!$A$133:$BK$163,18)</f>
        <v>14.159674238804071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712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13.503546931857265</v>
      </c>
      <c r="BA43" s="826">
        <f>+VLOOKUP($A$1,data!$A$133:$BK$163,26)</f>
        <v>16.034850114971626</v>
      </c>
      <c r="BB43" s="473">
        <f>+AZ45-AZ43</f>
        <v>0.65612730694680543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15</v>
      </c>
      <c r="BA44" s="830"/>
      <c r="BB44" s="472">
        <f>+AZ45-AZ44</f>
        <v>-0.84032576119592939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14.159674238804071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1026</v>
      </c>
      <c r="B47" s="817" t="str">
        <f>+VLOOKUP($A$1,data!$A$4:$AH$32,2,0)</f>
        <v>เทิง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1026</v>
      </c>
      <c r="T47" s="817" t="str">
        <f>+VLOOKUP($A$1,data!$A$4:$AH$32,2,0)</f>
        <v>เทิง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1026</v>
      </c>
      <c r="AJ47" s="817" t="str">
        <f>+VLOOKUP($A$1,data!$A$4:$AH$32,2,0)</f>
        <v>เทิง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0.80377647000000008</v>
      </c>
      <c r="C64" s="632">
        <f>+VLOOKUP($A$1,data!$A$165:$AU$195,36)</f>
        <v>0.76283986999999998</v>
      </c>
      <c r="D64" s="632">
        <f>+VLOOKUP($A$1,data!$A$165:$AU$195,37)</f>
        <v>0.81992573999999996</v>
      </c>
      <c r="E64" s="632">
        <f>+VLOOKUP($A$1,data!$A$165:$AU$195,38)</f>
        <v>0.78744349000000002</v>
      </c>
      <c r="F64" s="632">
        <f>+VLOOKUP($A$1,data!$A$165:$AU$195,39)</f>
        <v>0.76789496000000002</v>
      </c>
      <c r="G64" s="632">
        <f>+VLOOKUP($A$1,data!$A$165:$AU$195,40)</f>
        <v>0.72086961000000005</v>
      </c>
      <c r="H64" s="632">
        <f>+VLOOKUP($A$1,data!$A$165:$AU$195,41)</f>
        <v>0.94467551999999988</v>
      </c>
      <c r="I64" s="632">
        <f>+VLOOKUP($A$1,data!$A$165:$AU$195,42)</f>
        <v>0.89262179000000008</v>
      </c>
      <c r="J64" s="632">
        <f>+VLOOKUP($A$1,data!$A$165:$AU$195,43)</f>
        <v>0.83761999999999992</v>
      </c>
      <c r="K64" s="632">
        <f>+VLOOKUP($A$1,data!$A$165:$AU$195,44)</f>
        <v>0.84418013999999997</v>
      </c>
      <c r="L64" s="632">
        <f>+VLOOKUP($A$1,data!$A$165:$AU$195,45)</f>
        <v>0.76887536999999995</v>
      </c>
      <c r="M64" s="632">
        <f>+VLOOKUP($A$1,data!$A$165:$AU$195,46)</f>
        <v>0.88997210999999987</v>
      </c>
      <c r="N64" s="632">
        <f>SUM(B64:M64)</f>
        <v>9.8406950700000007</v>
      </c>
      <c r="O64" s="632">
        <f>SUM(B64:M64)</f>
        <v>9.8406950700000007</v>
      </c>
      <c r="P64" s="635">
        <f>+O66-O64</f>
        <v>0.38514793999999775</v>
      </c>
      <c r="S64" s="605" t="s">
        <v>92</v>
      </c>
      <c r="T64" s="640">
        <f>+VLOOKUP($A$1,data!$A$197:$AU$227,35)</f>
        <v>0.4216706400000001</v>
      </c>
      <c r="U64" s="640">
        <f>+VLOOKUP($A$1,data!$A$197:$AU$227,36)</f>
        <v>0.42679246999999998</v>
      </c>
      <c r="V64" s="640">
        <f>+VLOOKUP($A$1,data!$A$197:$AU$227,37)</f>
        <v>0.46483955999999998</v>
      </c>
      <c r="W64" s="640">
        <f>+VLOOKUP($A$1,data!$A$197:$AU$227,38)</f>
        <v>0.45287918999999993</v>
      </c>
      <c r="X64" s="640">
        <f>+VLOOKUP($A$1,data!$A$197:$AU$227,39)</f>
        <v>0.47682784999999994</v>
      </c>
      <c r="Y64" s="640">
        <f>+VLOOKUP($A$1,data!$A$197:$AU$227,40)</f>
        <v>0.49628707999999999</v>
      </c>
      <c r="Z64" s="640">
        <f>+VLOOKUP($A$1,data!$A$197:$AU$227,41)</f>
        <v>0.45374007</v>
      </c>
      <c r="AA64" s="640">
        <f>+VLOOKUP($A$1,data!$A$197:$AU$227,42)</f>
        <v>0.46500947999999998</v>
      </c>
      <c r="AB64" s="640">
        <f>+VLOOKUP($A$1,data!$A$197:$AU$227,43)</f>
        <v>0.54007654000000005</v>
      </c>
      <c r="AC64" s="640">
        <f>+VLOOKUP($A$1,data!$A$197:$AU$227,44)</f>
        <v>0.45744043000000001</v>
      </c>
      <c r="AD64" s="640">
        <f>+VLOOKUP($A$1,data!$A$197:$AU$227,45)</f>
        <v>0.48827329000000003</v>
      </c>
      <c r="AE64" s="640">
        <f>+VLOOKUP($A$1,data!$A$197:$AU$227,46)</f>
        <v>0.47088507000000007</v>
      </c>
      <c r="AF64" s="640">
        <f>SUM(T64:AE64)</f>
        <v>5.6147216700000007</v>
      </c>
      <c r="AG64" s="640">
        <f>SUM(T64:AE64)</f>
        <v>5.6147216700000007</v>
      </c>
      <c r="AH64" s="641">
        <f>+AG66-AG64</f>
        <v>0.60530325999999857</v>
      </c>
      <c r="AI64" s="621" t="s">
        <v>92</v>
      </c>
      <c r="AJ64" s="648">
        <f>+B64-T64</f>
        <v>0.38210582999999998</v>
      </c>
      <c r="AK64" s="648">
        <f t="shared" ref="AK64:AU66" si="7">+C64-U64</f>
        <v>0.3360474</v>
      </c>
      <c r="AL64" s="648">
        <f t="shared" si="7"/>
        <v>0.35508617999999997</v>
      </c>
      <c r="AM64" s="648">
        <f t="shared" si="7"/>
        <v>0.33456430000000009</v>
      </c>
      <c r="AN64" s="648">
        <f t="shared" si="7"/>
        <v>0.29106711000000007</v>
      </c>
      <c r="AO64" s="648">
        <f t="shared" si="7"/>
        <v>0.22458253000000006</v>
      </c>
      <c r="AP64" s="648">
        <f t="shared" si="7"/>
        <v>0.49093544999999988</v>
      </c>
      <c r="AQ64" s="648">
        <f t="shared" si="7"/>
        <v>0.42761231000000011</v>
      </c>
      <c r="AR64" s="648">
        <f t="shared" si="7"/>
        <v>0.29754345999999987</v>
      </c>
      <c r="AS64" s="648">
        <f t="shared" si="7"/>
        <v>0.38673970999999996</v>
      </c>
      <c r="AT64" s="648">
        <f t="shared" si="7"/>
        <v>0.28060207999999992</v>
      </c>
      <c r="AU64" s="648">
        <f t="shared" si="7"/>
        <v>0.4190870399999998</v>
      </c>
      <c r="AV64" s="648">
        <f>SUM(AJ64:AU64)</f>
        <v>4.2259734</v>
      </c>
      <c r="AW64" s="648">
        <f>SUM(AJ64:AU64)</f>
        <v>4.2259734</v>
      </c>
      <c r="AX64" s="651">
        <f>+AW66-AW64</f>
        <v>-0.22015531999999993</v>
      </c>
    </row>
    <row r="65" spans="1:50" ht="21.75" thickBot="1" x14ac:dyDescent="0.4">
      <c r="A65" s="538" t="s">
        <v>94</v>
      </c>
      <c r="B65" s="633">
        <f>+VLOOKUP($A$1,data!$A$165:$AU$195,19)</f>
        <v>0.83139200000000002</v>
      </c>
      <c r="C65" s="633">
        <f>+VLOOKUP($A$1,data!$A$165:$AU$195,20)</f>
        <v>0.82060299999999997</v>
      </c>
      <c r="D65" s="633">
        <f>+VLOOKUP($A$1,data!$A$165:$AU$195,21)</f>
        <v>0.84350499999999995</v>
      </c>
      <c r="E65" s="633">
        <f>+VLOOKUP($A$1,data!$A$165:$AU$195,22)</f>
        <v>0.84294599999999997</v>
      </c>
      <c r="F65" s="633">
        <f>+VLOOKUP($A$1,data!$A$165:$AU$195,23)</f>
        <v>0.814855</v>
      </c>
      <c r="G65" s="633">
        <f>+VLOOKUP($A$1,data!$A$165:$AU$195,24)</f>
        <v>0.79030599999999995</v>
      </c>
      <c r="H65" s="633">
        <f>+VLOOKUP($A$1,data!$A$165:$AU$195,25)</f>
        <v>0.92537700000000001</v>
      </c>
      <c r="I65" s="633">
        <f>+VLOOKUP($A$1,data!$A$165:$AU$195,26)</f>
        <v>0.92009300000000005</v>
      </c>
      <c r="J65" s="633">
        <f>+VLOOKUP($A$1,data!$A$165:$AU$195,27)</f>
        <v>0.91295899999999996</v>
      </c>
      <c r="K65" s="633">
        <f>+VLOOKUP($A$1,data!$A$165:$AU$195,28)</f>
        <v>0.89177899999999999</v>
      </c>
      <c r="L65" s="633">
        <f>+VLOOKUP($A$1,data!$A$165:$AU$195,29)</f>
        <v>0.84072400000000003</v>
      </c>
      <c r="M65" s="633">
        <f>+VLOOKUP($A$1,data!$A$165:$AU$195,30)</f>
        <v>0.86636899999999994</v>
      </c>
      <c r="N65" s="633">
        <f>SUM(B65:M65)</f>
        <v>10.300908000000002</v>
      </c>
      <c r="O65" s="636">
        <f t="shared" ref="O65:O66" si="8">SUM(B65:M65)</f>
        <v>10.300908000000002</v>
      </c>
      <c r="P65" s="637">
        <f>+O66-O65</f>
        <v>-7.5064990000003107E-2</v>
      </c>
      <c r="S65" s="601" t="s">
        <v>94</v>
      </c>
      <c r="T65" s="642">
        <f>+VLOOKUP($A$1,data!$A$197:$AU$227,19)</f>
        <v>0.480159</v>
      </c>
      <c r="U65" s="642">
        <f>+VLOOKUP($A$1,data!$A$197:$AU$227,20)</f>
        <v>0.46749499999999999</v>
      </c>
      <c r="V65" s="642">
        <f>+VLOOKUP($A$1,data!$A$197:$AU$227,21)</f>
        <v>0.49976100000000001</v>
      </c>
      <c r="W65" s="642">
        <f>+VLOOKUP($A$1,data!$A$197:$AU$227,22)</f>
        <v>0.51065499999999997</v>
      </c>
      <c r="X65" s="642">
        <f>+VLOOKUP($A$1,data!$A$197:$AU$227,23)</f>
        <v>0.52941800000000006</v>
      </c>
      <c r="Y65" s="642">
        <f>+VLOOKUP($A$1,data!$A$197:$AU$227,24)</f>
        <v>0.52622999999999998</v>
      </c>
      <c r="Z65" s="642">
        <f>+VLOOKUP($A$1,data!$A$197:$AU$227,25)</f>
        <v>0.46944000000000002</v>
      </c>
      <c r="AA65" s="642">
        <f>+VLOOKUP($A$1,data!$A$197:$AU$227,26)</f>
        <v>0.48051899999999997</v>
      </c>
      <c r="AB65" s="642">
        <f>+VLOOKUP($A$1,data!$A$197:$AU$227,27)</f>
        <v>0.56904100000000002</v>
      </c>
      <c r="AC65" s="642">
        <f>+VLOOKUP($A$1,data!$A$197:$AU$227,28)</f>
        <v>0.506073</v>
      </c>
      <c r="AD65" s="642">
        <f>+VLOOKUP($A$1,data!$A$197:$AU$227,29)</f>
        <v>0.52720500000000003</v>
      </c>
      <c r="AE65" s="642">
        <f>+VLOOKUP($A$1,data!$A$197:$AU$227,30)</f>
        <v>0.57524900000000001</v>
      </c>
      <c r="AF65" s="642">
        <f>SUM(T65:AE65)</f>
        <v>6.1412450000000005</v>
      </c>
      <c r="AG65" s="643">
        <f t="shared" ref="AG65:AG66" si="9">SUM(T65:AE65)</f>
        <v>6.1412450000000005</v>
      </c>
      <c r="AH65" s="644">
        <f>+AG66-AG65</f>
        <v>7.8779929999998721E-2</v>
      </c>
      <c r="AI65" s="617" t="s">
        <v>94</v>
      </c>
      <c r="AJ65" s="649">
        <f>+B65-T65</f>
        <v>0.35123300000000002</v>
      </c>
      <c r="AK65" s="649">
        <f t="shared" si="7"/>
        <v>0.35310799999999998</v>
      </c>
      <c r="AL65" s="649">
        <f t="shared" si="7"/>
        <v>0.34374399999999994</v>
      </c>
      <c r="AM65" s="649">
        <f t="shared" si="7"/>
        <v>0.332291</v>
      </c>
      <c r="AN65" s="649">
        <f t="shared" si="7"/>
        <v>0.28543699999999994</v>
      </c>
      <c r="AO65" s="649">
        <f t="shared" si="7"/>
        <v>0.26407599999999998</v>
      </c>
      <c r="AP65" s="649">
        <f t="shared" si="7"/>
        <v>0.45593699999999998</v>
      </c>
      <c r="AQ65" s="649">
        <f t="shared" si="7"/>
        <v>0.43957400000000008</v>
      </c>
      <c r="AR65" s="649">
        <f t="shared" si="7"/>
        <v>0.34391799999999995</v>
      </c>
      <c r="AS65" s="649">
        <f t="shared" si="7"/>
        <v>0.38570599999999999</v>
      </c>
      <c r="AT65" s="649">
        <f t="shared" si="7"/>
        <v>0.31351899999999999</v>
      </c>
      <c r="AU65" s="649">
        <f t="shared" si="7"/>
        <v>0.29111999999999993</v>
      </c>
      <c r="AV65" s="649">
        <f>SUM(AJ65:AU65)</f>
        <v>4.1596629999999992</v>
      </c>
      <c r="AW65" s="652">
        <f t="shared" ref="AW65:AW66" si="10">SUM(AJ65:AU65)</f>
        <v>4.1596629999999992</v>
      </c>
      <c r="AX65" s="653">
        <f>+AW66-AW65</f>
        <v>-0.15384491999999916</v>
      </c>
    </row>
    <row r="66" spans="1:50" ht="21.75" thickBot="1" x14ac:dyDescent="0.4">
      <c r="A66" s="546" t="s">
        <v>93</v>
      </c>
      <c r="B66" s="634">
        <f>+VLOOKUP($A$1,data!$A$165:$AU$195,3)</f>
        <v>0.78665992000000007</v>
      </c>
      <c r="C66" s="634">
        <f>+VLOOKUP($A$1,data!$A$165:$AU$195,4)</f>
        <v>0.87760472999999994</v>
      </c>
      <c r="D66" s="634">
        <f>+VLOOKUP($A$1,data!$A$165:$AU$195,5)</f>
        <v>0.84214292000000002</v>
      </c>
      <c r="E66" s="634">
        <f>+VLOOKUP($A$1,data!$A$165:$AU$195,6)</f>
        <v>0.83639374000000011</v>
      </c>
      <c r="F66" s="634">
        <f>+VLOOKUP($A$1,data!$A$165:$AU$195,7)</f>
        <v>0.80546753999999998</v>
      </c>
      <c r="G66" s="634">
        <f>+VLOOKUP($A$1,data!$A$165:$AU$195,8)</f>
        <v>0.80404901999999989</v>
      </c>
      <c r="H66" s="634">
        <f>+VLOOKUP($A$1,data!$A$165:$AU$195,9)</f>
        <v>0.90934134999999983</v>
      </c>
      <c r="I66" s="634">
        <f>+VLOOKUP($A$1,data!$A$165:$AU$195,10)</f>
        <v>0.87150003000000009</v>
      </c>
      <c r="J66" s="634">
        <f>+VLOOKUP($A$1,data!$A$165:$AU$195,11)</f>
        <v>0.89707545999999994</v>
      </c>
      <c r="K66" s="634">
        <f>+VLOOKUP($A$1,data!$A$165:$AU$195,12)</f>
        <v>0.86263353999999992</v>
      </c>
      <c r="L66" s="634">
        <f>+VLOOKUP($A$1,data!$A$165:$AU$195,13)</f>
        <v>0.84272538000000008</v>
      </c>
      <c r="M66" s="634">
        <f>+VLOOKUP($A$1,data!$A$165:$AU$195,14)</f>
        <v>0.89024938000000009</v>
      </c>
      <c r="N66" s="634">
        <f>SUM(B66:M66)</f>
        <v>10.225843009999998</v>
      </c>
      <c r="O66" s="638">
        <f t="shared" si="8"/>
        <v>10.225843009999998</v>
      </c>
      <c r="P66" s="639"/>
      <c r="S66" s="608" t="s">
        <v>93</v>
      </c>
      <c r="T66" s="645">
        <f>+VLOOKUP($A$1,data!$A$197:$AU$227,3)</f>
        <v>0.46733128000000002</v>
      </c>
      <c r="U66" s="645">
        <f>+VLOOKUP($A$1,data!$A$197:$AU$227,4)</f>
        <v>0.46811513000000005</v>
      </c>
      <c r="V66" s="645">
        <f>+VLOOKUP($A$1,data!$A$197:$AU$227,5)</f>
        <v>0.61796080999999992</v>
      </c>
      <c r="W66" s="645">
        <f>+VLOOKUP($A$1,data!$A$197:$AU$227,6)</f>
        <v>0.49630564999999999</v>
      </c>
      <c r="X66" s="645">
        <f>+VLOOKUP($A$1,data!$A$197:$AU$227,7)</f>
        <v>0.46593001000000006</v>
      </c>
      <c r="Y66" s="645">
        <f>+VLOOKUP($A$1,data!$A$197:$AU$227,8)</f>
        <v>0.51471520999999998</v>
      </c>
      <c r="Z66" s="645">
        <f>+VLOOKUP($A$1,data!$A$197:$AU$227,9)</f>
        <v>0.49861604000000004</v>
      </c>
      <c r="AA66" s="645">
        <f>+VLOOKUP($A$1,data!$A$197:$AU$227,10)</f>
        <v>0.53483347000000003</v>
      </c>
      <c r="AB66" s="645">
        <f>+VLOOKUP($A$1,data!$A$197:$AU$227,11)</f>
        <v>0.50728112999999997</v>
      </c>
      <c r="AC66" s="645">
        <f>+VLOOKUP($A$1,data!$A$197:$AU$227,12)</f>
        <v>0.51387203000000004</v>
      </c>
      <c r="AD66" s="645">
        <f>+VLOOKUP($A$1,data!$A$197:$AU$227,13)</f>
        <v>0.55205082999999988</v>
      </c>
      <c r="AE66" s="645">
        <f>+VLOOKUP($A$1,data!$A$197:$AU$227,14)</f>
        <v>0.58301333999999994</v>
      </c>
      <c r="AF66" s="645">
        <f>SUM(T66:AE66)</f>
        <v>6.2200249299999992</v>
      </c>
      <c r="AG66" s="646">
        <f t="shared" si="9"/>
        <v>6.2200249299999992</v>
      </c>
      <c r="AH66" s="647"/>
      <c r="AI66" s="624" t="s">
        <v>93</v>
      </c>
      <c r="AJ66" s="650">
        <f>+B66-T66</f>
        <v>0.31932864000000005</v>
      </c>
      <c r="AK66" s="650">
        <f t="shared" si="7"/>
        <v>0.4094895999999999</v>
      </c>
      <c r="AL66" s="650">
        <f t="shared" si="7"/>
        <v>0.2241821100000001</v>
      </c>
      <c r="AM66" s="650">
        <f t="shared" si="7"/>
        <v>0.34008809000000012</v>
      </c>
      <c r="AN66" s="650">
        <f t="shared" si="7"/>
        <v>0.33953752999999992</v>
      </c>
      <c r="AO66" s="650">
        <f t="shared" si="7"/>
        <v>0.28933380999999991</v>
      </c>
      <c r="AP66" s="650">
        <f t="shared" si="7"/>
        <v>0.41072530999999979</v>
      </c>
      <c r="AQ66" s="650">
        <f t="shared" si="7"/>
        <v>0.33666656000000006</v>
      </c>
      <c r="AR66" s="650">
        <f t="shared" si="7"/>
        <v>0.38979432999999997</v>
      </c>
      <c r="AS66" s="650">
        <f>+K66-AC66</f>
        <v>0.34876150999999989</v>
      </c>
      <c r="AT66" s="650">
        <f>+L66-AD66</f>
        <v>0.2906745500000002</v>
      </c>
      <c r="AU66" s="650">
        <f>+M66-AE66</f>
        <v>0.30723604000000015</v>
      </c>
      <c r="AV66" s="650">
        <f>SUM(AJ66:AU66)</f>
        <v>4.0058180800000001</v>
      </c>
      <c r="AW66" s="654">
        <f t="shared" si="10"/>
        <v>4.0058180800000001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0.80377647000000008</v>
      </c>
      <c r="D85" s="628">
        <f t="shared" ref="D85:N87" si="11">+C85+C64</f>
        <v>1.5666163399999999</v>
      </c>
      <c r="E85" s="628">
        <f t="shared" si="11"/>
        <v>2.3865420799999999</v>
      </c>
      <c r="F85" s="628">
        <f t="shared" si="11"/>
        <v>3.1739855700000001</v>
      </c>
      <c r="G85" s="628">
        <f t="shared" si="11"/>
        <v>3.9418805300000002</v>
      </c>
      <c r="H85" s="628">
        <f t="shared" si="11"/>
        <v>4.66275014</v>
      </c>
      <c r="I85" s="628">
        <f t="shared" si="11"/>
        <v>5.6074256599999996</v>
      </c>
      <c r="J85" s="628">
        <f t="shared" si="11"/>
        <v>6.5000474499999994</v>
      </c>
      <c r="K85" s="628">
        <f t="shared" si="11"/>
        <v>7.3376674499999996</v>
      </c>
      <c r="L85" s="628">
        <f t="shared" si="11"/>
        <v>8.1818475900000003</v>
      </c>
      <c r="M85" s="628">
        <f t="shared" si="11"/>
        <v>8.9507229600000002</v>
      </c>
      <c r="N85" s="628">
        <f t="shared" si="11"/>
        <v>9.8406950700000007</v>
      </c>
      <c r="S85"/>
      <c r="T85" s="605" t="s">
        <v>92</v>
      </c>
      <c r="U85" s="640">
        <f>+T64</f>
        <v>0.4216706400000001</v>
      </c>
      <c r="V85" s="640">
        <f t="shared" ref="V85:AF87" si="12">+U85+U64</f>
        <v>0.84846311000000008</v>
      </c>
      <c r="W85" s="640">
        <f t="shared" si="12"/>
        <v>1.3133026700000001</v>
      </c>
      <c r="X85" s="640">
        <f t="shared" si="12"/>
        <v>1.7661818600000001</v>
      </c>
      <c r="Y85" s="640">
        <f t="shared" si="12"/>
        <v>2.2430097099999999</v>
      </c>
      <c r="Z85" s="640">
        <f t="shared" si="12"/>
        <v>2.73929679</v>
      </c>
      <c r="AA85" s="640">
        <f t="shared" si="12"/>
        <v>3.1930368599999999</v>
      </c>
      <c r="AB85" s="640">
        <f t="shared" si="12"/>
        <v>3.6580463399999998</v>
      </c>
      <c r="AC85" s="640">
        <f t="shared" si="12"/>
        <v>4.1981228799999997</v>
      </c>
      <c r="AD85" s="640">
        <f t="shared" si="12"/>
        <v>4.6555633099999998</v>
      </c>
      <c r="AE85" s="640">
        <f t="shared" si="12"/>
        <v>5.1438366000000002</v>
      </c>
      <c r="AF85" s="640">
        <f t="shared" si="12"/>
        <v>5.6147216700000007</v>
      </c>
      <c r="AG85" s="158"/>
      <c r="AH85" s="158"/>
      <c r="AI85"/>
      <c r="AJ85" s="621" t="s">
        <v>92</v>
      </c>
      <c r="AK85" s="648">
        <f>+AJ64</f>
        <v>0.38210582999999998</v>
      </c>
      <c r="AL85" s="648">
        <f t="shared" ref="AL85:AV87" si="13">+AK85+AK64</f>
        <v>0.71815322999999998</v>
      </c>
      <c r="AM85" s="648">
        <f t="shared" si="13"/>
        <v>1.07323941</v>
      </c>
      <c r="AN85" s="648">
        <f t="shared" si="13"/>
        <v>1.40780371</v>
      </c>
      <c r="AO85" s="648">
        <f t="shared" si="13"/>
        <v>1.6988708200000002</v>
      </c>
      <c r="AP85" s="648">
        <f t="shared" si="13"/>
        <v>1.9234533500000004</v>
      </c>
      <c r="AQ85" s="648">
        <f t="shared" si="13"/>
        <v>2.4143888000000002</v>
      </c>
      <c r="AR85" s="648">
        <f t="shared" si="13"/>
        <v>2.8420011100000004</v>
      </c>
      <c r="AS85" s="648">
        <f t="shared" si="13"/>
        <v>3.1395445700000004</v>
      </c>
      <c r="AT85" s="648">
        <f t="shared" si="13"/>
        <v>3.5262842800000005</v>
      </c>
      <c r="AU85" s="648">
        <f t="shared" si="13"/>
        <v>3.8068863600000005</v>
      </c>
      <c r="AV85" s="648">
        <f t="shared" si="13"/>
        <v>4.2259734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0.83139200000000002</v>
      </c>
      <c r="D86" s="633">
        <f t="shared" si="11"/>
        <v>1.6519949999999999</v>
      </c>
      <c r="E86" s="633">
        <f t="shared" si="11"/>
        <v>2.4954999999999998</v>
      </c>
      <c r="F86" s="633">
        <f t="shared" si="11"/>
        <v>3.3384459999999998</v>
      </c>
      <c r="G86" s="633">
        <f t="shared" si="11"/>
        <v>4.1533009999999999</v>
      </c>
      <c r="H86" s="633">
        <f t="shared" si="11"/>
        <v>4.9436070000000001</v>
      </c>
      <c r="I86" s="633">
        <f t="shared" si="11"/>
        <v>5.8689840000000002</v>
      </c>
      <c r="J86" s="633">
        <f t="shared" si="11"/>
        <v>6.7890770000000007</v>
      </c>
      <c r="K86" s="633">
        <f t="shared" si="11"/>
        <v>7.7020360000000005</v>
      </c>
      <c r="L86" s="633">
        <f t="shared" si="11"/>
        <v>8.5938150000000011</v>
      </c>
      <c r="M86" s="633">
        <f t="shared" si="11"/>
        <v>9.4345390000000009</v>
      </c>
      <c r="N86" s="633">
        <f t="shared" si="11"/>
        <v>10.300908000000002</v>
      </c>
      <c r="S86"/>
      <c r="T86" s="601" t="s">
        <v>94</v>
      </c>
      <c r="U86" s="642">
        <f>+T65</f>
        <v>0.480159</v>
      </c>
      <c r="V86" s="642">
        <f t="shared" si="12"/>
        <v>0.947654</v>
      </c>
      <c r="W86" s="642">
        <f t="shared" si="12"/>
        <v>1.4474149999999999</v>
      </c>
      <c r="X86" s="642">
        <f t="shared" si="12"/>
        <v>1.9580699999999998</v>
      </c>
      <c r="Y86" s="642">
        <f t="shared" si="12"/>
        <v>2.4874879999999999</v>
      </c>
      <c r="Z86" s="642">
        <f t="shared" si="12"/>
        <v>3.0137179999999999</v>
      </c>
      <c r="AA86" s="642">
        <f t="shared" si="12"/>
        <v>3.483158</v>
      </c>
      <c r="AB86" s="642">
        <f t="shared" si="12"/>
        <v>3.9636770000000001</v>
      </c>
      <c r="AC86" s="642">
        <f t="shared" si="12"/>
        <v>4.532718</v>
      </c>
      <c r="AD86" s="642">
        <f t="shared" si="12"/>
        <v>5.0387909999999998</v>
      </c>
      <c r="AE86" s="642">
        <f t="shared" si="12"/>
        <v>5.5659960000000002</v>
      </c>
      <c r="AF86" s="642">
        <f t="shared" si="12"/>
        <v>6.1412450000000005</v>
      </c>
      <c r="AG86" s="158"/>
      <c r="AH86" s="158"/>
      <c r="AI86"/>
      <c r="AJ86" s="617" t="s">
        <v>94</v>
      </c>
      <c r="AK86" s="649">
        <f>+AJ65</f>
        <v>0.35123300000000002</v>
      </c>
      <c r="AL86" s="649">
        <f t="shared" si="13"/>
        <v>0.70434099999999999</v>
      </c>
      <c r="AM86" s="649">
        <f t="shared" si="13"/>
        <v>1.0480849999999999</v>
      </c>
      <c r="AN86" s="649">
        <f t="shared" si="13"/>
        <v>1.380376</v>
      </c>
      <c r="AO86" s="649">
        <f t="shared" si="13"/>
        <v>1.665813</v>
      </c>
      <c r="AP86" s="649">
        <f t="shared" si="13"/>
        <v>1.929889</v>
      </c>
      <c r="AQ86" s="649">
        <f t="shared" si="13"/>
        <v>2.3858259999999998</v>
      </c>
      <c r="AR86" s="649">
        <f t="shared" si="13"/>
        <v>2.8253999999999997</v>
      </c>
      <c r="AS86" s="649">
        <f t="shared" si="13"/>
        <v>3.1693179999999996</v>
      </c>
      <c r="AT86" s="649">
        <f t="shared" si="13"/>
        <v>3.5550239999999995</v>
      </c>
      <c r="AU86" s="649">
        <f t="shared" si="13"/>
        <v>3.8685429999999994</v>
      </c>
      <c r="AV86" s="649">
        <f t="shared" si="13"/>
        <v>4.1596629999999992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0.78665992000000007</v>
      </c>
      <c r="D87" s="629">
        <f t="shared" si="11"/>
        <v>1.66426465</v>
      </c>
      <c r="E87" s="629">
        <f t="shared" si="11"/>
        <v>2.5064075699999999</v>
      </c>
      <c r="F87" s="629">
        <f t="shared" si="11"/>
        <v>3.34280131</v>
      </c>
      <c r="G87" s="629">
        <f t="shared" si="11"/>
        <v>4.14826885</v>
      </c>
      <c r="H87" s="629">
        <f t="shared" si="11"/>
        <v>4.9523178699999999</v>
      </c>
      <c r="I87" s="629">
        <f t="shared" si="11"/>
        <v>5.8616592199999999</v>
      </c>
      <c r="J87" s="629">
        <f t="shared" si="11"/>
        <v>6.7331592499999999</v>
      </c>
      <c r="K87" s="629">
        <f t="shared" si="11"/>
        <v>7.6302347099999999</v>
      </c>
      <c r="L87" s="629">
        <f t="shared" si="11"/>
        <v>8.492868249999999</v>
      </c>
      <c r="M87" s="629">
        <f t="shared" si="11"/>
        <v>9.3355936299999982</v>
      </c>
      <c r="N87" s="629">
        <f t="shared" si="11"/>
        <v>10.225843009999998</v>
      </c>
      <c r="S87"/>
      <c r="T87" s="608" t="s">
        <v>93</v>
      </c>
      <c r="U87" s="645">
        <f>+T66</f>
        <v>0.46733128000000002</v>
      </c>
      <c r="V87" s="645">
        <f t="shared" si="12"/>
        <v>0.93544641000000006</v>
      </c>
      <c r="W87" s="645">
        <f t="shared" si="12"/>
        <v>1.55340722</v>
      </c>
      <c r="X87" s="645">
        <f t="shared" si="12"/>
        <v>2.04971287</v>
      </c>
      <c r="Y87" s="645">
        <f t="shared" si="12"/>
        <v>2.5156428800000001</v>
      </c>
      <c r="Z87" s="645">
        <f t="shared" si="12"/>
        <v>3.03035809</v>
      </c>
      <c r="AA87" s="645">
        <f t="shared" si="12"/>
        <v>3.5289741299999999</v>
      </c>
      <c r="AB87" s="645">
        <f t="shared" si="12"/>
        <v>4.0638075999999996</v>
      </c>
      <c r="AC87" s="645">
        <f t="shared" si="12"/>
        <v>4.5710887299999996</v>
      </c>
      <c r="AD87" s="645">
        <f t="shared" si="12"/>
        <v>5.0849607599999995</v>
      </c>
      <c r="AE87" s="645">
        <f t="shared" si="12"/>
        <v>5.6370115899999993</v>
      </c>
      <c r="AF87" s="645">
        <f t="shared" si="12"/>
        <v>6.2200249299999992</v>
      </c>
      <c r="AG87" s="158"/>
      <c r="AH87" s="158"/>
      <c r="AI87"/>
      <c r="AJ87" s="624" t="s">
        <v>93</v>
      </c>
      <c r="AK87" s="650">
        <f>+AJ66</f>
        <v>0.31932864000000005</v>
      </c>
      <c r="AL87" s="650">
        <f t="shared" si="13"/>
        <v>0.72881823999999995</v>
      </c>
      <c r="AM87" s="650">
        <f t="shared" si="13"/>
        <v>0.95300035000000005</v>
      </c>
      <c r="AN87" s="650">
        <f t="shared" si="13"/>
        <v>1.2930884400000002</v>
      </c>
      <c r="AO87" s="650">
        <f t="shared" si="13"/>
        <v>1.6326259700000001</v>
      </c>
      <c r="AP87" s="650">
        <f t="shared" si="13"/>
        <v>1.9219597799999999</v>
      </c>
      <c r="AQ87" s="650">
        <f t="shared" si="13"/>
        <v>2.3326850899999996</v>
      </c>
      <c r="AR87" s="650">
        <f t="shared" si="13"/>
        <v>2.6693516499999994</v>
      </c>
      <c r="AS87" s="650">
        <f t="shared" si="13"/>
        <v>3.0591459799999994</v>
      </c>
      <c r="AT87" s="650">
        <f t="shared" si="13"/>
        <v>3.4079074899999995</v>
      </c>
      <c r="AU87" s="650">
        <f t="shared" si="13"/>
        <v>3.6985820399999998</v>
      </c>
      <c r="AV87" s="650">
        <f t="shared" si="13"/>
        <v>4.0058180800000001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AN16:AN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BG16:BG17"/>
    <mergeCell ref="BH16:BH17"/>
    <mergeCell ref="BI16:BI17"/>
    <mergeCell ref="AS16:AS17"/>
    <mergeCell ref="AT16:AT17"/>
    <mergeCell ref="AU16:AU17"/>
    <mergeCell ref="AV16:AV17"/>
    <mergeCell ref="AY16:AY17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G37:G38"/>
    <mergeCell ref="AM16:AM17"/>
    <mergeCell ref="AM37:AM38"/>
    <mergeCell ref="J16:J17"/>
    <mergeCell ref="K16:K17"/>
    <mergeCell ref="AZ16:AZ17"/>
    <mergeCell ref="BA16:BA17"/>
    <mergeCell ref="BC16:BC17"/>
    <mergeCell ref="BD16:BD17"/>
    <mergeCell ref="BE16:BE17"/>
    <mergeCell ref="BF16:BF17"/>
    <mergeCell ref="BB16:BB17"/>
    <mergeCell ref="AN37:AN38"/>
    <mergeCell ref="H37:H38"/>
    <mergeCell ref="I37:I38"/>
    <mergeCell ref="J37:J38"/>
    <mergeCell ref="K37:K38"/>
    <mergeCell ref="L37:L38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S62:S63"/>
    <mergeCell ref="T62:T63"/>
    <mergeCell ref="AU62:AU63"/>
    <mergeCell ref="AV62:AV63"/>
    <mergeCell ref="Z62:Z63"/>
    <mergeCell ref="AA62:AA63"/>
    <mergeCell ref="AB62:AB63"/>
    <mergeCell ref="B83:B84"/>
    <mergeCell ref="C83:C84"/>
    <mergeCell ref="D83:D84"/>
    <mergeCell ref="E83:E84"/>
    <mergeCell ref="F83:F84"/>
    <mergeCell ref="G83:G84"/>
    <mergeCell ref="H83:H84"/>
    <mergeCell ref="I83:I84"/>
    <mergeCell ref="AT62:AT63"/>
    <mergeCell ref="AP62:AP63"/>
    <mergeCell ref="AQ62:AQ63"/>
    <mergeCell ref="AR62:AR63"/>
    <mergeCell ref="AS62:AS63"/>
    <mergeCell ref="W62:W63"/>
    <mergeCell ref="X62:X63"/>
    <mergeCell ref="Y62:Y63"/>
    <mergeCell ref="AN62:AN63"/>
    <mergeCell ref="AO62:AO63"/>
    <mergeCell ref="AF62:AF63"/>
    <mergeCell ref="AI62:AI63"/>
    <mergeCell ref="AJ62:AJ63"/>
    <mergeCell ref="AK62:AK63"/>
    <mergeCell ref="AL62:AL63"/>
    <mergeCell ref="AM62:AM63"/>
    <mergeCell ref="J83:J84"/>
    <mergeCell ref="K83:K84"/>
    <mergeCell ref="L83:L84"/>
    <mergeCell ref="M83:M84"/>
    <mergeCell ref="N83:N84"/>
    <mergeCell ref="AB83:AB84"/>
    <mergeCell ref="Z83:Z84"/>
    <mergeCell ref="AA83:AA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C62:AC63"/>
    <mergeCell ref="AD62:AD63"/>
    <mergeCell ref="AE62:AE63"/>
    <mergeCell ref="AC83:AC84"/>
    <mergeCell ref="AD83:AD84"/>
    <mergeCell ref="AE83:AE84"/>
    <mergeCell ref="AF83:AF84"/>
    <mergeCell ref="AL83:AL84"/>
    <mergeCell ref="AM83:AM84"/>
    <mergeCell ref="AN83:AN84"/>
    <mergeCell ref="T21:U21"/>
    <mergeCell ref="T22:U22"/>
    <mergeCell ref="T23:U23"/>
    <mergeCell ref="T1:AD1"/>
    <mergeCell ref="AE1:AH1"/>
    <mergeCell ref="T19:U20"/>
    <mergeCell ref="V19:W19"/>
    <mergeCell ref="X19:Y19"/>
    <mergeCell ref="Z19:AA19"/>
    <mergeCell ref="AB19:AC19"/>
    <mergeCell ref="AD19:AE19"/>
    <mergeCell ref="AJ83:AJ84"/>
    <mergeCell ref="AK83:AK84"/>
    <mergeCell ref="U62:U63"/>
    <mergeCell ref="V62:V63"/>
  </mergeCells>
  <conditionalFormatting sqref="P21:R22 Q18:R20 AH18:AH22">
    <cfRule type="cellIs" dxfId="60" priority="15" operator="lessThan">
      <formula>0</formula>
    </cfRule>
  </conditionalFormatting>
  <conditionalFormatting sqref="O41">
    <cfRule type="cellIs" dxfId="59" priority="14" operator="lessThan">
      <formula>0</formula>
    </cfRule>
  </conditionalFormatting>
  <conditionalFormatting sqref="AX18:AX22">
    <cfRule type="cellIs" dxfId="58" priority="13" operator="lessThan">
      <formula>0</formula>
    </cfRule>
  </conditionalFormatting>
  <conditionalFormatting sqref="BN21:BN22">
    <cfRule type="cellIs" dxfId="57" priority="12" operator="lessThan">
      <formula>0</formula>
    </cfRule>
  </conditionalFormatting>
  <conditionalFormatting sqref="BB43:BB46">
    <cfRule type="cellIs" dxfId="56" priority="11" operator="greaterThan">
      <formula>0</formula>
    </cfRule>
  </conditionalFormatting>
  <conditionalFormatting sqref="AX18:AX20">
    <cfRule type="cellIs" dxfId="55" priority="10" operator="lessThan">
      <formula>0</formula>
    </cfRule>
  </conditionalFormatting>
  <conditionalFormatting sqref="BN18:BN20">
    <cfRule type="cellIs" dxfId="54" priority="9" operator="greaterThan">
      <formula>0</formula>
    </cfRule>
  </conditionalFormatting>
  <conditionalFormatting sqref="P18:P20">
    <cfRule type="cellIs" dxfId="53" priority="8" operator="lessThan">
      <formula>0</formula>
    </cfRule>
  </conditionalFormatting>
  <conditionalFormatting sqref="P67:P68">
    <cfRule type="cellIs" dxfId="52" priority="7" operator="lessThan">
      <formula>0</formula>
    </cfRule>
  </conditionalFormatting>
  <conditionalFormatting sqref="P64:P66">
    <cfRule type="cellIs" dxfId="51" priority="6" operator="lessThan">
      <formula>0</formula>
    </cfRule>
  </conditionalFormatting>
  <conditionalFormatting sqref="AH67:AH68">
    <cfRule type="cellIs" dxfId="50" priority="5" operator="lessThan">
      <formula>0</formula>
    </cfRule>
  </conditionalFormatting>
  <conditionalFormatting sqref="AH64:AH66">
    <cfRule type="cellIs" dxfId="49" priority="4" operator="greaterThan">
      <formula>0</formula>
    </cfRule>
  </conditionalFormatting>
  <conditionalFormatting sqref="AX67:AX68">
    <cfRule type="cellIs" dxfId="48" priority="3" operator="lessThan">
      <formula>0</formula>
    </cfRule>
  </conditionalFormatting>
  <conditionalFormatting sqref="AX64:AX66">
    <cfRule type="cellIs" dxfId="47" priority="2" operator="lessThan">
      <formula>0</formula>
    </cfRule>
  </conditionalFormatting>
  <conditionalFormatting sqref="S21:T23 V21:AG23">
    <cfRule type="cellIs" dxfId="46" priority="1" operator="lessThan">
      <formula>0</formula>
    </cfRule>
  </conditionalFormatting>
  <pageMargins left="0.23" right="0.19685039370078741" top="0.74803149606299213" bottom="0.18" header="0.31496062992125984" footer="0.31496062992125984"/>
  <pageSetup paperSize="9" scale="80" pageOrder="overThenDown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1027</v>
      </c>
      <c r="B3" s="807" t="str">
        <f>+VLOOKUP($A3,data!$A$4:$AH$32,2,0)</f>
        <v>เวียงเชียงของ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2813</v>
      </c>
      <c r="C9" s="180">
        <f>+VLOOKUP($A$3,data!$A$4:$AH$32,8,0)/10^6</f>
        <v>0.43217299999999997</v>
      </c>
      <c r="D9" s="181">
        <f>+VLOOKUP($A$3,data!$A$4:$AH$32,9,0)</f>
        <v>0.43691351160086939</v>
      </c>
      <c r="E9" s="180">
        <f>+VLOOKUP($A$3,data!$A$4:$AH$32,10,0)/10^6</f>
        <v>5.9404900100000013</v>
      </c>
      <c r="F9" s="182">
        <f>+E9/C9</f>
        <v>13.745629666823243</v>
      </c>
      <c r="G9" s="179">
        <f>+VLOOKUP($A$3,data!$A$4:$AH$32,23,0)</f>
        <v>3000</v>
      </c>
      <c r="H9" s="180">
        <f>+VLOOKUP($A$3,data!$A$4:$AH$32,24,0)/10^6</f>
        <v>0.455013</v>
      </c>
      <c r="I9" s="181">
        <f>+VLOOKUP($A$3,data!$A$4:$AH$32,25,0)</f>
        <v>0.42890451020268694</v>
      </c>
      <c r="J9" s="180">
        <f>+VLOOKUP($A$3,data!$A$4:$AH$32,26,0)/10^6</f>
        <v>6.2191929100000003</v>
      </c>
      <c r="K9" s="182">
        <f>+J9/H9</f>
        <v>13.6681653271445</v>
      </c>
    </row>
    <row r="10" spans="1:12" ht="26.25" x14ac:dyDescent="0.4">
      <c r="A10" s="187" t="s">
        <v>4</v>
      </c>
      <c r="B10" s="189">
        <f>+B9/B20</f>
        <v>0.79373589164785552</v>
      </c>
      <c r="C10" s="190"/>
      <c r="D10" s="190"/>
      <c r="E10" s="190"/>
      <c r="F10" s="191"/>
      <c r="G10" s="189">
        <f>+G9/G20</f>
        <v>0.80128205128205132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475</v>
      </c>
      <c r="C13" s="180">
        <f>+VLOOKUP($A$3,data!$A$4:$AH$32,12,0)/10^6</f>
        <v>0.15760199999999999</v>
      </c>
      <c r="D13" s="181">
        <f>+VLOOKUP($A$3,data!$A$4:$AH$32,13,0)</f>
        <v>0.92459593441084154</v>
      </c>
      <c r="E13" s="180">
        <f>+VLOOKUP($A$3,data!$A$4:$AH$32,14,0)/10^6</f>
        <v>3.20698075</v>
      </c>
      <c r="F13" s="182">
        <f>+E13/C13</f>
        <v>20.348604395883303</v>
      </c>
      <c r="G13" s="179">
        <f>+VLOOKUP($A$3,data!$A$4:$AH$32,27,0)</f>
        <v>496</v>
      </c>
      <c r="H13" s="180">
        <f>+VLOOKUP($A$3,data!$A$4:$AH$32,28,0)/10^6</f>
        <v>0.16719400000000001</v>
      </c>
      <c r="I13" s="181">
        <f>+VLOOKUP($A$3,data!$A$4:$AH$32,29,0)</f>
        <v>0.94349279799105568</v>
      </c>
      <c r="J13" s="180">
        <f>+VLOOKUP($A$3,data!$A$4:$AH$32,30,0)/10^6</f>
        <v>3.3846087999999996</v>
      </c>
      <c r="K13" s="182">
        <f>+J13/H13</f>
        <v>20.243602043135517</v>
      </c>
    </row>
    <row r="14" spans="1:12" ht="26.25" x14ac:dyDescent="0.4">
      <c r="A14" s="187" t="s">
        <v>29</v>
      </c>
      <c r="B14" s="189">
        <f>+B13/B20</f>
        <v>0.1340293453724605</v>
      </c>
      <c r="C14" s="190"/>
      <c r="D14" s="190"/>
      <c r="E14" s="190"/>
      <c r="F14" s="191"/>
      <c r="G14" s="189">
        <f>+G13/G20</f>
        <v>0.13247863247863248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256</v>
      </c>
      <c r="C17" s="180">
        <f>+VLOOKUP($A$3,data!$A$4:$AH$32,16,0)/10^6</f>
        <v>0.12820400000000001</v>
      </c>
      <c r="D17" s="181">
        <f>+VLOOKUP($A$3,data!$A$4:$AH$32,17,0)</f>
        <v>1.4249242824196282</v>
      </c>
      <c r="E17" s="180">
        <f>+VLOOKUP($A$3,data!$A$4:$AH$32,18,0)/10^6</f>
        <v>3.3500689299999995</v>
      </c>
      <c r="F17" s="182">
        <f>+E17/C17</f>
        <v>26.130767604754915</v>
      </c>
      <c r="G17" s="179">
        <f>+VLOOKUP($A$3,data!$A$4:$AH$32,31,0)</f>
        <v>248</v>
      </c>
      <c r="H17" s="180">
        <f>+VLOOKUP($A$3,data!$A$4:$AH$32,32,0)/10^6</f>
        <v>0.13131999999999999</v>
      </c>
      <c r="I17" s="181">
        <f>+VLOOKUP($A$3,data!$A$4:$AH$32,33,0)</f>
        <v>1.4277016742770168</v>
      </c>
      <c r="J17" s="180">
        <f>+VLOOKUP($A$3,data!$A$4:$AH$32,34,0)/10^6</f>
        <v>3.4607560499999996</v>
      </c>
      <c r="K17" s="182">
        <f>+J17/H17</f>
        <v>26.353609884252208</v>
      </c>
    </row>
    <row r="18" spans="1:11" ht="26.25" x14ac:dyDescent="0.4">
      <c r="A18" s="187" t="s">
        <v>30</v>
      </c>
      <c r="B18" s="189">
        <f>+B17/B20</f>
        <v>7.2234762979683967E-2</v>
      </c>
      <c r="C18" s="190"/>
      <c r="D18" s="190"/>
      <c r="E18" s="190"/>
      <c r="F18" s="191"/>
      <c r="G18" s="189">
        <f>+G17/G20</f>
        <v>6.623931623931624E-2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3544</v>
      </c>
      <c r="C20" s="180">
        <f>+VLOOKUP($A$3,data!$A$4:$AH$32,4,0)/10^6</f>
        <v>0.71797900000000003</v>
      </c>
      <c r="D20" s="181">
        <f>+VLOOKUP($A$3,data!$A$4:$AH$32,5,0)</f>
        <v>0.57457740716362138</v>
      </c>
      <c r="E20" s="180">
        <f>+VLOOKUP($A$3,data!$A$4:$AH$32,6,0)/10^6</f>
        <v>12.49753969</v>
      </c>
      <c r="F20" s="182">
        <f>+E20/C20</f>
        <v>17.406553241807906</v>
      </c>
      <c r="G20" s="179">
        <f>+VLOOKUP($A$3,data!$A$4:$AH$32,19,0)</f>
        <v>3744</v>
      </c>
      <c r="H20" s="180">
        <f>+VLOOKUP($A$3,data!$A$4:$AH$32,20,0)/10^6</f>
        <v>0.75352699999999995</v>
      </c>
      <c r="I20" s="181">
        <f>+VLOOKUP($A$3,data!$A$4:$AH$32,21,0)</f>
        <v>0.56653609611596467</v>
      </c>
      <c r="J20" s="180">
        <f>+VLOOKUP($A$3,data!$A$4:$AH$32,22,0)/10^6</f>
        <v>13.064557759999998</v>
      </c>
      <c r="K20" s="182">
        <f>+J20/H20</f>
        <v>17.337876094685392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เวียงเชียงของ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9"/>
  <sheetViews>
    <sheetView showGridLines="0" showWhiteSpace="0" view="pageLayout" topLeftCell="C1" zoomScale="66" zoomScaleNormal="100" zoomScalePageLayoutView="66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7.125" style="158" bestFit="1" customWidth="1"/>
    <col min="3" max="6" width="5.875" style="158" bestFit="1" customWidth="1"/>
    <col min="7" max="10" width="6.125" style="158" bestFit="1" customWidth="1"/>
    <col min="11" max="14" width="7.1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7" bestFit="1" customWidth="1"/>
    <col min="48" max="48" width="7.125" bestFit="1" customWidth="1"/>
    <col min="49" max="49" width="10.625" customWidth="1"/>
    <col min="50" max="50" width="9.25" customWidth="1"/>
    <col min="51" max="51" width="8.75" customWidth="1"/>
    <col min="52" max="64" width="7.125" bestFit="1" customWidth="1"/>
    <col min="65" max="66" width="7.875" bestFit="1" customWidth="1"/>
    <col min="67" max="67" width="6.75" bestFit="1" customWidth="1"/>
  </cols>
  <sheetData>
    <row r="1" spans="1:66" ht="27" thickBot="1" x14ac:dyDescent="0.25">
      <c r="A1" s="248">
        <v>1027</v>
      </c>
      <c r="B1" s="817" t="str">
        <f>+VLOOKUP($A$1,data!$A$4:$AH$32,2,0)</f>
        <v>เวียงเชียงของ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1027</v>
      </c>
      <c r="T1" s="817" t="str">
        <f>+VLOOKUP($A$1,data!$A$4:$AH$32,2,0)</f>
        <v>เวียงเชียงของ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1027</v>
      </c>
      <c r="AJ1" s="817" t="str">
        <f>+VLOOKUP($A$1,data!$A$4:$AH$32,2,0)</f>
        <v>เวียงเชียงของ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1027</v>
      </c>
      <c r="AZ1" s="817" t="str">
        <f>+VLOOKUP($A$1,data!$A$4:$AH$32,2,0)</f>
        <v>เวียงเชียงของ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72" t="s">
        <v>74</v>
      </c>
      <c r="BA16" s="872" t="s">
        <v>75</v>
      </c>
      <c r="BB16" s="872" t="s">
        <v>76</v>
      </c>
      <c r="BC16" s="872" t="s">
        <v>77</v>
      </c>
      <c r="BD16" s="872" t="s">
        <v>78</v>
      </c>
      <c r="BE16" s="872" t="s">
        <v>79</v>
      </c>
      <c r="BF16" s="872" t="s">
        <v>80</v>
      </c>
      <c r="BG16" s="872" t="s">
        <v>81</v>
      </c>
      <c r="BH16" s="872" t="s">
        <v>82</v>
      </c>
      <c r="BI16" s="872" t="s">
        <v>83</v>
      </c>
      <c r="BJ16" s="872" t="s">
        <v>84</v>
      </c>
      <c r="BK16" s="872" t="s">
        <v>85</v>
      </c>
      <c r="BL16" s="872" t="s">
        <v>95</v>
      </c>
      <c r="BM16" s="722" t="s">
        <v>89</v>
      </c>
      <c r="BN16" s="722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73"/>
      <c r="BA17" s="873"/>
      <c r="BB17" s="873"/>
      <c r="BC17" s="873"/>
      <c r="BD17" s="873"/>
      <c r="BE17" s="873"/>
      <c r="BF17" s="873"/>
      <c r="BG17" s="873"/>
      <c r="BH17" s="873"/>
      <c r="BI17" s="873"/>
      <c r="BJ17" s="873"/>
      <c r="BK17" s="873"/>
      <c r="BL17" s="873"/>
      <c r="BM17" s="723" t="str">
        <f>+O17</f>
        <v>12 เดือน</v>
      </c>
      <c r="BN17" s="723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8</v>
      </c>
      <c r="C18" s="406">
        <f>+VLOOKUP($A$1,data!$A$37:$AU$67,36)</f>
        <v>7</v>
      </c>
      <c r="D18" s="406">
        <f>+VLOOKUP($A$1,data!$A$37:$AU$67,37)</f>
        <v>22</v>
      </c>
      <c r="E18" s="406">
        <f>+VLOOKUP($A$1,data!$A$37:$AU$67,38)</f>
        <v>11</v>
      </c>
      <c r="F18" s="406">
        <f>+VLOOKUP($A$1,data!$A$37:$AU$67,39)</f>
        <v>9</v>
      </c>
      <c r="G18" s="406">
        <f>+VLOOKUP($A$1,data!$A$37:$AU$67,40)</f>
        <v>13</v>
      </c>
      <c r="H18" s="406">
        <f>+VLOOKUP($A$1,data!$A$37:$AU$67,41)</f>
        <v>75</v>
      </c>
      <c r="I18" s="406">
        <f>+VLOOKUP($A$1,data!$A$37:$AU$67,42)</f>
        <v>45</v>
      </c>
      <c r="J18" s="406">
        <f>+VLOOKUP($A$1,data!$A$37:$AU$67,43)</f>
        <v>9</v>
      </c>
      <c r="K18" s="406">
        <f>+VLOOKUP($A$1,data!$A$37:$AU$67,44)</f>
        <v>21</v>
      </c>
      <c r="L18" s="406">
        <f>+VLOOKUP($A$1,data!$A$37:$AU$67,45)</f>
        <v>38</v>
      </c>
      <c r="M18" s="406">
        <f>+VLOOKUP($A$1,data!$A$37:$AU$67,46)</f>
        <v>58</v>
      </c>
      <c r="N18" s="406">
        <f>SUM(B18:M18)</f>
        <v>316</v>
      </c>
      <c r="O18" s="406">
        <f>SUM(B18:M18)</f>
        <v>316</v>
      </c>
      <c r="P18" s="407">
        <f>+O20-O18</f>
        <v>-140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5.6460999999999997E-2</v>
      </c>
      <c r="AK18" s="418">
        <f>+VLOOKUP($A$1,data!$A$69:$AU$99,36)</f>
        <v>5.7593999999999999E-2</v>
      </c>
      <c r="AL18" s="418">
        <f>+VLOOKUP($A$1,data!$A$69:$AU$99,37)</f>
        <v>5.1637000000000002E-2</v>
      </c>
      <c r="AM18" s="418">
        <f>+VLOOKUP($A$1,data!$A$69:$AU$99,38)</f>
        <v>5.6474000000000003E-2</v>
      </c>
      <c r="AN18" s="418">
        <f>+VLOOKUP($A$1,data!$A$69:$AU$99,39)</f>
        <v>5.2615000000000002E-2</v>
      </c>
      <c r="AO18" s="418">
        <f>+VLOOKUP($A$1,data!$A$69:$AU$99,40)</f>
        <v>5.7283000000000001E-2</v>
      </c>
      <c r="AP18" s="418">
        <f>+VLOOKUP($A$1,data!$A$69:$AU$99,41)</f>
        <v>6.7225999999999994E-2</v>
      </c>
      <c r="AQ18" s="418">
        <f>+VLOOKUP($A$1,data!$A$69:$AU$99,42)</f>
        <v>7.2709999999999997E-2</v>
      </c>
      <c r="AR18" s="418">
        <f>+VLOOKUP($A$1,data!$A$69:$AU$99,43)</f>
        <v>6.5141000000000004E-2</v>
      </c>
      <c r="AS18" s="418">
        <f>+VLOOKUP($A$1,data!$A$69:$AU$99,44)</f>
        <v>6.3416E-2</v>
      </c>
      <c r="AT18" s="418">
        <f>+VLOOKUP($A$1,data!$A$69:$AU$99,45)</f>
        <v>6.1351000000000003E-2</v>
      </c>
      <c r="AU18" s="418">
        <f>+VLOOKUP($A$1,data!$A$69:$AU$99,46)</f>
        <v>5.9088000000000002E-2</v>
      </c>
      <c r="AV18" s="418">
        <f>SUM(AJ18:AU18)</f>
        <v>0.72099600000000019</v>
      </c>
      <c r="AW18" s="418">
        <f>SUM(AJ18:AU18)</f>
        <v>0.72099600000000019</v>
      </c>
      <c r="AX18" s="419">
        <f>+AW20-AW18</f>
        <v>3.2822999999999936E-2</v>
      </c>
      <c r="AY18" s="308" t="s">
        <v>92</v>
      </c>
      <c r="AZ18" s="724">
        <f>+VLOOKUP($A$1,data!$A$101:$AU$131,35)</f>
        <v>1.2447E-2</v>
      </c>
      <c r="BA18" s="724">
        <f>+VLOOKUP($A$1,data!$A$101:$AU$131,36)</f>
        <v>1.0511E-2</v>
      </c>
      <c r="BB18" s="724">
        <f>+VLOOKUP($A$1,data!$A$101:$AU$131,37)</f>
        <v>1.0836E-2</v>
      </c>
      <c r="BC18" s="724">
        <f>+VLOOKUP($A$1,data!$A$101:$AU$131,38)</f>
        <v>1.0703000000000001E-2</v>
      </c>
      <c r="BD18" s="724">
        <f>+VLOOKUP($A$1,data!$A$101:$AU$131,39)</f>
        <v>1.0808E-2</v>
      </c>
      <c r="BE18" s="724">
        <f>+VLOOKUP($A$1,data!$A$101:$AU$131,40)</f>
        <v>1.426E-2</v>
      </c>
      <c r="BF18" s="724">
        <f>+VLOOKUP($A$1,data!$A$101:$AU$131,41)</f>
        <v>1.6431000000000001E-2</v>
      </c>
      <c r="BG18" s="724">
        <f>+VLOOKUP($A$1,data!$A$101:$AU$131,42)</f>
        <v>9.5149999999999992E-3</v>
      </c>
      <c r="BH18" s="724">
        <f>+VLOOKUP($A$1,data!$A$101:$AU$131,43)</f>
        <v>7.4679999999999998E-3</v>
      </c>
      <c r="BI18" s="724">
        <f>+VLOOKUP($A$1,data!$A$101:$AU$131,44)</f>
        <v>7.2240000000000004E-3</v>
      </c>
      <c r="BJ18" s="724">
        <f>+VLOOKUP($A$1,data!$A$101:$AU$131,45)</f>
        <v>1.1645000000000001E-2</v>
      </c>
      <c r="BK18" s="724">
        <f>+VLOOKUP($A$1,data!$A$101:$AU$131,46)</f>
        <v>1.2272E-2</v>
      </c>
      <c r="BL18" s="724">
        <f>SUM(AZ18:BK18)</f>
        <v>0.13411999999999999</v>
      </c>
      <c r="BM18" s="724">
        <f>SUM(AZ18:BK18)</f>
        <v>0.13411999999999999</v>
      </c>
      <c r="BN18" s="725">
        <f>+BM20-BM18</f>
        <v>4.1370000000000018E-3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17.055492638731597</v>
      </c>
      <c r="C19" s="409">
        <f>+VLOOKUP($A$1,data!$A$37:$AU$67,20)</f>
        <v>14.497168742921856</v>
      </c>
      <c r="D19" s="409">
        <f>+VLOOKUP($A$1,data!$A$37:$AU$67,21)</f>
        <v>16.202718006795013</v>
      </c>
      <c r="E19" s="409">
        <f>+VLOOKUP($A$1,data!$A$37:$AU$67,22)</f>
        <v>14.21291053227633</v>
      </c>
      <c r="F19" s="409">
        <f>+VLOOKUP($A$1,data!$A$37:$AU$67,23)</f>
        <v>15.06568516421291</v>
      </c>
      <c r="G19" s="409">
        <f>+VLOOKUP($A$1,data!$A$37:$AU$67,24)</f>
        <v>18.761041902604752</v>
      </c>
      <c r="H19" s="409">
        <f>+VLOOKUP($A$1,data!$A$37:$AU$67,25)</f>
        <v>33.542468856172142</v>
      </c>
      <c r="I19" s="409">
        <f>+VLOOKUP($A$1,data!$A$37:$AU$67,26)</f>
        <v>33.826727066817661</v>
      </c>
      <c r="J19" s="409">
        <f>+VLOOKUP($A$1,data!$A$37:$AU$67,27)</f>
        <v>20.750849377123437</v>
      </c>
      <c r="K19" s="409">
        <f>+VLOOKUP($A$1,data!$A$37:$AU$67,28)</f>
        <v>27.004530011325027</v>
      </c>
      <c r="L19" s="409">
        <f>+VLOOKUP($A$1,data!$A$37:$AU$67,29)</f>
        <v>19.045300113250278</v>
      </c>
      <c r="M19" s="409">
        <f>+VLOOKUP($A$1,data!$A$37:$AU$67,30)</f>
        <v>21.035107587768969</v>
      </c>
      <c r="N19" s="409">
        <f>SUM(B19:M19)</f>
        <v>250.99999999999997</v>
      </c>
      <c r="O19" s="630">
        <f t="shared" ref="O19:O20" si="0">SUM(B19:M19)</f>
        <v>250.99999999999997</v>
      </c>
      <c r="P19" s="412">
        <f>+O20-O19</f>
        <v>-74.999999999999972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6.1445E-2</v>
      </c>
      <c r="AK19" s="423">
        <f>+VLOOKUP($A$1,data!$A$69:$AU$99,20)</f>
        <v>6.4077999999999996E-2</v>
      </c>
      <c r="AL19" s="423">
        <f>+VLOOKUP($A$1,data!$A$69:$AU$99,21)</f>
        <v>5.9367000000000003E-2</v>
      </c>
      <c r="AM19" s="423">
        <f>+VLOOKUP($A$1,data!$A$69:$AU$99,22)</f>
        <v>6.2908000000000006E-2</v>
      </c>
      <c r="AN19" s="423">
        <f>+VLOOKUP($A$1,data!$A$69:$AU$99,23)</f>
        <v>5.7096000000000001E-2</v>
      </c>
      <c r="AO19" s="423">
        <f>+VLOOKUP($A$1,data!$A$69:$AU$99,24)</f>
        <v>6.2042E-2</v>
      </c>
      <c r="AP19" s="423">
        <f>+VLOOKUP($A$1,data!$A$69:$AU$99,25)</f>
        <v>7.0954000000000003E-2</v>
      </c>
      <c r="AQ19" s="423">
        <f>+VLOOKUP($A$1,data!$A$69:$AU$99,26)</f>
        <v>7.2554999999999994E-2</v>
      </c>
      <c r="AR19" s="423">
        <f>+VLOOKUP($A$1,data!$A$69:$AU$99,27)</f>
        <v>6.9575999999999999E-2</v>
      </c>
      <c r="AS19" s="423">
        <f>+VLOOKUP($A$1,data!$A$69:$AU$99,28)</f>
        <v>6.6452999999999998E-2</v>
      </c>
      <c r="AT19" s="423">
        <f>+VLOOKUP($A$1,data!$A$69:$AU$99,29)</f>
        <v>6.6341999999999998E-2</v>
      </c>
      <c r="AU19" s="423">
        <f>+VLOOKUP($A$1,data!$A$69:$AU$99,30)</f>
        <v>6.1286E-2</v>
      </c>
      <c r="AV19" s="423">
        <f>SUM(AJ19:AU19)</f>
        <v>0.77410199999999996</v>
      </c>
      <c r="AW19" s="424">
        <f t="shared" ref="AW19:AW20" si="1">SUM(AJ19:AU19)</f>
        <v>0.77410199999999996</v>
      </c>
      <c r="AX19" s="425">
        <f>+AW20-AW19</f>
        <v>-2.0282999999999829E-2</v>
      </c>
      <c r="AY19" s="311" t="s">
        <v>94</v>
      </c>
      <c r="AZ19" s="727">
        <f>+VLOOKUP($A$1,data!$A$101:$AU$131,19)</f>
        <v>1.5887999999999999E-2</v>
      </c>
      <c r="BA19" s="727">
        <f>+VLOOKUP($A$1,data!$A$101:$AU$131,20)</f>
        <v>1.5084E-2</v>
      </c>
      <c r="BB19" s="727">
        <f>+VLOOKUP($A$1,data!$A$101:$AU$131,21)</f>
        <v>1.4735E-2</v>
      </c>
      <c r="BC19" s="727">
        <f>+VLOOKUP($A$1,data!$A$101:$AU$131,22)</f>
        <v>1.4657E-2</v>
      </c>
      <c r="BD19" s="727">
        <f>+VLOOKUP($A$1,data!$A$101:$AU$131,23)</f>
        <v>1.2743000000000001E-2</v>
      </c>
      <c r="BE19" s="727">
        <f>+VLOOKUP($A$1,data!$A$101:$AU$131,24)</f>
        <v>1.5036000000000001E-2</v>
      </c>
      <c r="BF19" s="727">
        <f>+VLOOKUP($A$1,data!$A$101:$AU$131,25)</f>
        <v>1.6981E-2</v>
      </c>
      <c r="BG19" s="727">
        <f>+VLOOKUP($A$1,data!$A$101:$AU$131,26)</f>
        <v>1.4008E-2</v>
      </c>
      <c r="BH19" s="727">
        <f>+VLOOKUP($A$1,data!$A$101:$AU$131,27)</f>
        <v>1.3209E-2</v>
      </c>
      <c r="BI19" s="727">
        <f>+VLOOKUP($A$1,data!$A$101:$AU$131,28)</f>
        <v>1.1872000000000001E-2</v>
      </c>
      <c r="BJ19" s="727">
        <f>+VLOOKUP($A$1,data!$A$101:$AU$131,29)</f>
        <v>1.2685999999999999E-2</v>
      </c>
      <c r="BK19" s="727">
        <f>+VLOOKUP($A$1,data!$A$101:$AU$131,30)</f>
        <v>1.3018999999999999E-2</v>
      </c>
      <c r="BL19" s="727">
        <f>SUM(AZ19:BK19)</f>
        <v>0.16991799999999999</v>
      </c>
      <c r="BM19" s="728">
        <f t="shared" ref="BM19:BM20" si="2">SUM(AZ19:BK19)</f>
        <v>0.16991799999999999</v>
      </c>
      <c r="BN19" s="729">
        <f>+BM20-BM19</f>
        <v>-3.1660999999999995E-2</v>
      </c>
    </row>
    <row r="20" spans="1:66" s="247" customFormat="1" ht="19.5" thickBot="1" x14ac:dyDescent="0.35">
      <c r="A20" s="413" t="s">
        <v>93</v>
      </c>
      <c r="B20" s="414">
        <f>+VLOOKUP($A$1,data!$A$37:$AU$67,3)</f>
        <v>32</v>
      </c>
      <c r="C20" s="414">
        <f>+VLOOKUP($A$1,data!$A$37:$AU$67,4)</f>
        <v>9</v>
      </c>
      <c r="D20" s="414">
        <f>+VLOOKUP($A$1,data!$A$37:$AU$67,5)</f>
        <v>15</v>
      </c>
      <c r="E20" s="414">
        <f>+VLOOKUP($A$1,data!$A$37:$AU$67,6)</f>
        <v>10</v>
      </c>
      <c r="F20" s="414">
        <f>+VLOOKUP($A$1,data!$A$37:$AU$67,7)</f>
        <v>7</v>
      </c>
      <c r="G20" s="414">
        <f>+VLOOKUP($A$1,data!$A$37:$AU$67,8)</f>
        <v>10</v>
      </c>
      <c r="H20" s="414">
        <f>+VLOOKUP($A$1,data!$A$37:$AU$67,9)</f>
        <v>13</v>
      </c>
      <c r="I20" s="414">
        <f>+VLOOKUP($A$1,data!$A$37:$AU$67,10)</f>
        <v>17</v>
      </c>
      <c r="J20" s="414">
        <f>+VLOOKUP($A$1,data!$A$37:$AU$67,11)</f>
        <v>21</v>
      </c>
      <c r="K20" s="414">
        <f>+VLOOKUP($A$1,data!$A$37:$AU$67,12)</f>
        <v>20</v>
      </c>
      <c r="L20" s="414">
        <f>+VLOOKUP($A$1,data!$A$37:$AU$67,13)</f>
        <v>14</v>
      </c>
      <c r="M20" s="414">
        <f>+VLOOKUP($A$1,data!$A$37:$AU$67,14)</f>
        <v>8</v>
      </c>
      <c r="N20" s="414">
        <f>SUM(B20:M20)</f>
        <v>176</v>
      </c>
      <c r="O20" s="631">
        <f t="shared" si="0"/>
        <v>176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5.8687999999999997E-2</v>
      </c>
      <c r="AK20" s="420">
        <f>+VLOOKUP($A$1,data!$A$69:$AU$99,4)</f>
        <v>6.1983999999999997E-2</v>
      </c>
      <c r="AL20" s="420">
        <f>+VLOOKUP($A$1,data!$A$69:$AU$99,5)</f>
        <v>6.0965999999999999E-2</v>
      </c>
      <c r="AM20" s="420">
        <f>+VLOOKUP($A$1,data!$A$69:$AU$99,6)</f>
        <v>6.2170999999999997E-2</v>
      </c>
      <c r="AN20" s="420">
        <f>+VLOOKUP($A$1,data!$A$69:$AU$99,7)</f>
        <v>6.4051999999999998E-2</v>
      </c>
      <c r="AO20" s="420">
        <f>+VLOOKUP($A$1,data!$A$69:$AU$99,8)</f>
        <v>5.9735000000000003E-2</v>
      </c>
      <c r="AP20" s="420">
        <f>+VLOOKUP($A$1,data!$A$69:$AU$99,9)</f>
        <v>6.9110000000000005E-2</v>
      </c>
      <c r="AQ20" s="420">
        <f>+VLOOKUP($A$1,data!$A$69:$AU$99,10)</f>
        <v>6.7773E-2</v>
      </c>
      <c r="AR20" s="420">
        <f>+VLOOKUP($A$1,data!$A$69:$AU$99,11)</f>
        <v>6.4508999999999997E-2</v>
      </c>
      <c r="AS20" s="420">
        <f>+VLOOKUP($A$1,data!$A$69:$AU$99,12)</f>
        <v>6.3156000000000004E-2</v>
      </c>
      <c r="AT20" s="420">
        <f>+VLOOKUP($A$1,data!$A$69:$AU$99,13)</f>
        <v>6.0547999999999998E-2</v>
      </c>
      <c r="AU20" s="420">
        <f>+VLOOKUP($A$1,data!$A$69:$AU$99,14)</f>
        <v>6.1127000000000001E-2</v>
      </c>
      <c r="AV20" s="420">
        <f>SUM(AJ20:AU20)</f>
        <v>0.75381900000000013</v>
      </c>
      <c r="AW20" s="421">
        <f t="shared" si="1"/>
        <v>0.75381900000000013</v>
      </c>
      <c r="AX20" s="422"/>
      <c r="AY20" s="315" t="s">
        <v>93</v>
      </c>
      <c r="AZ20" s="730">
        <f>+VLOOKUP($A$1,data!$A$101:$AU$131,3)</f>
        <v>1.6907999999999999E-2</v>
      </c>
      <c r="BA20" s="730">
        <f>+VLOOKUP($A$1,data!$A$101:$AU$131,4)</f>
        <v>9.7109999999999991E-3</v>
      </c>
      <c r="BB20" s="730">
        <f>+VLOOKUP($A$1,data!$A$101:$AU$131,5)</f>
        <v>1.5429E-2</v>
      </c>
      <c r="BC20" s="730">
        <f>+VLOOKUP($A$1,data!$A$101:$AU$131,6)</f>
        <v>1.1571E-2</v>
      </c>
      <c r="BD20" s="730">
        <f>+VLOOKUP($A$1,data!$A$101:$AU$131,7)</f>
        <v>8.286E-3</v>
      </c>
      <c r="BE20" s="730">
        <f>+VLOOKUP($A$1,data!$A$101:$AU$131,8)</f>
        <v>1.4629E-2</v>
      </c>
      <c r="BF20" s="730">
        <f>+VLOOKUP($A$1,data!$A$101:$AU$131,9)</f>
        <v>8.6750000000000004E-3</v>
      </c>
      <c r="BG20" s="730">
        <f>+VLOOKUP($A$1,data!$A$101:$AU$131,10)</f>
        <v>8.0809999999999996E-3</v>
      </c>
      <c r="BH20" s="730">
        <f>+VLOOKUP($A$1,data!$A$101:$AU$131,11)</f>
        <v>7.659E-3</v>
      </c>
      <c r="BI20" s="730">
        <f>+VLOOKUP($A$1,data!$A$101:$AU$131,12)</f>
        <v>9.9179999999999997E-3</v>
      </c>
      <c r="BJ20" s="730">
        <f>+VLOOKUP($A$1,data!$A$101:$AU$131,13)</f>
        <v>1.2991000000000001E-2</v>
      </c>
      <c r="BK20" s="730">
        <f>+VLOOKUP($A$1,data!$A$101:$AU$131,14)</f>
        <v>1.4399E-2</v>
      </c>
      <c r="BL20" s="730">
        <f>SUM(AZ20:BK20)</f>
        <v>0.13825699999999999</v>
      </c>
      <c r="BM20" s="731">
        <f t="shared" si="2"/>
        <v>0.13825699999999999</v>
      </c>
      <c r="BN20" s="732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41.755379388448461</v>
      </c>
      <c r="W21" s="671">
        <f>+VLOOKUP($A$1,data!$A$261:$AK$291,16)</f>
        <v>27</v>
      </c>
      <c r="X21" s="671">
        <f>+VLOOKUP($A$1,data!$A$261:$AK$291,36)</f>
        <v>82.795016987542454</v>
      </c>
      <c r="Y21" s="671">
        <f>+VLOOKUP($A$1,data!$A$261:$AK$291,17)</f>
        <v>53</v>
      </c>
      <c r="Z21" s="671">
        <f>+VLOOKUP($A$1,data!$A$261:$AK$291,37)</f>
        <v>159.9150622876557</v>
      </c>
      <c r="AA21" s="671">
        <f>+VLOOKUP($A$1,data!$A$261:$AK$291,18)</f>
        <v>102</v>
      </c>
      <c r="AB21" s="671">
        <f>+VLOOKUP($A$1,data!$A$261:$AK$291,34)</f>
        <v>207.99999999999997</v>
      </c>
      <c r="AC21" s="671">
        <f>+VLOOKUP($A$1,data!$A$261:$AK$291,15)</f>
        <v>139</v>
      </c>
      <c r="AD21" s="671">
        <f>+AA21-Z21</f>
        <v>-57.915062287655701</v>
      </c>
      <c r="AE21" s="684">
        <f>+AC21-AB21</f>
        <v>-68.999999999999972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6</v>
      </c>
      <c r="W22" s="672">
        <f>+VLOOKUP($A$1,data!$A$229:$AK$259,16)</f>
        <v>29</v>
      </c>
      <c r="X22" s="672">
        <f>+VLOOKUP($A$1,data!$A$229:$AK$259,36)</f>
        <v>13</v>
      </c>
      <c r="Y22" s="672">
        <f>+VLOOKUP($A$1,data!$A$229:$AK$259,17)</f>
        <v>30</v>
      </c>
      <c r="Z22" s="672">
        <f>+VLOOKUP($A$1,data!$A$229:$AK$259,37)</f>
        <v>24</v>
      </c>
      <c r="AA22" s="672">
        <f>+VLOOKUP($A$1,data!$A$229:$AK$259,18)</f>
        <v>32</v>
      </c>
      <c r="AB22" s="672">
        <f>+VLOOKUP($A$1,data!$A$229:$AK$259,34)</f>
        <v>43</v>
      </c>
      <c r="AC22" s="765">
        <f>+VLOOKUP($A$1,data!$A$229:$AK$259,15)</f>
        <v>37</v>
      </c>
      <c r="AD22" s="671">
        <f>+AA22-Z22</f>
        <v>8</v>
      </c>
      <c r="AE22" s="685">
        <f>+AC22-AB22</f>
        <v>-6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713">
        <f>SUM(V21:V22)</f>
        <v>47.755379388448461</v>
      </c>
      <c r="W23" s="713">
        <f t="shared" ref="W23:AC23" si="3">SUM(W21:W22)</f>
        <v>56</v>
      </c>
      <c r="X23" s="713">
        <f t="shared" si="3"/>
        <v>95.795016987542454</v>
      </c>
      <c r="Y23" s="713">
        <f t="shared" si="3"/>
        <v>83</v>
      </c>
      <c r="Z23" s="713">
        <f t="shared" si="3"/>
        <v>183.9150622876557</v>
      </c>
      <c r="AA23" s="713">
        <f t="shared" si="3"/>
        <v>134</v>
      </c>
      <c r="AB23" s="713">
        <f t="shared" si="3"/>
        <v>250.99999999999997</v>
      </c>
      <c r="AC23" s="764">
        <f t="shared" si="3"/>
        <v>176</v>
      </c>
      <c r="AD23" s="713">
        <f>+AA23-Z23</f>
        <v>-49.915062287655701</v>
      </c>
      <c r="AE23" s="686">
        <f>+AC23-AB23</f>
        <v>-74.999999999999972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78" t="s">
        <v>74</v>
      </c>
      <c r="BA37" s="878" t="s">
        <v>75</v>
      </c>
      <c r="BB37" s="878" t="s">
        <v>76</v>
      </c>
      <c r="BC37" s="878" t="s">
        <v>118</v>
      </c>
      <c r="BD37" s="878" t="s">
        <v>77</v>
      </c>
      <c r="BE37" s="878" t="s">
        <v>78</v>
      </c>
      <c r="BF37" s="878" t="s">
        <v>79</v>
      </c>
      <c r="BG37" s="878" t="s">
        <v>119</v>
      </c>
      <c r="BH37" s="878" t="s">
        <v>80</v>
      </c>
      <c r="BI37" s="878" t="s">
        <v>81</v>
      </c>
      <c r="BJ37" s="878" t="s">
        <v>82</v>
      </c>
      <c r="BK37" s="878" t="s">
        <v>120</v>
      </c>
      <c r="BL37" s="878" t="s">
        <v>83</v>
      </c>
      <c r="BM37" s="878" t="s">
        <v>84</v>
      </c>
      <c r="BN37" s="878" t="s">
        <v>85</v>
      </c>
      <c r="BO37" s="878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79"/>
      <c r="BA38" s="879"/>
      <c r="BB38" s="879"/>
      <c r="BC38" s="879"/>
      <c r="BD38" s="879"/>
      <c r="BE38" s="879"/>
      <c r="BF38" s="879"/>
      <c r="BG38" s="879"/>
      <c r="BH38" s="879"/>
      <c r="BI38" s="879"/>
      <c r="BJ38" s="879"/>
      <c r="BK38" s="879"/>
      <c r="BL38" s="879"/>
      <c r="BM38" s="879"/>
      <c r="BN38" s="879"/>
      <c r="BO38" s="879"/>
    </row>
    <row r="39" spans="1:67" ht="22.5" thickTop="1" thickBot="1" x14ac:dyDescent="0.4">
      <c r="A39"/>
      <c r="B39" s="405" t="s">
        <v>92</v>
      </c>
      <c r="C39" s="406">
        <f>+B18</f>
        <v>8</v>
      </c>
      <c r="D39" s="406">
        <f t="shared" ref="D39:N41" si="4">+C39+C18</f>
        <v>15</v>
      </c>
      <c r="E39" s="406">
        <f t="shared" si="4"/>
        <v>37</v>
      </c>
      <c r="F39" s="406">
        <f t="shared" si="4"/>
        <v>48</v>
      </c>
      <c r="G39" s="406">
        <f t="shared" si="4"/>
        <v>57</v>
      </c>
      <c r="H39" s="406">
        <f t="shared" si="4"/>
        <v>70</v>
      </c>
      <c r="I39" s="406">
        <f t="shared" si="4"/>
        <v>145</v>
      </c>
      <c r="J39" s="406">
        <f t="shared" si="4"/>
        <v>190</v>
      </c>
      <c r="K39" s="406">
        <f t="shared" si="4"/>
        <v>199</v>
      </c>
      <c r="L39" s="406">
        <f t="shared" si="4"/>
        <v>220</v>
      </c>
      <c r="M39" s="406">
        <f t="shared" si="4"/>
        <v>258</v>
      </c>
      <c r="N39" s="406">
        <f t="shared" si="4"/>
        <v>316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5.6460999999999997E-2</v>
      </c>
      <c r="AL39" s="418">
        <f t="shared" ref="AL39:AV41" si="5">+AK39+AK18</f>
        <v>0.11405499999999999</v>
      </c>
      <c r="AM39" s="418">
        <f t="shared" si="5"/>
        <v>0.16569200000000001</v>
      </c>
      <c r="AN39" s="418">
        <f t="shared" si="5"/>
        <v>0.222166</v>
      </c>
      <c r="AO39" s="418">
        <f t="shared" si="5"/>
        <v>0.274781</v>
      </c>
      <c r="AP39" s="418">
        <f t="shared" si="5"/>
        <v>0.33206400000000003</v>
      </c>
      <c r="AQ39" s="418">
        <f t="shared" si="5"/>
        <v>0.39929000000000003</v>
      </c>
      <c r="AR39" s="418">
        <f t="shared" si="5"/>
        <v>0.47200000000000003</v>
      </c>
      <c r="AS39" s="418">
        <f t="shared" si="5"/>
        <v>0.53714100000000009</v>
      </c>
      <c r="AT39" s="418">
        <f t="shared" si="5"/>
        <v>0.60055700000000012</v>
      </c>
      <c r="AU39" s="418">
        <f t="shared" si="5"/>
        <v>0.66190800000000016</v>
      </c>
      <c r="AV39" s="418">
        <f t="shared" si="5"/>
        <v>0.72099600000000019</v>
      </c>
      <c r="AW39" s="158"/>
      <c r="AX39" s="158"/>
      <c r="AY39" s="308" t="s">
        <v>92</v>
      </c>
      <c r="AZ39" s="714">
        <f>+VLOOKUP($A$1,data!$A$133:$BK$163,26)</f>
        <v>18.063214721077379</v>
      </c>
      <c r="BA39" s="714">
        <f>+VLOOKUP($A$1,data!$A$133:$BK$163,27)</f>
        <v>15.433521767858455</v>
      </c>
      <c r="BB39" s="714">
        <f>+VLOOKUP($A$1,data!$A$133:$BK$163,28)</f>
        <v>17.345093080210653</v>
      </c>
      <c r="BC39" s="714">
        <f>+VLOOKUP($A$1,data!$A$133:$BK$163,29)</f>
        <v>16.940537180554024</v>
      </c>
      <c r="BD39" s="714">
        <f>+VLOOKUP($A$1,data!$A$133:$BK$163,30)</f>
        <v>15.932536433600786</v>
      </c>
      <c r="BE39" s="714">
        <f>+VLOOKUP($A$1,data!$A$133:$BK$163,31)</f>
        <v>17.041136496223768</v>
      </c>
      <c r="BF39" s="714">
        <f>+VLOOKUP($A$1,data!$A$133:$BK$163,32)</f>
        <v>19.890365865565677</v>
      </c>
      <c r="BG39" s="714">
        <f>+VLOOKUP($A$1,data!$A$133:$BK$163,33)</f>
        <v>17.314244895825816</v>
      </c>
      <c r="BH39" s="714">
        <f>+VLOOKUP($A$1,data!$A$133:$BK$163,34)</f>
        <v>19.501050357833773</v>
      </c>
      <c r="BI39" s="714">
        <f>+VLOOKUP($A$1,data!$A$133:$BK$163,35)</f>
        <v>11.488077271355266</v>
      </c>
      <c r="BJ39" s="714">
        <f>+VLOOKUP($A$1,data!$A$133:$BK$163,36)</f>
        <v>10.285226349350632</v>
      </c>
      <c r="BK39" s="714">
        <f>+VLOOKUP($A$1,data!$A$133:$BK$163,37)</f>
        <v>16.053595647497154</v>
      </c>
      <c r="BL39" s="714">
        <f>+VLOOKUP($A$1,data!$A$133:$BK$163,38)</f>
        <v>10.226500566251415</v>
      </c>
      <c r="BM39" s="714">
        <f>+VLOOKUP($A$1,data!$A$133:$BK$163,39)</f>
        <v>15.952928927612472</v>
      </c>
      <c r="BN39" s="714">
        <f>+VLOOKUP($A$1,data!$A$133:$BK$163,40)</f>
        <v>17.197309417040358</v>
      </c>
      <c r="BO39" s="714">
        <f>+VLOOKUP($A$1,data!$A$133:$BK$163,41)</f>
        <v>15.659699275861506</v>
      </c>
    </row>
    <row r="40" spans="1:67" ht="21.75" thickBot="1" x14ac:dyDescent="0.4">
      <c r="A40"/>
      <c r="B40" s="408" t="s">
        <v>94</v>
      </c>
      <c r="C40" s="409">
        <f>+B19</f>
        <v>17.055492638731597</v>
      </c>
      <c r="D40" s="409">
        <f t="shared" si="4"/>
        <v>31.552661381653451</v>
      </c>
      <c r="E40" s="409">
        <f t="shared" si="4"/>
        <v>47.755379388448461</v>
      </c>
      <c r="F40" s="409">
        <f t="shared" si="4"/>
        <v>61.968289920724793</v>
      </c>
      <c r="G40" s="409">
        <f t="shared" si="4"/>
        <v>77.033975084937708</v>
      </c>
      <c r="H40" s="409">
        <f t="shared" si="4"/>
        <v>95.795016987542454</v>
      </c>
      <c r="I40" s="409">
        <f t="shared" si="4"/>
        <v>129.3374858437146</v>
      </c>
      <c r="J40" s="409">
        <f t="shared" si="4"/>
        <v>163.16421291053226</v>
      </c>
      <c r="K40" s="409">
        <f t="shared" si="4"/>
        <v>183.9150622876557</v>
      </c>
      <c r="L40" s="409">
        <f t="shared" si="4"/>
        <v>210.91959229898072</v>
      </c>
      <c r="M40" s="409">
        <f t="shared" si="4"/>
        <v>229.96489241223099</v>
      </c>
      <c r="N40" s="409">
        <f t="shared" si="4"/>
        <v>250.99999999999997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6.1445E-2</v>
      </c>
      <c r="AL40" s="423">
        <f t="shared" si="5"/>
        <v>0.125523</v>
      </c>
      <c r="AM40" s="423">
        <f t="shared" si="5"/>
        <v>0.18489</v>
      </c>
      <c r="AN40" s="423">
        <f t="shared" si="5"/>
        <v>0.24779800000000002</v>
      </c>
      <c r="AO40" s="423">
        <f t="shared" si="5"/>
        <v>0.304894</v>
      </c>
      <c r="AP40" s="423">
        <f t="shared" si="5"/>
        <v>0.36693599999999998</v>
      </c>
      <c r="AQ40" s="423">
        <f t="shared" si="5"/>
        <v>0.43789</v>
      </c>
      <c r="AR40" s="423">
        <f t="shared" si="5"/>
        <v>0.51044500000000004</v>
      </c>
      <c r="AS40" s="423">
        <f t="shared" si="5"/>
        <v>0.58002100000000001</v>
      </c>
      <c r="AT40" s="423">
        <f t="shared" si="5"/>
        <v>0.64647399999999999</v>
      </c>
      <c r="AU40" s="423">
        <f t="shared" si="5"/>
        <v>0.71281600000000001</v>
      </c>
      <c r="AV40" s="423">
        <f t="shared" si="5"/>
        <v>0.77410199999999996</v>
      </c>
      <c r="AW40" s="158"/>
      <c r="AX40" s="158"/>
      <c r="AY40" s="311" t="s">
        <v>94</v>
      </c>
      <c r="AZ40" s="715">
        <f>+VLOOKUP($A$1,data!$A$133:$BK$163,22)</f>
        <v>17.999406792228978</v>
      </c>
      <c r="BA40" s="715">
        <f>+$AZ$40</f>
        <v>17.999406792228978</v>
      </c>
      <c r="BB40" s="715">
        <f t="shared" ref="BB40:BO40" si="6">+$AZ$40</f>
        <v>17.999406792228978</v>
      </c>
      <c r="BC40" s="715">
        <f t="shared" si="6"/>
        <v>17.999406792228978</v>
      </c>
      <c r="BD40" s="715">
        <f t="shared" si="6"/>
        <v>17.999406792228978</v>
      </c>
      <c r="BE40" s="715">
        <f t="shared" si="6"/>
        <v>17.999406792228978</v>
      </c>
      <c r="BF40" s="715">
        <f t="shared" si="6"/>
        <v>17.999406792228978</v>
      </c>
      <c r="BG40" s="715">
        <f t="shared" si="6"/>
        <v>17.999406792228978</v>
      </c>
      <c r="BH40" s="715">
        <f t="shared" si="6"/>
        <v>17.999406792228978</v>
      </c>
      <c r="BI40" s="715">
        <f t="shared" si="6"/>
        <v>17.999406792228978</v>
      </c>
      <c r="BJ40" s="715">
        <f t="shared" si="6"/>
        <v>17.999406792228978</v>
      </c>
      <c r="BK40" s="715">
        <f t="shared" si="6"/>
        <v>17.999406792228978</v>
      </c>
      <c r="BL40" s="715">
        <f t="shared" si="6"/>
        <v>17.999406792228978</v>
      </c>
      <c r="BM40" s="715">
        <f t="shared" si="6"/>
        <v>17.999406792228978</v>
      </c>
      <c r="BN40" s="715">
        <f t="shared" si="6"/>
        <v>17.999406792228978</v>
      </c>
      <c r="BO40" s="715">
        <f t="shared" si="6"/>
        <v>17.999406792228978</v>
      </c>
    </row>
    <row r="41" spans="1:67" ht="21.75" thickBot="1" x14ac:dyDescent="0.4">
      <c r="A41"/>
      <c r="B41" s="413" t="s">
        <v>93</v>
      </c>
      <c r="C41" s="414">
        <f>+B20</f>
        <v>32</v>
      </c>
      <c r="D41" s="414">
        <f t="shared" si="4"/>
        <v>41</v>
      </c>
      <c r="E41" s="414">
        <f t="shared" si="4"/>
        <v>56</v>
      </c>
      <c r="F41" s="414">
        <f t="shared" si="4"/>
        <v>66</v>
      </c>
      <c r="G41" s="414">
        <f t="shared" si="4"/>
        <v>73</v>
      </c>
      <c r="H41" s="414">
        <f t="shared" si="4"/>
        <v>83</v>
      </c>
      <c r="I41" s="414">
        <f t="shared" si="4"/>
        <v>96</v>
      </c>
      <c r="J41" s="414">
        <f t="shared" si="4"/>
        <v>113</v>
      </c>
      <c r="K41" s="414">
        <f t="shared" si="4"/>
        <v>134</v>
      </c>
      <c r="L41" s="414">
        <f t="shared" si="4"/>
        <v>154</v>
      </c>
      <c r="M41" s="414">
        <f t="shared" si="4"/>
        <v>168</v>
      </c>
      <c r="N41" s="414">
        <f t="shared" si="4"/>
        <v>176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5.8687999999999997E-2</v>
      </c>
      <c r="AL41" s="420">
        <f t="shared" si="5"/>
        <v>0.120672</v>
      </c>
      <c r="AM41" s="420">
        <f t="shared" si="5"/>
        <v>0.18163799999999999</v>
      </c>
      <c r="AN41" s="420">
        <f t="shared" si="5"/>
        <v>0.243809</v>
      </c>
      <c r="AO41" s="420">
        <f t="shared" si="5"/>
        <v>0.307861</v>
      </c>
      <c r="AP41" s="420">
        <f t="shared" si="5"/>
        <v>0.36759599999999998</v>
      </c>
      <c r="AQ41" s="420">
        <f t="shared" si="5"/>
        <v>0.43670599999999998</v>
      </c>
      <c r="AR41" s="420">
        <f t="shared" si="5"/>
        <v>0.50447900000000001</v>
      </c>
      <c r="AS41" s="420">
        <f t="shared" si="5"/>
        <v>0.56898800000000005</v>
      </c>
      <c r="AT41" s="420">
        <f t="shared" si="5"/>
        <v>0.63214400000000004</v>
      </c>
      <c r="AU41" s="420">
        <f t="shared" si="5"/>
        <v>0.69269200000000009</v>
      </c>
      <c r="AV41" s="420">
        <f t="shared" si="5"/>
        <v>0.75381900000000013</v>
      </c>
      <c r="AW41" s="158"/>
      <c r="AX41" s="158"/>
      <c r="AY41" s="315" t="s">
        <v>93</v>
      </c>
      <c r="AZ41" s="716">
        <f>+VLOOKUP($A$1,data!$A$133:$BK$163,3)</f>
        <v>22.366262765225674</v>
      </c>
      <c r="BA41" s="716">
        <f>+VLOOKUP($A$1,data!$A$133:$BK$163,4)</f>
        <v>13.544877606527653</v>
      </c>
      <c r="BB41" s="716">
        <f>+VLOOKUP($A$1,data!$A$133:$BK$163,5)</f>
        <v>20.196347928529352</v>
      </c>
      <c r="BC41" s="716">
        <f>+VLOOKUP($A$1,data!$A$133:$BK$163,6)</f>
        <v>18.797779029532467</v>
      </c>
      <c r="BD41" s="716">
        <f>+VLOOKUP($A$1,data!$A$133:$BK$163,7)</f>
        <v>15.691193621002956</v>
      </c>
      <c r="BE41" s="716">
        <f>+VLOOKUP($A$1,data!$A$133:$BK$163,8)</f>
        <v>11.454560535265006</v>
      </c>
      <c r="BF41" s="716">
        <f>+VLOOKUP($A$1,data!$A$133:$BK$163,9)</f>
        <v>19.672153192404927</v>
      </c>
      <c r="BG41" s="716">
        <f>+VLOOKUP($A$1,data!$A$133:$BK$163,10)</f>
        <v>17.232341881881432</v>
      </c>
      <c r="BH41" s="716">
        <f>+VLOOKUP($A$1,data!$A$133:$BK$163,11)</f>
        <v>11.152535835958091</v>
      </c>
      <c r="BI41" s="716">
        <f>+VLOOKUP($A$1,data!$A$133:$BK$163,12)</f>
        <v>10.653360402879215</v>
      </c>
      <c r="BJ41" s="716">
        <f>+VLOOKUP($A$1,data!$A$133:$BK$163,13)</f>
        <v>10.612736947123379</v>
      </c>
      <c r="BK41" s="716">
        <f>+VLOOKUP($A$1,data!$A$133:$BK$163,14)</f>
        <v>15.068431807766999</v>
      </c>
      <c r="BL41" s="716">
        <f>+VLOOKUP($A$1,data!$A$133:$BK$163,15)</f>
        <v>13.572542901716069</v>
      </c>
      <c r="BM41" s="716">
        <f>+VLOOKUP($A$1,data!$A$133:$BK$163,16)</f>
        <v>17.665456424482247</v>
      </c>
      <c r="BN41" s="716">
        <f>+VLOOKUP($A$1,data!$A$133:$BK$163,17)</f>
        <v>19.064957762889602</v>
      </c>
      <c r="BO41" s="716">
        <f>+VLOOKUP($A$1,data!$A$133:$BK$163,18)</f>
        <v>15.498343190490496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712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15.659699275861506</v>
      </c>
      <c r="BA43" s="826">
        <f>+VLOOKUP($A$1,data!$A$133:$BK$163,26)</f>
        <v>18.063214721077379</v>
      </c>
      <c r="BB43" s="473">
        <f>+AZ45-AZ43</f>
        <v>-0.16135608537100943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17.999406792228978</v>
      </c>
      <c r="BA44" s="830"/>
      <c r="BB44" s="472">
        <f>+AZ45-AZ44</f>
        <v>-2.5010636017384815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15.498343190490496</v>
      </c>
      <c r="BA45" s="832"/>
      <c r="BB45" s="315"/>
      <c r="BC45" s="158"/>
      <c r="BD45" s="158"/>
    </row>
    <row r="46" spans="1:67" x14ac:dyDescent="0.35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1.75" thickBot="1" x14ac:dyDescent="0.4"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299"/>
      <c r="AE47" s="299"/>
      <c r="AF47" s="299"/>
      <c r="AG47" s="299"/>
      <c r="AH47" s="299"/>
      <c r="AY47" s="691"/>
      <c r="AZ47" s="692"/>
      <c r="BA47" s="691"/>
      <c r="BB47" s="691"/>
      <c r="BC47" s="158"/>
      <c r="BD47" s="158"/>
    </row>
    <row r="48" spans="1:67" ht="27" thickBot="1" x14ac:dyDescent="0.4">
      <c r="A48" s="248">
        <f>+A1</f>
        <v>1027</v>
      </c>
      <c r="B48" s="817" t="str">
        <f>+VLOOKUP($A$1,data!$A$4:$AH$32,2,0)</f>
        <v>เวียงเชียงของ</v>
      </c>
      <c r="C48" s="818"/>
      <c r="D48" s="818"/>
      <c r="E48" s="818"/>
      <c r="F48" s="818"/>
      <c r="G48" s="818"/>
      <c r="H48" s="818"/>
      <c r="I48" s="818"/>
      <c r="J48" s="818"/>
      <c r="K48" s="818"/>
      <c r="L48" s="818"/>
      <c r="M48" s="810" t="s">
        <v>132</v>
      </c>
      <c r="N48" s="811"/>
      <c r="O48" s="811"/>
      <c r="P48" s="812"/>
      <c r="S48" s="248">
        <f>+A1</f>
        <v>1027</v>
      </c>
      <c r="T48" s="817" t="str">
        <f>+VLOOKUP($A$1,data!$A$4:$AH$32,2,0)</f>
        <v>เวียงเชียงของ</v>
      </c>
      <c r="U48" s="818"/>
      <c r="V48" s="818"/>
      <c r="W48" s="818"/>
      <c r="X48" s="818"/>
      <c r="Y48" s="818"/>
      <c r="Z48" s="818"/>
      <c r="AA48" s="818"/>
      <c r="AB48" s="818"/>
      <c r="AC48" s="819"/>
      <c r="AD48" s="817" t="s">
        <v>133</v>
      </c>
      <c r="AE48" s="818"/>
      <c r="AF48" s="818"/>
      <c r="AG48" s="818"/>
      <c r="AH48" s="820"/>
      <c r="AI48" s="248">
        <f>+A1</f>
        <v>1027</v>
      </c>
      <c r="AJ48" s="817" t="str">
        <f>+VLOOKUP($A$1,data!$A$4:$AH$32,2,0)</f>
        <v>เวียงเชียงของ</v>
      </c>
      <c r="AK48" s="818"/>
      <c r="AL48" s="818"/>
      <c r="AM48" s="818"/>
      <c r="AN48" s="818"/>
      <c r="AO48" s="818"/>
      <c r="AP48" s="818"/>
      <c r="AQ48" s="818"/>
      <c r="AR48" s="818"/>
      <c r="AS48" s="818"/>
      <c r="AT48" s="833" t="s">
        <v>134</v>
      </c>
      <c r="AU48" s="834"/>
      <c r="AV48" s="834"/>
      <c r="AW48" s="834"/>
      <c r="AX48" s="835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x14ac:dyDescent="0.35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.75" thickBot="1" x14ac:dyDescent="0.4"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</row>
    <row r="63" spans="1:50" ht="21" customHeight="1" x14ac:dyDescent="0.35">
      <c r="A63" s="844" t="s">
        <v>126</v>
      </c>
      <c r="B63" s="844" t="s">
        <v>74</v>
      </c>
      <c r="C63" s="844" t="s">
        <v>75</v>
      </c>
      <c r="D63" s="844" t="s">
        <v>76</v>
      </c>
      <c r="E63" s="844" t="s">
        <v>77</v>
      </c>
      <c r="F63" s="844" t="s">
        <v>78</v>
      </c>
      <c r="G63" s="844" t="s">
        <v>79</v>
      </c>
      <c r="H63" s="844" t="s">
        <v>80</v>
      </c>
      <c r="I63" s="844" t="s">
        <v>81</v>
      </c>
      <c r="J63" s="844" t="s">
        <v>82</v>
      </c>
      <c r="K63" s="844" t="s">
        <v>83</v>
      </c>
      <c r="L63" s="844" t="s">
        <v>84</v>
      </c>
      <c r="M63" s="844" t="s">
        <v>85</v>
      </c>
      <c r="N63" s="844" t="s">
        <v>95</v>
      </c>
      <c r="O63" s="536" t="s">
        <v>154</v>
      </c>
      <c r="P63" s="536" t="s">
        <v>90</v>
      </c>
      <c r="S63" s="846" t="s">
        <v>129</v>
      </c>
      <c r="T63" s="846" t="s">
        <v>74</v>
      </c>
      <c r="U63" s="846" t="s">
        <v>75</v>
      </c>
      <c r="V63" s="846" t="s">
        <v>76</v>
      </c>
      <c r="W63" s="846" t="s">
        <v>77</v>
      </c>
      <c r="X63" s="846" t="s">
        <v>78</v>
      </c>
      <c r="Y63" s="846" t="s">
        <v>79</v>
      </c>
      <c r="Z63" s="846" t="s">
        <v>80</v>
      </c>
      <c r="AA63" s="846" t="s">
        <v>81</v>
      </c>
      <c r="AB63" s="846" t="s">
        <v>82</v>
      </c>
      <c r="AC63" s="846" t="s">
        <v>83</v>
      </c>
      <c r="AD63" s="846" t="s">
        <v>84</v>
      </c>
      <c r="AE63" s="846" t="s">
        <v>85</v>
      </c>
      <c r="AF63" s="846" t="s">
        <v>95</v>
      </c>
      <c r="AG63" s="599" t="s">
        <v>154</v>
      </c>
      <c r="AH63" s="599" t="s">
        <v>90</v>
      </c>
      <c r="AI63" s="850" t="s">
        <v>136</v>
      </c>
      <c r="AJ63" s="852" t="s">
        <v>74</v>
      </c>
      <c r="AK63" s="852" t="s">
        <v>75</v>
      </c>
      <c r="AL63" s="852" t="s">
        <v>76</v>
      </c>
      <c r="AM63" s="852" t="s">
        <v>77</v>
      </c>
      <c r="AN63" s="852" t="s">
        <v>78</v>
      </c>
      <c r="AO63" s="852" t="s">
        <v>79</v>
      </c>
      <c r="AP63" s="852" t="s">
        <v>80</v>
      </c>
      <c r="AQ63" s="852" t="s">
        <v>81</v>
      </c>
      <c r="AR63" s="852" t="s">
        <v>82</v>
      </c>
      <c r="AS63" s="852" t="s">
        <v>83</v>
      </c>
      <c r="AT63" s="852" t="s">
        <v>84</v>
      </c>
      <c r="AU63" s="852" t="s">
        <v>85</v>
      </c>
      <c r="AV63" s="852" t="s">
        <v>95</v>
      </c>
      <c r="AW63" s="615" t="s">
        <v>154</v>
      </c>
      <c r="AX63" s="615" t="s">
        <v>90</v>
      </c>
    </row>
    <row r="64" spans="1:50" ht="21.75" thickBot="1" x14ac:dyDescent="0.4">
      <c r="A64" s="845"/>
      <c r="B64" s="845"/>
      <c r="C64" s="845"/>
      <c r="D64" s="845"/>
      <c r="E64" s="845"/>
      <c r="F64" s="845"/>
      <c r="G64" s="845"/>
      <c r="H64" s="845"/>
      <c r="I64" s="845"/>
      <c r="J64" s="845"/>
      <c r="K64" s="845"/>
      <c r="L64" s="845"/>
      <c r="M64" s="845"/>
      <c r="N64" s="845"/>
      <c r="O64" s="537">
        <f>SUM(B64:M64)</f>
        <v>0</v>
      </c>
      <c r="P64" s="537" t="s">
        <v>91</v>
      </c>
      <c r="S64" s="847"/>
      <c r="T64" s="847"/>
      <c r="U64" s="847"/>
      <c r="V64" s="847"/>
      <c r="W64" s="847"/>
      <c r="X64" s="847"/>
      <c r="Y64" s="847"/>
      <c r="Z64" s="847"/>
      <c r="AA64" s="847"/>
      <c r="AB64" s="847"/>
      <c r="AC64" s="847"/>
      <c r="AD64" s="847"/>
      <c r="AE64" s="847"/>
      <c r="AF64" s="847"/>
      <c r="AG64" s="600">
        <f>SUM(T64:AE64)</f>
        <v>0</v>
      </c>
      <c r="AH64" s="600" t="s">
        <v>91</v>
      </c>
      <c r="AI64" s="851"/>
      <c r="AJ64" s="853"/>
      <c r="AK64" s="853"/>
      <c r="AL64" s="853"/>
      <c r="AM64" s="853"/>
      <c r="AN64" s="853"/>
      <c r="AO64" s="853"/>
      <c r="AP64" s="853"/>
      <c r="AQ64" s="853"/>
      <c r="AR64" s="853"/>
      <c r="AS64" s="853"/>
      <c r="AT64" s="853"/>
      <c r="AU64" s="853"/>
      <c r="AV64" s="853"/>
      <c r="AW64" s="616">
        <f>SUM(AJ64:AU64)</f>
        <v>0</v>
      </c>
      <c r="AX64" s="616" t="s">
        <v>91</v>
      </c>
    </row>
    <row r="65" spans="1:50" ht="22.5" thickTop="1" thickBot="1" x14ac:dyDescent="0.4">
      <c r="A65" s="543" t="s">
        <v>92</v>
      </c>
      <c r="B65" s="632">
        <f>+VLOOKUP($A$1,data!$A$165:$AU$195,35)</f>
        <v>1.09001733</v>
      </c>
      <c r="C65" s="632">
        <f>+VLOOKUP($A$1,data!$A$165:$AU$195,36)</f>
        <v>1.1159008400000001</v>
      </c>
      <c r="D65" s="632">
        <f>+VLOOKUP($A$1,data!$A$165:$AU$195,37)</f>
        <v>1.03175668</v>
      </c>
      <c r="E65" s="632">
        <f>+VLOOKUP($A$1,data!$A$165:$AU$195,38)</f>
        <v>1.10431649</v>
      </c>
      <c r="F65" s="632">
        <f>+VLOOKUP($A$1,data!$A$165:$AU$195,39)</f>
        <v>1.0547825300000002</v>
      </c>
      <c r="G65" s="632">
        <f>+VLOOKUP($A$1,data!$A$165:$AU$195,40)</f>
        <v>1.1315320800000002</v>
      </c>
      <c r="H65" s="632">
        <f>+VLOOKUP($A$1,data!$A$165:$AU$195,41)</f>
        <v>1.30956122</v>
      </c>
      <c r="I65" s="632">
        <f>+VLOOKUP($A$1,data!$A$165:$AU$195,42)</f>
        <v>1.4310829600000001</v>
      </c>
      <c r="J65" s="632">
        <f>+VLOOKUP($A$1,data!$A$165:$AU$195,43)</f>
        <v>1.2309922200000003</v>
      </c>
      <c r="K65" s="632">
        <f>+VLOOKUP($A$1,data!$A$165:$AU$195,44)</f>
        <v>1.2169715300000004</v>
      </c>
      <c r="L65" s="632">
        <f>+VLOOKUP($A$1,data!$A$165:$AU$195,45)</f>
        <v>1.1762607199999999</v>
      </c>
      <c r="M65" s="632">
        <f>+VLOOKUP($A$1,data!$A$165:$AU$195,46)</f>
        <v>1.1775671300000001</v>
      </c>
      <c r="N65" s="632">
        <f>SUM(B65:M65)</f>
        <v>14.070741730000002</v>
      </c>
      <c r="O65" s="632">
        <f t="shared" ref="O65:O66" si="7">SUM(B65:M65)</f>
        <v>14.070741730000002</v>
      </c>
      <c r="P65" s="635">
        <f>+O67-O65</f>
        <v>-2.9776166400000026</v>
      </c>
      <c r="S65" s="605" t="s">
        <v>92</v>
      </c>
      <c r="T65" s="640">
        <f>+VLOOKUP($A$1,data!$A$197:$AU$227,35)</f>
        <v>0.65067082000000009</v>
      </c>
      <c r="U65" s="640">
        <f>+VLOOKUP($A$1,data!$A$197:$AU$227,36)</f>
        <v>0.61993333999999989</v>
      </c>
      <c r="V65" s="640">
        <f>+VLOOKUP($A$1,data!$A$197:$AU$227,37)</f>
        <v>0.63677732000000009</v>
      </c>
      <c r="W65" s="640">
        <f>+VLOOKUP($A$1,data!$A$197:$AU$227,38)</f>
        <v>0.62281954000000006</v>
      </c>
      <c r="X65" s="640">
        <f>+VLOOKUP($A$1,data!$A$197:$AU$227,39)</f>
        <v>0.68376183999999995</v>
      </c>
      <c r="Y65" s="640">
        <f>+VLOOKUP($A$1,data!$A$197:$AU$227,40)</f>
        <v>0.67525084999999996</v>
      </c>
      <c r="Z65" s="640">
        <f>+VLOOKUP($A$1,data!$A$197:$AU$227,41)</f>
        <v>0.62371447000000002</v>
      </c>
      <c r="AA65" s="640">
        <f>+VLOOKUP($A$1,data!$A$197:$AU$227,42)</f>
        <v>0.68008282000000009</v>
      </c>
      <c r="AB65" s="640">
        <f>+VLOOKUP($A$1,data!$A$197:$AU$227,43)</f>
        <v>0.67170036</v>
      </c>
      <c r="AC65" s="640">
        <f>+VLOOKUP($A$1,data!$A$197:$AU$227,44)</f>
        <v>0.67550431000000011</v>
      </c>
      <c r="AD65" s="640">
        <f>+VLOOKUP($A$1,data!$A$197:$AU$227,45)</f>
        <v>0.64588997999999997</v>
      </c>
      <c r="AE65" s="640">
        <f>+VLOOKUP($A$1,data!$A$197:$AU$227,46)</f>
        <v>0.69488899000000004</v>
      </c>
      <c r="AF65" s="640">
        <f>SUM(T65:AE65)</f>
        <v>7.8809946399999999</v>
      </c>
      <c r="AG65" s="640">
        <f t="shared" ref="AG65:AG66" si="8">SUM(T65:AE65)</f>
        <v>7.8809946399999999</v>
      </c>
      <c r="AH65" s="641">
        <f>+AG67-AG65</f>
        <v>-1.1992479600000001</v>
      </c>
      <c r="AI65" s="621" t="s">
        <v>92</v>
      </c>
      <c r="AJ65" s="648">
        <f>+B65-T65</f>
        <v>0.43934650999999991</v>
      </c>
      <c r="AK65" s="648">
        <f t="shared" ref="AK65:AU67" si="9">+C65-U65</f>
        <v>0.49596750000000023</v>
      </c>
      <c r="AL65" s="648">
        <f t="shared" si="9"/>
        <v>0.39497935999999989</v>
      </c>
      <c r="AM65" s="648">
        <f t="shared" si="9"/>
        <v>0.48149694999999992</v>
      </c>
      <c r="AN65" s="648">
        <f t="shared" si="9"/>
        <v>0.37102069000000026</v>
      </c>
      <c r="AO65" s="648">
        <f t="shared" si="9"/>
        <v>0.4562812300000002</v>
      </c>
      <c r="AP65" s="648">
        <f t="shared" si="9"/>
        <v>0.68584674999999995</v>
      </c>
      <c r="AQ65" s="648">
        <f t="shared" si="9"/>
        <v>0.75100014000000004</v>
      </c>
      <c r="AR65" s="648">
        <f t="shared" si="9"/>
        <v>0.55929186000000031</v>
      </c>
      <c r="AS65" s="648">
        <f t="shared" si="9"/>
        <v>0.54146722000000025</v>
      </c>
      <c r="AT65" s="648">
        <f t="shared" si="9"/>
        <v>0.53037073999999995</v>
      </c>
      <c r="AU65" s="648">
        <f t="shared" si="9"/>
        <v>0.48267814000000009</v>
      </c>
      <c r="AV65" s="648">
        <f>SUM(AJ65:AU65)</f>
        <v>6.1897470900000018</v>
      </c>
      <c r="AW65" s="648">
        <f t="shared" ref="AW65:AW66" si="10">SUM(AJ65:AU65)</f>
        <v>6.1897470900000018</v>
      </c>
      <c r="AX65" s="651">
        <f>+AW67-AW65</f>
        <v>-1.7783686800000016</v>
      </c>
    </row>
    <row r="66" spans="1:50" ht="21.75" thickBot="1" x14ac:dyDescent="0.4">
      <c r="A66" s="538" t="s">
        <v>94</v>
      </c>
      <c r="B66" s="633">
        <f>+VLOOKUP($A$1,data!$A$165:$AU$195,19)</f>
        <v>1.186202</v>
      </c>
      <c r="C66" s="633">
        <f>+VLOOKUP($A$1,data!$A$165:$AU$195,20)</f>
        <v>1.239433</v>
      </c>
      <c r="D66" s="633">
        <f>+VLOOKUP($A$1,data!$A$165:$AU$195,21)</f>
        <v>1.1570400000000001</v>
      </c>
      <c r="E66" s="633">
        <f>+VLOOKUP($A$1,data!$A$165:$AU$195,22)</f>
        <v>1.2130669999999999</v>
      </c>
      <c r="F66" s="633">
        <f>+VLOOKUP($A$1,data!$A$165:$AU$195,23)</f>
        <v>1.127213</v>
      </c>
      <c r="G66" s="633">
        <f>+VLOOKUP($A$1,data!$A$165:$AU$195,24)</f>
        <v>1.1989460000000001</v>
      </c>
      <c r="H66" s="633">
        <f>+VLOOKUP($A$1,data!$A$165:$AU$195,25)</f>
        <v>1.378225</v>
      </c>
      <c r="I66" s="633">
        <f>+VLOOKUP($A$1,data!$A$165:$AU$195,26)</f>
        <v>1.404566</v>
      </c>
      <c r="J66" s="633">
        <f>+VLOOKUP($A$1,data!$A$165:$AU$195,27)</f>
        <v>1.3329599999999999</v>
      </c>
      <c r="K66" s="633">
        <f>+VLOOKUP($A$1,data!$A$165:$AU$195,12)</f>
        <v>1.22580895</v>
      </c>
      <c r="L66" s="633">
        <f>+VLOOKUP($A$1,data!$A$165:$AU$195,13)</f>
        <v>1.1701610399999998</v>
      </c>
      <c r="M66" s="633">
        <f>+VLOOKUP($A$1,data!$A$165:$AU$195,14)</f>
        <v>1.1711310399999999</v>
      </c>
      <c r="N66" s="633">
        <f>SUM(B66:M66)</f>
        <v>14.804753030000001</v>
      </c>
      <c r="O66" s="636">
        <f t="shared" si="7"/>
        <v>14.804753030000001</v>
      </c>
      <c r="P66" s="637">
        <f>+O67-O66</f>
        <v>-3.7116279400000014</v>
      </c>
      <c r="S66" s="601" t="s">
        <v>94</v>
      </c>
      <c r="T66" s="642">
        <f>+VLOOKUP($A$1,data!$A$197:$AU$227,19)</f>
        <v>0.66178199999999998</v>
      </c>
      <c r="U66" s="642">
        <f>+VLOOKUP($A$1,data!$A$197:$AU$227,20)</f>
        <v>0.65262600000000004</v>
      </c>
      <c r="V66" s="642">
        <f>+VLOOKUP($A$1,data!$A$197:$AU$227,21)</f>
        <v>0.67861899999999997</v>
      </c>
      <c r="W66" s="642">
        <f>+VLOOKUP($A$1,data!$A$197:$AU$227,22)</f>
        <v>0.662416</v>
      </c>
      <c r="X66" s="642">
        <f>+VLOOKUP($A$1,data!$A$197:$AU$227,23)</f>
        <v>0.71081000000000005</v>
      </c>
      <c r="Y66" s="642">
        <f>+VLOOKUP($A$1,data!$A$197:$AU$227,24)</f>
        <v>0.70091800000000004</v>
      </c>
      <c r="Z66" s="642">
        <f>+VLOOKUP($A$1,data!$A$197:$AU$227,25)</f>
        <v>0.65362399999999998</v>
      </c>
      <c r="AA66" s="642">
        <f>+VLOOKUP($A$1,data!$A$197:$AU$227,26)</f>
        <v>0.68107399999999996</v>
      </c>
      <c r="AB66" s="642">
        <f>+VLOOKUP($A$1,data!$A$197:$AU$227,27)</f>
        <v>0.68321699999999996</v>
      </c>
      <c r="AC66" s="642">
        <f>+VLOOKUP($A$1,data!$A$197:$AU$227,12)</f>
        <v>0.79586385999999998</v>
      </c>
      <c r="AD66" s="642">
        <f>+VLOOKUP($A$1,data!$A$197:$AU$227,13)</f>
        <v>0.77844137000000024</v>
      </c>
      <c r="AE66" s="642">
        <f>+VLOOKUP($A$1,data!$A$197:$AU$227,14)</f>
        <v>0.94497326000000004</v>
      </c>
      <c r="AF66" s="642">
        <f>SUM(T66:AE66)</f>
        <v>8.60436449</v>
      </c>
      <c r="AG66" s="643">
        <f t="shared" si="8"/>
        <v>8.60436449</v>
      </c>
      <c r="AH66" s="644">
        <f>+AG67-AG66</f>
        <v>-1.9226178100000002</v>
      </c>
      <c r="AI66" s="617" t="s">
        <v>94</v>
      </c>
      <c r="AJ66" s="649">
        <f>+B66-T66</f>
        <v>0.52442</v>
      </c>
      <c r="AK66" s="649">
        <f t="shared" si="9"/>
        <v>0.58680699999999997</v>
      </c>
      <c r="AL66" s="649">
        <f t="shared" si="9"/>
        <v>0.4784210000000001</v>
      </c>
      <c r="AM66" s="649">
        <f t="shared" si="9"/>
        <v>0.55065099999999989</v>
      </c>
      <c r="AN66" s="649">
        <f t="shared" si="9"/>
        <v>0.41640299999999997</v>
      </c>
      <c r="AO66" s="649">
        <f t="shared" si="9"/>
        <v>0.49802800000000003</v>
      </c>
      <c r="AP66" s="649">
        <f t="shared" si="9"/>
        <v>0.72460100000000005</v>
      </c>
      <c r="AQ66" s="649">
        <f t="shared" si="9"/>
        <v>0.72349200000000002</v>
      </c>
      <c r="AR66" s="649">
        <f t="shared" si="9"/>
        <v>0.64974299999999996</v>
      </c>
      <c r="AS66" s="649">
        <f>+K66-AC66</f>
        <v>0.42994509000000003</v>
      </c>
      <c r="AT66" s="649">
        <f>+L66-AD66</f>
        <v>0.39171966999999952</v>
      </c>
      <c r="AU66" s="649">
        <f>+M66-AE66</f>
        <v>0.22615777999999986</v>
      </c>
      <c r="AV66" s="649">
        <f>SUM(AJ66:AU66)</f>
        <v>6.2003885400000005</v>
      </c>
      <c r="AW66" s="652">
        <f t="shared" si="10"/>
        <v>6.2003885400000005</v>
      </c>
      <c r="AX66" s="653">
        <f>+AW67-AW66</f>
        <v>-1.7890101300000003</v>
      </c>
    </row>
    <row r="67" spans="1:50" ht="21.75" thickBot="1" x14ac:dyDescent="0.4">
      <c r="A67" s="546" t="s">
        <v>93</v>
      </c>
      <c r="B67" s="634">
        <f>+VLOOKUP($A$1,data!$A$165:$AU$195,3)</f>
        <v>1.1602624699999999</v>
      </c>
      <c r="C67" s="634">
        <f>+VLOOKUP($A$1,data!$A$165:$AU$195,4)</f>
        <v>1.2017104400000003</v>
      </c>
      <c r="D67" s="634">
        <f>+VLOOKUP($A$1,data!$A$165:$AU$195,5)</f>
        <v>1.20768056</v>
      </c>
      <c r="E67" s="634">
        <f>+VLOOKUP($A$1,data!$A$165:$AU$195,6)</f>
        <v>1.2148501099999998</v>
      </c>
      <c r="F67" s="634">
        <f>+VLOOKUP($A$1,data!$A$165:$AU$195,7)</f>
        <v>1.2531841000000001</v>
      </c>
      <c r="G67" s="634">
        <f>+VLOOKUP($A$1,data!$A$165:$AU$195,8)</f>
        <v>1.144876</v>
      </c>
      <c r="H67" s="634">
        <f>+VLOOKUP($A$1,data!$A$165:$AU$195,9)</f>
        <v>1.3521062099999999</v>
      </c>
      <c r="I67" s="634">
        <f>+VLOOKUP($A$1,data!$A$165:$AU$195,10)</f>
        <v>1.31186253</v>
      </c>
      <c r="J67" s="634">
        <f>+VLOOKUP($A$1,data!$A$165:$AU$195,11)</f>
        <v>1.2465926700000001</v>
      </c>
      <c r="K67" s="634"/>
      <c r="L67" s="634"/>
      <c r="M67" s="634"/>
      <c r="N67" s="634">
        <f>SUM(B67:M67)</f>
        <v>11.093125089999999</v>
      </c>
      <c r="O67" s="638">
        <f>SUM(B67:J67)</f>
        <v>11.093125089999999</v>
      </c>
      <c r="P67" s="639"/>
      <c r="S67" s="608" t="s">
        <v>93</v>
      </c>
      <c r="T67" s="645">
        <f>+VLOOKUP($A$1,data!$A$197:$AU$227,3)</f>
        <v>0.66958534999999997</v>
      </c>
      <c r="U67" s="645">
        <f>+VLOOKUP($A$1,data!$A$197:$AU$227,4)</f>
        <v>0.63144865000000006</v>
      </c>
      <c r="V67" s="645">
        <f>+VLOOKUP($A$1,data!$A$197:$AU$227,5)</f>
        <v>0.83915342999999998</v>
      </c>
      <c r="W67" s="645">
        <f>+VLOOKUP($A$1,data!$A$197:$AU$227,6)</f>
        <v>0.67638152000000007</v>
      </c>
      <c r="X67" s="645">
        <f>+VLOOKUP($A$1,data!$A$197:$AU$227,7)</f>
        <v>0.70146942999999995</v>
      </c>
      <c r="Y67" s="645">
        <f>+VLOOKUP($A$1,data!$A$197:$AU$227,8)</f>
        <v>0.77650821999999997</v>
      </c>
      <c r="Z67" s="645">
        <f>+VLOOKUP($A$1,data!$A$197:$AU$227,9)</f>
        <v>0.79234877999999997</v>
      </c>
      <c r="AA67" s="645">
        <f>+VLOOKUP($A$1,data!$A$197:$AU$227,10)</f>
        <v>0.78744405999999989</v>
      </c>
      <c r="AB67" s="645">
        <f>+VLOOKUP($A$1,data!$A$197:$AU$227,11)</f>
        <v>0.80740724000000008</v>
      </c>
      <c r="AC67" s="645"/>
      <c r="AD67" s="645"/>
      <c r="AE67" s="645"/>
      <c r="AF67" s="645">
        <f>SUM(T67:AE67)</f>
        <v>6.6817466799999998</v>
      </c>
      <c r="AG67" s="646">
        <f>SUM(T67:AB67)</f>
        <v>6.6817466799999998</v>
      </c>
      <c r="AH67" s="647"/>
      <c r="AI67" s="624" t="s">
        <v>93</v>
      </c>
      <c r="AJ67" s="650">
        <f>+B67-T67</f>
        <v>0.49067711999999997</v>
      </c>
      <c r="AK67" s="650">
        <f t="shared" si="9"/>
        <v>0.57026179000000021</v>
      </c>
      <c r="AL67" s="650">
        <f t="shared" si="9"/>
        <v>0.36852713000000004</v>
      </c>
      <c r="AM67" s="650">
        <f t="shared" si="9"/>
        <v>0.53846858999999969</v>
      </c>
      <c r="AN67" s="650">
        <f t="shared" si="9"/>
        <v>0.55171467000000018</v>
      </c>
      <c r="AO67" s="650">
        <f t="shared" si="9"/>
        <v>0.36836778000000003</v>
      </c>
      <c r="AP67" s="650">
        <f t="shared" si="9"/>
        <v>0.55975742999999989</v>
      </c>
      <c r="AQ67" s="650">
        <f t="shared" si="9"/>
        <v>0.52441847000000008</v>
      </c>
      <c r="AR67" s="650">
        <f t="shared" si="9"/>
        <v>0.43918542999999999</v>
      </c>
      <c r="AS67" s="650"/>
      <c r="AT67" s="650"/>
      <c r="AU67" s="650"/>
      <c r="AV67" s="650">
        <f>SUM(AJ67:AU67)</f>
        <v>4.4113784100000002</v>
      </c>
      <c r="AW67" s="654">
        <f>SUM(AJ67:AR67)</f>
        <v>4.4113784100000002</v>
      </c>
      <c r="AX67" s="655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657" t="s">
        <v>135</v>
      </c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427"/>
      <c r="B69" s="428"/>
      <c r="C69" s="428"/>
      <c r="D69" s="428"/>
      <c r="E69" s="428"/>
      <c r="F69" s="428"/>
      <c r="G69" s="428"/>
      <c r="H69" s="428"/>
      <c r="I69" s="428"/>
      <c r="J69" s="428"/>
      <c r="K69" s="428"/>
      <c r="L69" s="428"/>
      <c r="M69" s="428"/>
      <c r="N69" s="429"/>
      <c r="O69" s="430"/>
      <c r="P69" s="426"/>
      <c r="S69" s="427"/>
      <c r="T69" s="428"/>
      <c r="U69" s="428"/>
      <c r="V69" s="428"/>
      <c r="W69" s="428"/>
      <c r="X69" s="428"/>
      <c r="Y69" s="428"/>
      <c r="Z69" s="428"/>
      <c r="AA69" s="428"/>
      <c r="AB69" s="428"/>
      <c r="AC69" s="428"/>
      <c r="AD69" s="428"/>
      <c r="AE69" s="428"/>
      <c r="AF69" s="429"/>
      <c r="AG69" s="430"/>
      <c r="AH69" s="426"/>
      <c r="AI69" s="427"/>
      <c r="AJ69" s="428"/>
      <c r="AK69" s="428"/>
      <c r="AL69" s="428"/>
      <c r="AM69" s="428"/>
      <c r="AN69" s="428"/>
      <c r="AO69" s="428"/>
      <c r="AP69" s="428"/>
      <c r="AQ69" s="428"/>
      <c r="AR69" s="428"/>
      <c r="AS69" s="428"/>
      <c r="AT69" s="428"/>
      <c r="AU69" s="428"/>
      <c r="AV69" s="429"/>
      <c r="AW69" s="430"/>
      <c r="AX69" s="426"/>
    </row>
    <row r="70" spans="1:50" x14ac:dyDescent="0.35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  <c r="AW71" s="162"/>
      <c r="AX71" s="162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x14ac:dyDescent="0.35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ht="21.75" thickBot="1" x14ac:dyDescent="0.4">
      <c r="Y83" s="158"/>
      <c r="Z83" s="158"/>
      <c r="AA83" s="158"/>
      <c r="AB83" s="158"/>
      <c r="AC83" s="158"/>
      <c r="AD83" s="158"/>
      <c r="AE83" s="158"/>
      <c r="AF83" s="158"/>
      <c r="AG83" s="158"/>
      <c r="AH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</row>
    <row r="84" spans="1:50" x14ac:dyDescent="0.35">
      <c r="A84"/>
      <c r="B84" s="848" t="s">
        <v>89</v>
      </c>
      <c r="C84" s="848" t="s">
        <v>96</v>
      </c>
      <c r="D84" s="848" t="s">
        <v>97</v>
      </c>
      <c r="E84" s="848" t="s">
        <v>98</v>
      </c>
      <c r="F84" s="848" t="s">
        <v>99</v>
      </c>
      <c r="G84" s="848" t="s">
        <v>100</v>
      </c>
      <c r="H84" s="848" t="s">
        <v>16</v>
      </c>
      <c r="I84" s="848" t="s">
        <v>101</v>
      </c>
      <c r="J84" s="848" t="s">
        <v>102</v>
      </c>
      <c r="K84" s="848" t="s">
        <v>103</v>
      </c>
      <c r="L84" s="848" t="s">
        <v>104</v>
      </c>
      <c r="M84" s="848" t="s">
        <v>105</v>
      </c>
      <c r="N84" s="848" t="s">
        <v>106</v>
      </c>
      <c r="S84"/>
      <c r="T84" s="846" t="s">
        <v>89</v>
      </c>
      <c r="U84" s="846" t="s">
        <v>96</v>
      </c>
      <c r="V84" s="846" t="s">
        <v>97</v>
      </c>
      <c r="W84" s="846" t="s">
        <v>98</v>
      </c>
      <c r="X84" s="846" t="s">
        <v>99</v>
      </c>
      <c r="Y84" s="846" t="s">
        <v>100</v>
      </c>
      <c r="Z84" s="846" t="s">
        <v>16</v>
      </c>
      <c r="AA84" s="846" t="s">
        <v>101</v>
      </c>
      <c r="AB84" s="846" t="s">
        <v>102</v>
      </c>
      <c r="AC84" s="846" t="s">
        <v>103</v>
      </c>
      <c r="AD84" s="846" t="s">
        <v>104</v>
      </c>
      <c r="AE84" s="846" t="s">
        <v>105</v>
      </c>
      <c r="AF84" s="846" t="s">
        <v>106</v>
      </c>
      <c r="AG84" s="158"/>
      <c r="AH84" s="158"/>
      <c r="AI84"/>
      <c r="AJ84" s="852" t="s">
        <v>89</v>
      </c>
      <c r="AK84" s="852" t="s">
        <v>96</v>
      </c>
      <c r="AL84" s="852" t="s">
        <v>97</v>
      </c>
      <c r="AM84" s="852" t="s">
        <v>98</v>
      </c>
      <c r="AN84" s="852" t="s">
        <v>99</v>
      </c>
      <c r="AO84" s="852" t="s">
        <v>100</v>
      </c>
      <c r="AP84" s="852" t="s">
        <v>16</v>
      </c>
      <c r="AQ84" s="852" t="s">
        <v>101</v>
      </c>
      <c r="AR84" s="852" t="s">
        <v>102</v>
      </c>
      <c r="AS84" s="852" t="s">
        <v>103</v>
      </c>
      <c r="AT84" s="852" t="s">
        <v>104</v>
      </c>
      <c r="AU84" s="852" t="s">
        <v>105</v>
      </c>
      <c r="AV84" s="852" t="s">
        <v>106</v>
      </c>
      <c r="AW84" s="158"/>
      <c r="AX84" s="158"/>
    </row>
    <row r="85" spans="1:50" ht="21.75" thickBot="1" x14ac:dyDescent="0.4">
      <c r="A85"/>
      <c r="B85" s="849"/>
      <c r="C85" s="849"/>
      <c r="D85" s="849"/>
      <c r="E85" s="849"/>
      <c r="F85" s="849"/>
      <c r="G85" s="849"/>
      <c r="H85" s="849"/>
      <c r="I85" s="849"/>
      <c r="J85" s="849"/>
      <c r="K85" s="849"/>
      <c r="L85" s="849"/>
      <c r="M85" s="849"/>
      <c r="N85" s="849"/>
      <c r="S85"/>
      <c r="T85" s="847"/>
      <c r="U85" s="847"/>
      <c r="V85" s="847"/>
      <c r="W85" s="847"/>
      <c r="X85" s="847"/>
      <c r="Y85" s="847"/>
      <c r="Z85" s="847"/>
      <c r="AA85" s="847"/>
      <c r="AB85" s="847"/>
      <c r="AC85" s="847"/>
      <c r="AD85" s="847"/>
      <c r="AE85" s="847"/>
      <c r="AF85" s="847"/>
      <c r="AG85" s="158"/>
      <c r="AH85" s="158"/>
      <c r="AI85"/>
      <c r="AJ85" s="853"/>
      <c r="AK85" s="853"/>
      <c r="AL85" s="853"/>
      <c r="AM85" s="853"/>
      <c r="AN85" s="853"/>
      <c r="AO85" s="853"/>
      <c r="AP85" s="853"/>
      <c r="AQ85" s="853"/>
      <c r="AR85" s="853"/>
      <c r="AS85" s="853"/>
      <c r="AT85" s="853"/>
      <c r="AU85" s="853"/>
      <c r="AV85" s="853"/>
      <c r="AW85" s="158"/>
      <c r="AX85" s="158"/>
    </row>
    <row r="86" spans="1:50" ht="22.5" thickTop="1" thickBot="1" x14ac:dyDescent="0.4">
      <c r="A86"/>
      <c r="B86" s="405" t="s">
        <v>92</v>
      </c>
      <c r="C86" s="628">
        <f>+B65</f>
        <v>1.09001733</v>
      </c>
      <c r="D86" s="628">
        <f t="shared" ref="D86:N88" si="11">+C86+C65</f>
        <v>2.2059181700000003</v>
      </c>
      <c r="E86" s="628">
        <f t="shared" si="11"/>
        <v>3.2376748500000003</v>
      </c>
      <c r="F86" s="628">
        <f t="shared" si="11"/>
        <v>4.3419913399999999</v>
      </c>
      <c r="G86" s="628">
        <f t="shared" si="11"/>
        <v>5.3967738700000005</v>
      </c>
      <c r="H86" s="628">
        <f t="shared" si="11"/>
        <v>6.5283059500000009</v>
      </c>
      <c r="I86" s="628">
        <f t="shared" si="11"/>
        <v>7.8378671700000009</v>
      </c>
      <c r="J86" s="628">
        <f t="shared" si="11"/>
        <v>9.2689501300000003</v>
      </c>
      <c r="K86" s="628">
        <f t="shared" si="11"/>
        <v>10.499942350000001</v>
      </c>
      <c r="L86" s="628">
        <f t="shared" si="11"/>
        <v>11.716913880000002</v>
      </c>
      <c r="M86" s="628">
        <f t="shared" si="11"/>
        <v>12.893174600000002</v>
      </c>
      <c r="N86" s="628">
        <f t="shared" si="11"/>
        <v>14.070741730000002</v>
      </c>
      <c r="S86"/>
      <c r="T86" s="605" t="s">
        <v>92</v>
      </c>
      <c r="U86" s="640">
        <f>+T65</f>
        <v>0.65067082000000009</v>
      </c>
      <c r="V86" s="640">
        <f t="shared" ref="V86:AF88" si="12">+U86+U65</f>
        <v>1.27060416</v>
      </c>
      <c r="W86" s="640">
        <f t="shared" si="12"/>
        <v>1.9073814800000002</v>
      </c>
      <c r="X86" s="640">
        <f t="shared" si="12"/>
        <v>2.5302010200000002</v>
      </c>
      <c r="Y86" s="640">
        <f t="shared" si="12"/>
        <v>3.2139628600000001</v>
      </c>
      <c r="Z86" s="640">
        <f t="shared" si="12"/>
        <v>3.8892137099999999</v>
      </c>
      <c r="AA86" s="640">
        <f t="shared" si="12"/>
        <v>4.5129281800000003</v>
      </c>
      <c r="AB86" s="640">
        <f t="shared" si="12"/>
        <v>5.1930110000000003</v>
      </c>
      <c r="AC86" s="640">
        <f t="shared" si="12"/>
        <v>5.8647113600000003</v>
      </c>
      <c r="AD86" s="640">
        <f t="shared" si="12"/>
        <v>6.5402156700000003</v>
      </c>
      <c r="AE86" s="640">
        <f t="shared" si="12"/>
        <v>7.18610565</v>
      </c>
      <c r="AF86" s="640">
        <f t="shared" si="12"/>
        <v>7.8809946399999999</v>
      </c>
      <c r="AG86" s="158"/>
      <c r="AH86" s="158"/>
      <c r="AI86"/>
      <c r="AJ86" s="621" t="s">
        <v>92</v>
      </c>
      <c r="AK86" s="648">
        <f>+AJ65</f>
        <v>0.43934650999999991</v>
      </c>
      <c r="AL86" s="648">
        <f t="shared" ref="AL86:AV88" si="13">+AK86+AK65</f>
        <v>0.93531401000000014</v>
      </c>
      <c r="AM86" s="648">
        <f t="shared" si="13"/>
        <v>1.3302933700000001</v>
      </c>
      <c r="AN86" s="648">
        <f t="shared" si="13"/>
        <v>1.8117903200000001</v>
      </c>
      <c r="AO86" s="648">
        <f t="shared" si="13"/>
        <v>2.1828110100000004</v>
      </c>
      <c r="AP86" s="648">
        <f t="shared" si="13"/>
        <v>2.6390922400000005</v>
      </c>
      <c r="AQ86" s="648">
        <f t="shared" si="13"/>
        <v>3.3249389900000006</v>
      </c>
      <c r="AR86" s="648">
        <f t="shared" si="13"/>
        <v>4.075939130000001</v>
      </c>
      <c r="AS86" s="648">
        <f t="shared" si="13"/>
        <v>4.6352309900000011</v>
      </c>
      <c r="AT86" s="648">
        <f t="shared" si="13"/>
        <v>5.1766982100000014</v>
      </c>
      <c r="AU86" s="648">
        <f t="shared" si="13"/>
        <v>5.7070689500000018</v>
      </c>
      <c r="AV86" s="648">
        <f t="shared" si="13"/>
        <v>6.1897470900000018</v>
      </c>
      <c r="AW86" s="158"/>
      <c r="AX86" s="158"/>
    </row>
    <row r="87" spans="1:50" ht="21.75" thickBot="1" x14ac:dyDescent="0.4">
      <c r="A87"/>
      <c r="B87" s="538" t="s">
        <v>94</v>
      </c>
      <c r="C87" s="633">
        <f>+B66</f>
        <v>1.186202</v>
      </c>
      <c r="D87" s="633">
        <f t="shared" si="11"/>
        <v>2.4256349999999998</v>
      </c>
      <c r="E87" s="633">
        <f t="shared" si="11"/>
        <v>3.5826750000000001</v>
      </c>
      <c r="F87" s="633">
        <f t="shared" si="11"/>
        <v>4.7957419999999997</v>
      </c>
      <c r="G87" s="633">
        <f t="shared" si="11"/>
        <v>5.922955</v>
      </c>
      <c r="H87" s="633">
        <f t="shared" si="11"/>
        <v>7.1219010000000003</v>
      </c>
      <c r="I87" s="633">
        <f t="shared" si="11"/>
        <v>8.5001259999999998</v>
      </c>
      <c r="J87" s="633">
        <f t="shared" si="11"/>
        <v>9.9046920000000007</v>
      </c>
      <c r="K87" s="633">
        <f t="shared" si="11"/>
        <v>11.237652000000001</v>
      </c>
      <c r="L87" s="633">
        <f t="shared" si="11"/>
        <v>12.46346095</v>
      </c>
      <c r="M87" s="633">
        <f t="shared" si="11"/>
        <v>13.63362199</v>
      </c>
      <c r="N87" s="633">
        <f t="shared" si="11"/>
        <v>14.804753030000001</v>
      </c>
      <c r="S87"/>
      <c r="T87" s="601" t="s">
        <v>94</v>
      </c>
      <c r="U87" s="642">
        <f>+T66</f>
        <v>0.66178199999999998</v>
      </c>
      <c r="V87" s="642">
        <f t="shared" si="12"/>
        <v>1.314408</v>
      </c>
      <c r="W87" s="642">
        <f t="shared" si="12"/>
        <v>1.9930270000000001</v>
      </c>
      <c r="X87" s="642">
        <f t="shared" si="12"/>
        <v>2.655443</v>
      </c>
      <c r="Y87" s="642">
        <f t="shared" si="12"/>
        <v>3.3662529999999999</v>
      </c>
      <c r="Z87" s="642">
        <f t="shared" si="12"/>
        <v>4.0671710000000001</v>
      </c>
      <c r="AA87" s="642">
        <f t="shared" si="12"/>
        <v>4.7207949999999999</v>
      </c>
      <c r="AB87" s="642">
        <f t="shared" si="12"/>
        <v>5.4018689999999996</v>
      </c>
      <c r="AC87" s="642">
        <f t="shared" si="12"/>
        <v>6.0850859999999996</v>
      </c>
      <c r="AD87" s="642">
        <f t="shared" si="12"/>
        <v>6.8809498599999994</v>
      </c>
      <c r="AE87" s="642">
        <f t="shared" si="12"/>
        <v>7.6593912299999998</v>
      </c>
      <c r="AF87" s="642">
        <f t="shared" si="12"/>
        <v>8.60436449</v>
      </c>
      <c r="AG87" s="158"/>
      <c r="AH87" s="158"/>
      <c r="AI87"/>
      <c r="AJ87" s="617" t="s">
        <v>94</v>
      </c>
      <c r="AK87" s="649">
        <f>+AJ66</f>
        <v>0.52442</v>
      </c>
      <c r="AL87" s="649">
        <f t="shared" si="13"/>
        <v>1.111227</v>
      </c>
      <c r="AM87" s="649">
        <f t="shared" si="13"/>
        <v>1.5896479999999999</v>
      </c>
      <c r="AN87" s="649">
        <f t="shared" si="13"/>
        <v>2.1402989999999997</v>
      </c>
      <c r="AO87" s="649">
        <f t="shared" si="13"/>
        <v>2.5567019999999996</v>
      </c>
      <c r="AP87" s="649">
        <f t="shared" si="13"/>
        <v>3.0547299999999997</v>
      </c>
      <c r="AQ87" s="649">
        <f t="shared" si="13"/>
        <v>3.779331</v>
      </c>
      <c r="AR87" s="649">
        <f t="shared" si="13"/>
        <v>4.5028230000000002</v>
      </c>
      <c r="AS87" s="649">
        <f t="shared" si="13"/>
        <v>5.1525660000000002</v>
      </c>
      <c r="AT87" s="649">
        <f t="shared" si="13"/>
        <v>5.5825110900000006</v>
      </c>
      <c r="AU87" s="649">
        <f t="shared" si="13"/>
        <v>5.9742307600000002</v>
      </c>
      <c r="AV87" s="649">
        <f t="shared" si="13"/>
        <v>6.2003885400000005</v>
      </c>
      <c r="AW87" s="158"/>
      <c r="AX87" s="158"/>
    </row>
    <row r="88" spans="1:50" ht="21.75" thickBot="1" x14ac:dyDescent="0.4">
      <c r="A88"/>
      <c r="B88" s="413" t="s">
        <v>93</v>
      </c>
      <c r="C88" s="629">
        <f>+B67</f>
        <v>1.1602624699999999</v>
      </c>
      <c r="D88" s="629">
        <f t="shared" si="11"/>
        <v>2.3619729100000004</v>
      </c>
      <c r="E88" s="629">
        <f t="shared" si="11"/>
        <v>3.5696534700000004</v>
      </c>
      <c r="F88" s="629">
        <f t="shared" si="11"/>
        <v>4.78450358</v>
      </c>
      <c r="G88" s="629">
        <f t="shared" si="11"/>
        <v>6.0376876800000003</v>
      </c>
      <c r="H88" s="629">
        <f t="shared" si="11"/>
        <v>7.1825636800000003</v>
      </c>
      <c r="I88" s="629">
        <f t="shared" si="11"/>
        <v>8.53466989</v>
      </c>
      <c r="J88" s="629">
        <f t="shared" si="11"/>
        <v>9.8465324199999991</v>
      </c>
      <c r="K88" s="629">
        <f t="shared" si="11"/>
        <v>11.093125089999999</v>
      </c>
      <c r="L88" s="629">
        <f t="shared" si="11"/>
        <v>11.093125089999999</v>
      </c>
      <c r="M88" s="629">
        <f t="shared" si="11"/>
        <v>11.093125089999999</v>
      </c>
      <c r="N88" s="629">
        <f t="shared" si="11"/>
        <v>11.093125089999999</v>
      </c>
      <c r="S88"/>
      <c r="T88" s="608" t="s">
        <v>93</v>
      </c>
      <c r="U88" s="645">
        <f>+T67</f>
        <v>0.66958534999999997</v>
      </c>
      <c r="V88" s="645">
        <f t="shared" si="12"/>
        <v>1.301034</v>
      </c>
      <c r="W88" s="645">
        <f t="shared" si="12"/>
        <v>2.1401874300000001</v>
      </c>
      <c r="X88" s="645">
        <f t="shared" si="12"/>
        <v>2.8165689500000002</v>
      </c>
      <c r="Y88" s="645">
        <f t="shared" si="12"/>
        <v>3.5180383800000001</v>
      </c>
      <c r="Z88" s="645">
        <f t="shared" si="12"/>
        <v>4.2945466000000003</v>
      </c>
      <c r="AA88" s="645">
        <f t="shared" si="12"/>
        <v>5.0868953800000005</v>
      </c>
      <c r="AB88" s="645">
        <f t="shared" si="12"/>
        <v>5.87433944</v>
      </c>
      <c r="AC88" s="645">
        <f t="shared" si="12"/>
        <v>6.6817466799999998</v>
      </c>
      <c r="AD88" s="645">
        <f t="shared" si="12"/>
        <v>6.6817466799999998</v>
      </c>
      <c r="AE88" s="645">
        <f t="shared" si="12"/>
        <v>6.6817466799999998</v>
      </c>
      <c r="AF88" s="645">
        <f t="shared" si="12"/>
        <v>6.6817466799999998</v>
      </c>
      <c r="AG88" s="158"/>
      <c r="AH88" s="158"/>
      <c r="AI88"/>
      <c r="AJ88" s="624" t="s">
        <v>93</v>
      </c>
      <c r="AK88" s="650">
        <f>+AJ67</f>
        <v>0.49067711999999997</v>
      </c>
      <c r="AL88" s="650">
        <f t="shared" si="13"/>
        <v>1.0609389100000002</v>
      </c>
      <c r="AM88" s="650">
        <f t="shared" si="13"/>
        <v>1.4294660400000003</v>
      </c>
      <c r="AN88" s="650">
        <f t="shared" si="13"/>
        <v>1.96793463</v>
      </c>
      <c r="AO88" s="650">
        <f t="shared" si="13"/>
        <v>2.5196493000000002</v>
      </c>
      <c r="AP88" s="650">
        <f t="shared" si="13"/>
        <v>2.88801708</v>
      </c>
      <c r="AQ88" s="650">
        <f t="shared" si="13"/>
        <v>3.4477745099999999</v>
      </c>
      <c r="AR88" s="650">
        <f t="shared" si="13"/>
        <v>3.97219298</v>
      </c>
      <c r="AS88" s="650">
        <f t="shared" si="13"/>
        <v>4.4113784100000002</v>
      </c>
      <c r="AT88" s="650">
        <f t="shared" si="13"/>
        <v>4.4113784100000002</v>
      </c>
      <c r="AU88" s="650">
        <f t="shared" si="13"/>
        <v>4.4113784100000002</v>
      </c>
      <c r="AV88" s="650">
        <f t="shared" si="13"/>
        <v>4.4113784100000002</v>
      </c>
      <c r="AW88" s="158"/>
      <c r="AX88" s="158"/>
    </row>
    <row r="89" spans="1:50" x14ac:dyDescent="0.35">
      <c r="Y89" s="158"/>
      <c r="Z89" s="158"/>
      <c r="AA89" s="158"/>
      <c r="AB89" s="158"/>
      <c r="AC89" s="158"/>
      <c r="AD89" s="158"/>
      <c r="AE89" s="158"/>
      <c r="AF89" s="158"/>
      <c r="AG89" s="158"/>
      <c r="AH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</row>
  </sheetData>
  <mergeCells count="193">
    <mergeCell ref="AT1:AX1"/>
    <mergeCell ref="B1:L1"/>
    <mergeCell ref="AR16:AR17"/>
    <mergeCell ref="M16:M17"/>
    <mergeCell ref="N16:N17"/>
    <mergeCell ref="AN16:AN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BG16:BG17"/>
    <mergeCell ref="BH16:BH17"/>
    <mergeCell ref="BI16:BI17"/>
    <mergeCell ref="AS16:AS17"/>
    <mergeCell ref="AT16:AT17"/>
    <mergeCell ref="AU16:AU17"/>
    <mergeCell ref="AV16:AV17"/>
    <mergeCell ref="AY16:AY17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G37:G38"/>
    <mergeCell ref="AM16:AM17"/>
    <mergeCell ref="AM37:AM38"/>
    <mergeCell ref="J16:J17"/>
    <mergeCell ref="K16:K17"/>
    <mergeCell ref="AZ16:AZ17"/>
    <mergeCell ref="BA16:BA17"/>
    <mergeCell ref="BC16:BC17"/>
    <mergeCell ref="BD16:BD17"/>
    <mergeCell ref="BE16:BE17"/>
    <mergeCell ref="BF16:BF17"/>
    <mergeCell ref="BB16:BB17"/>
    <mergeCell ref="AN37:AN38"/>
    <mergeCell ref="H37:H38"/>
    <mergeCell ref="I37:I38"/>
    <mergeCell ref="J37:J38"/>
    <mergeCell ref="K37:K38"/>
    <mergeCell ref="L37:L38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8:L48"/>
    <mergeCell ref="M48:P48"/>
    <mergeCell ref="T48:AC48"/>
    <mergeCell ref="AD48:AH48"/>
    <mergeCell ref="AJ48:AS48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8:AX48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S63:S64"/>
    <mergeCell ref="T63:T64"/>
    <mergeCell ref="AU63:AU64"/>
    <mergeCell ref="AV63:AV64"/>
    <mergeCell ref="Z63:Z64"/>
    <mergeCell ref="AA63:AA64"/>
    <mergeCell ref="AB63:AB64"/>
    <mergeCell ref="B84:B85"/>
    <mergeCell ref="C84:C85"/>
    <mergeCell ref="D84:D85"/>
    <mergeCell ref="E84:E85"/>
    <mergeCell ref="F84:F85"/>
    <mergeCell ref="G84:G85"/>
    <mergeCell ref="H84:H85"/>
    <mergeCell ref="I84:I85"/>
    <mergeCell ref="AT63:AT64"/>
    <mergeCell ref="AP63:AP64"/>
    <mergeCell ref="AQ63:AQ64"/>
    <mergeCell ref="AR63:AR64"/>
    <mergeCell ref="AS63:AS64"/>
    <mergeCell ref="W63:W64"/>
    <mergeCell ref="X63:X64"/>
    <mergeCell ref="Y63:Y64"/>
    <mergeCell ref="AN63:AN64"/>
    <mergeCell ref="AO63:AO64"/>
    <mergeCell ref="AF63:AF64"/>
    <mergeCell ref="AI63:AI64"/>
    <mergeCell ref="AJ63:AJ64"/>
    <mergeCell ref="AK63:AK64"/>
    <mergeCell ref="AL63:AL64"/>
    <mergeCell ref="AM63:AM64"/>
    <mergeCell ref="J84:J85"/>
    <mergeCell ref="K84:K85"/>
    <mergeCell ref="L84:L85"/>
    <mergeCell ref="M84:M85"/>
    <mergeCell ref="N84:N85"/>
    <mergeCell ref="AB84:AB85"/>
    <mergeCell ref="Z84:Z85"/>
    <mergeCell ref="AA84:AA85"/>
    <mergeCell ref="T84:T85"/>
    <mergeCell ref="U84:U85"/>
    <mergeCell ref="V84:V85"/>
    <mergeCell ref="W84:W85"/>
    <mergeCell ref="X84:X85"/>
    <mergeCell ref="Y84:Y85"/>
    <mergeCell ref="AU84:AU85"/>
    <mergeCell ref="AV84:AV85"/>
    <mergeCell ref="AO84:AO85"/>
    <mergeCell ref="AP84:AP85"/>
    <mergeCell ref="AQ84:AQ85"/>
    <mergeCell ref="AR84:AR85"/>
    <mergeCell ref="AS84:AS85"/>
    <mergeCell ref="AT84:AT85"/>
    <mergeCell ref="AC63:AC64"/>
    <mergeCell ref="AD63:AD64"/>
    <mergeCell ref="AE63:AE64"/>
    <mergeCell ref="AC84:AC85"/>
    <mergeCell ref="AD84:AD85"/>
    <mergeCell ref="AE84:AE85"/>
    <mergeCell ref="AF84:AF85"/>
    <mergeCell ref="AL84:AL85"/>
    <mergeCell ref="AM84:AM85"/>
    <mergeCell ref="AN84:AN85"/>
    <mergeCell ref="T21:U21"/>
    <mergeCell ref="T22:U22"/>
    <mergeCell ref="T23:U23"/>
    <mergeCell ref="T1:AD1"/>
    <mergeCell ref="AE1:AH1"/>
    <mergeCell ref="T19:U20"/>
    <mergeCell ref="V19:W19"/>
    <mergeCell ref="X19:Y19"/>
    <mergeCell ref="Z19:AA19"/>
    <mergeCell ref="AB19:AC19"/>
    <mergeCell ref="AD19:AE19"/>
    <mergeCell ref="AJ84:AJ85"/>
    <mergeCell ref="AK84:AK85"/>
    <mergeCell ref="U63:U64"/>
    <mergeCell ref="V63:V64"/>
  </mergeCells>
  <conditionalFormatting sqref="P21:R22 Q18:R20">
    <cfRule type="cellIs" dxfId="45" priority="16" operator="lessThan">
      <formula>0</formula>
    </cfRule>
  </conditionalFormatting>
  <conditionalFormatting sqref="O41">
    <cfRule type="cellIs" dxfId="44" priority="15" operator="lessThan">
      <formula>0</formula>
    </cfRule>
  </conditionalFormatting>
  <conditionalFormatting sqref="AX18:AX22">
    <cfRule type="cellIs" dxfId="43" priority="14" operator="lessThan">
      <formula>0</formula>
    </cfRule>
  </conditionalFormatting>
  <conditionalFormatting sqref="BN21:BN22">
    <cfRule type="cellIs" dxfId="42" priority="13" operator="lessThan">
      <formula>0</formula>
    </cfRule>
  </conditionalFormatting>
  <conditionalFormatting sqref="BB43:BB47">
    <cfRule type="cellIs" dxfId="41" priority="12" operator="greaterThan">
      <formula>0</formula>
    </cfRule>
  </conditionalFormatting>
  <conditionalFormatting sqref="AX18:AX20">
    <cfRule type="cellIs" dxfId="40" priority="11" operator="lessThan">
      <formula>0</formula>
    </cfRule>
  </conditionalFormatting>
  <conditionalFormatting sqref="BN18:BN20">
    <cfRule type="cellIs" dxfId="39" priority="10" operator="greaterThan">
      <formula>0</formula>
    </cfRule>
  </conditionalFormatting>
  <conditionalFormatting sqref="P18:P20">
    <cfRule type="cellIs" dxfId="38" priority="9" operator="lessThan">
      <formula>0</formula>
    </cfRule>
  </conditionalFormatting>
  <conditionalFormatting sqref="P68:P69">
    <cfRule type="cellIs" dxfId="37" priority="8" operator="lessThan">
      <formula>0</formula>
    </cfRule>
  </conditionalFormatting>
  <conditionalFormatting sqref="P65:P67">
    <cfRule type="cellIs" dxfId="36" priority="7" operator="lessThan">
      <formula>0</formula>
    </cfRule>
  </conditionalFormatting>
  <conditionalFormatting sqref="AH68:AH69">
    <cfRule type="cellIs" dxfId="35" priority="6" operator="lessThan">
      <formula>0</formula>
    </cfRule>
  </conditionalFormatting>
  <conditionalFormatting sqref="AH65:AH67">
    <cfRule type="cellIs" dxfId="34" priority="5" operator="greaterThan">
      <formula>0</formula>
    </cfRule>
  </conditionalFormatting>
  <conditionalFormatting sqref="AX68:AX69">
    <cfRule type="cellIs" dxfId="33" priority="4" operator="lessThan">
      <formula>0</formula>
    </cfRule>
  </conditionalFormatting>
  <conditionalFormatting sqref="AX65:AX67">
    <cfRule type="cellIs" dxfId="32" priority="3" operator="lessThan">
      <formula>0</formula>
    </cfRule>
  </conditionalFormatting>
  <conditionalFormatting sqref="AH18:AH22">
    <cfRule type="cellIs" dxfId="31" priority="2" operator="lessThan">
      <formula>0</formula>
    </cfRule>
  </conditionalFormatting>
  <conditionalFormatting sqref="S21:T23 V21:AG23">
    <cfRule type="cellIs" dxfId="30" priority="1" operator="lessThan">
      <formula>0</formula>
    </cfRule>
  </conditionalFormatting>
  <pageMargins left="0.2" right="0.19685039370078741" top="0.74803149606299213" bottom="0.17" header="0.31496062992125984" footer="0.31496062992125984"/>
  <pageSetup paperSize="9" scale="80" pageOrder="overThenDown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1028</v>
      </c>
      <c r="B3" s="807" t="str">
        <f>+VLOOKUP($A3,data!$A$4:$AH$32,2,0)</f>
        <v>แม่สาย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13452</v>
      </c>
      <c r="C9" s="180">
        <f>+VLOOKUP($A$3,data!$A$4:$AH$32,8,0)/10^6</f>
        <v>2.0842770000000002</v>
      </c>
      <c r="D9" s="181">
        <f>+VLOOKUP($A$3,data!$A$4:$AH$32,9,0)</f>
        <v>0.43297933390495352</v>
      </c>
      <c r="E9" s="180">
        <f>+VLOOKUP($A$3,data!$A$4:$AH$32,10,0)/10^6</f>
        <v>29.179807789999998</v>
      </c>
      <c r="F9" s="182">
        <f>+E9/C9</f>
        <v>13.999966314458201</v>
      </c>
      <c r="G9" s="179">
        <f>+VLOOKUP($A$3,data!$A$4:$AH$32,23,0)</f>
        <v>14158</v>
      </c>
      <c r="H9" s="180">
        <f>+VLOOKUP($A$3,data!$A$4:$AH$32,24,0)/10^6</f>
        <v>2.155303</v>
      </c>
      <c r="I9" s="181">
        <f>+VLOOKUP($A$3,data!$A$4:$AH$32,25,0)</f>
        <v>0.42773920507261115</v>
      </c>
      <c r="J9" s="180">
        <f>+VLOOKUP($A$3,data!$A$4:$AH$32,26,0)/10^6</f>
        <v>30.185200380000001</v>
      </c>
      <c r="K9" s="182">
        <f>+J9/H9</f>
        <v>14.005084380247233</v>
      </c>
    </row>
    <row r="10" spans="1:12" ht="26.25" x14ac:dyDescent="0.4">
      <c r="A10" s="187" t="s">
        <v>4</v>
      </c>
      <c r="B10" s="189">
        <f>+B9/B20</f>
        <v>0.74365636574713911</v>
      </c>
      <c r="C10" s="190"/>
      <c r="D10" s="190"/>
      <c r="E10" s="190"/>
      <c r="F10" s="191"/>
      <c r="G10" s="189">
        <f>+G9/G20</f>
        <v>0.7536864519563482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3453</v>
      </c>
      <c r="C13" s="180">
        <f>+VLOOKUP($A$3,data!$A$4:$AH$32,12,0)/10^6</f>
        <v>1.145548</v>
      </c>
      <c r="D13" s="181">
        <f>+VLOOKUP($A$3,data!$A$4:$AH$32,13,0)</f>
        <v>0.9151443858384245</v>
      </c>
      <c r="E13" s="180">
        <f>+VLOOKUP($A$3,data!$A$4:$AH$32,14,0)/10^6</f>
        <v>24.054416910000004</v>
      </c>
      <c r="F13" s="182">
        <f>+E13/C13</f>
        <v>20.998174594168034</v>
      </c>
      <c r="G13" s="179">
        <f>+VLOOKUP($A$3,data!$A$4:$AH$32,27,0)</f>
        <v>3453</v>
      </c>
      <c r="H13" s="180">
        <f>+VLOOKUP($A$3,data!$A$4:$AH$32,28,0)/10^6</f>
        <v>1.154379</v>
      </c>
      <c r="I13" s="181">
        <f>+VLOOKUP($A$3,data!$A$4:$AH$32,29,0)</f>
        <v>0.91592302107756207</v>
      </c>
      <c r="J13" s="180">
        <f>+VLOOKUP($A$3,data!$A$4:$AH$32,30,0)/10^6</f>
        <v>24.290050820000001</v>
      </c>
      <c r="K13" s="182">
        <f>+J13/H13</f>
        <v>21.041660338588972</v>
      </c>
    </row>
    <row r="14" spans="1:12" ht="26.25" x14ac:dyDescent="0.4">
      <c r="A14" s="187" t="s">
        <v>29</v>
      </c>
      <c r="B14" s="189">
        <f>+B13/B20</f>
        <v>0.19088949085079329</v>
      </c>
      <c r="C14" s="190"/>
      <c r="D14" s="190"/>
      <c r="E14" s="190"/>
      <c r="F14" s="191"/>
      <c r="G14" s="189">
        <f>+G13/G20</f>
        <v>0.18381687516635614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1184</v>
      </c>
      <c r="C17" s="180">
        <f>+VLOOKUP($A$3,data!$A$4:$AH$32,16,0)/10^6</f>
        <v>0.56814600000000004</v>
      </c>
      <c r="D17" s="181">
        <f>+VLOOKUP($A$3,data!$A$4:$AH$32,17,0)</f>
        <v>1.3269943593875908</v>
      </c>
      <c r="E17" s="180">
        <f>+VLOOKUP($A$3,data!$A$4:$AH$32,18,0)/10^6</f>
        <v>15.393190799999999</v>
      </c>
      <c r="F17" s="182">
        <f>+E17/C17</f>
        <v>27.093723796348119</v>
      </c>
      <c r="G17" s="179">
        <f>+VLOOKUP($A$3,data!$A$4:$AH$32,31,0)</f>
        <v>1174</v>
      </c>
      <c r="H17" s="180">
        <f>+VLOOKUP($A$3,data!$A$4:$AH$32,32,0)/10^6</f>
        <v>0.564585</v>
      </c>
      <c r="I17" s="181">
        <f>+VLOOKUP($A$3,data!$A$4:$AH$32,33,0)</f>
        <v>1.3119662588448535</v>
      </c>
      <c r="J17" s="180">
        <f>+VLOOKUP($A$3,data!$A$4:$AH$32,34,0)/10^6</f>
        <v>15.28771461</v>
      </c>
      <c r="K17" s="182">
        <f>+J17/H17</f>
        <v>27.077790961502696</v>
      </c>
    </row>
    <row r="18" spans="1:11" ht="26.25" x14ac:dyDescent="0.4">
      <c r="A18" s="187" t="s">
        <v>30</v>
      </c>
      <c r="B18" s="189">
        <f>+B17/B20</f>
        <v>6.5454143402067552E-2</v>
      </c>
      <c r="C18" s="190"/>
      <c r="D18" s="190"/>
      <c r="E18" s="190"/>
      <c r="F18" s="191"/>
      <c r="G18" s="189">
        <f>+G17/G20</f>
        <v>6.2496672877295711E-2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18089</v>
      </c>
      <c r="C20" s="180">
        <f>+VLOOKUP($A$3,data!$A$4:$AH$32,4,0)/10^6</f>
        <v>3.797971</v>
      </c>
      <c r="D20" s="181">
        <f>+VLOOKUP($A$3,data!$A$4:$AH$32,5,0)</f>
        <v>0.58486875386431336</v>
      </c>
      <c r="E20" s="180">
        <f>+VLOOKUP($A$3,data!$A$4:$AH$32,6,0)/10^6</f>
        <v>68.627415499999998</v>
      </c>
      <c r="F20" s="182">
        <f>+E20/C20</f>
        <v>18.069494343163758</v>
      </c>
      <c r="G20" s="179">
        <f>+VLOOKUP($A$3,data!$A$4:$AH$32,19,0)</f>
        <v>18785</v>
      </c>
      <c r="H20" s="180">
        <f>+VLOOKUP($A$3,data!$A$4:$AH$32,20,0)/10^6</f>
        <v>3.8742670000000001</v>
      </c>
      <c r="I20" s="181">
        <f>+VLOOKUP($A$3,data!$A$4:$AH$32,21,0)</f>
        <v>0.57571351830483819</v>
      </c>
      <c r="J20" s="180">
        <f>+VLOOKUP($A$3,data!$A$4:$AH$32,22,0)/10^6</f>
        <v>69.762965809999997</v>
      </c>
      <c r="K20" s="182">
        <f>+J20/H20</f>
        <v>18.006752195963777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แม่สาย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topLeftCell="Q19" zoomScale="66" zoomScaleNormal="100" zoomScalePageLayoutView="66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7.125" style="158" bestFit="1" customWidth="1"/>
    <col min="3" max="3" width="5.875" style="158" bestFit="1" customWidth="1"/>
    <col min="4" max="4" width="6.875" style="158" bestFit="1" customWidth="1"/>
    <col min="5" max="14" width="7.1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7" bestFit="1" customWidth="1"/>
    <col min="48" max="48" width="7.125" bestFit="1" customWidth="1"/>
    <col min="49" max="49" width="8.75" bestFit="1" customWidth="1"/>
    <col min="50" max="50" width="10.625" customWidth="1"/>
    <col min="51" max="51" width="9.625" customWidth="1"/>
    <col min="52" max="64" width="7.125" bestFit="1" customWidth="1"/>
    <col min="65" max="65" width="7.875" bestFit="1" customWidth="1"/>
    <col min="66" max="66" width="7.125" bestFit="1" customWidth="1"/>
    <col min="67" max="67" width="6.75" bestFit="1" customWidth="1"/>
  </cols>
  <sheetData>
    <row r="1" spans="1:66" ht="27" thickBot="1" x14ac:dyDescent="0.25">
      <c r="A1" s="248">
        <v>1028</v>
      </c>
      <c r="B1" s="817" t="str">
        <f>+VLOOKUP($A$1,data!$A$4:$AH$32,2,0)</f>
        <v>แม่สาย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1028</v>
      </c>
      <c r="T1" s="817" t="str">
        <f>+VLOOKUP($A$1,data!$A$4:$AH$32,2,0)</f>
        <v>แม่สาย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1028</v>
      </c>
      <c r="AJ1" s="817" t="str">
        <f>+VLOOKUP($A$1,data!$A$4:$AH$32,2,0)</f>
        <v>แม่สาย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1028</v>
      </c>
      <c r="AZ1" s="817" t="str">
        <f>+VLOOKUP($A$1,data!$A$4:$AH$32,2,0)</f>
        <v>แม่สาย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97</v>
      </c>
      <c r="C18" s="406">
        <f>+VLOOKUP($A$1,data!$A$37:$AU$67,36)</f>
        <v>56</v>
      </c>
      <c r="D18" s="406">
        <f>+VLOOKUP($A$1,data!$A$37:$AU$67,37)</f>
        <v>96</v>
      </c>
      <c r="E18" s="406">
        <f>+VLOOKUP($A$1,data!$A$37:$AU$67,38)</f>
        <v>56</v>
      </c>
      <c r="F18" s="406">
        <f>+VLOOKUP($A$1,data!$A$37:$AU$67,39)</f>
        <v>50</v>
      </c>
      <c r="G18" s="406">
        <f>+VLOOKUP($A$1,data!$A$37:$AU$67,40)</f>
        <v>52</v>
      </c>
      <c r="H18" s="406">
        <f>+VLOOKUP($A$1,data!$A$37:$AU$67,41)</f>
        <v>76</v>
      </c>
      <c r="I18" s="406">
        <f>+VLOOKUP($A$1,data!$A$37:$AU$67,42)</f>
        <v>41</v>
      </c>
      <c r="J18" s="406">
        <f>+VLOOKUP($A$1,data!$A$37:$AU$67,43)</f>
        <v>0</v>
      </c>
      <c r="K18" s="406">
        <f>+VLOOKUP($A$1,data!$A$37:$AU$67,44)</f>
        <v>100</v>
      </c>
      <c r="L18" s="406">
        <f>+VLOOKUP($A$1,data!$A$37:$AU$67,45)</f>
        <v>99</v>
      </c>
      <c r="M18" s="406">
        <f>+VLOOKUP($A$1,data!$A$37:$AU$67,46)</f>
        <v>129</v>
      </c>
      <c r="N18" s="406">
        <f>SUM(B18:M18)</f>
        <v>852</v>
      </c>
      <c r="O18" s="406">
        <f>SUM(B18:M18)</f>
        <v>852</v>
      </c>
      <c r="P18" s="407">
        <f>+O20-O18</f>
        <v>-69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0.292991</v>
      </c>
      <c r="AK18" s="418">
        <f>+VLOOKUP($A$1,data!$A$69:$AU$99,36)</f>
        <v>0.296016</v>
      </c>
      <c r="AL18" s="418">
        <f>+VLOOKUP($A$1,data!$A$69:$AU$99,37)</f>
        <v>0.30110900000000002</v>
      </c>
      <c r="AM18" s="418">
        <f>+VLOOKUP($A$1,data!$A$69:$AU$99,38)</f>
        <v>0.31517499999999998</v>
      </c>
      <c r="AN18" s="418">
        <f>+VLOOKUP($A$1,data!$A$69:$AU$99,39)</f>
        <v>0.30630600000000002</v>
      </c>
      <c r="AO18" s="418">
        <f>+VLOOKUP($A$1,data!$A$69:$AU$99,40)</f>
        <v>0.29549799999999998</v>
      </c>
      <c r="AP18" s="418">
        <f>+VLOOKUP($A$1,data!$A$69:$AU$99,41)</f>
        <v>0.34038800000000002</v>
      </c>
      <c r="AQ18" s="418">
        <f>+VLOOKUP($A$1,data!$A$69:$AU$99,42)</f>
        <v>0.354466</v>
      </c>
      <c r="AR18" s="418">
        <f>+VLOOKUP($A$1,data!$A$69:$AU$99,43)</f>
        <v>0.33996700000000002</v>
      </c>
      <c r="AS18" s="418">
        <f>+VLOOKUP($A$1,data!$A$69:$AU$99,44)</f>
        <v>0.34173700000000001</v>
      </c>
      <c r="AT18" s="418">
        <f>+VLOOKUP($A$1,data!$A$69:$AU$99,45)</f>
        <v>0.29355399999999998</v>
      </c>
      <c r="AU18" s="418">
        <f>+VLOOKUP($A$1,data!$A$69:$AU$99,46)</f>
        <v>0.32163599999999998</v>
      </c>
      <c r="AV18" s="418">
        <f>SUM(AJ18:AU18)</f>
        <v>3.7988430000000002</v>
      </c>
      <c r="AW18" s="418">
        <f>SUM(AJ18:AU18)</f>
        <v>3.7988430000000002</v>
      </c>
      <c r="AX18" s="419">
        <f>+AW20-AW18</f>
        <v>7.5749000000000066E-2</v>
      </c>
      <c r="AY18" s="308" t="s">
        <v>92</v>
      </c>
      <c r="AZ18" s="309">
        <f>+VLOOKUP($A$1,data!$A$101:$AU$131,35)</f>
        <v>0.120119</v>
      </c>
      <c r="BA18" s="309">
        <f>+VLOOKUP($A$1,data!$A$101:$AU$131,36)</f>
        <v>0.126915</v>
      </c>
      <c r="BB18" s="309">
        <f>+VLOOKUP($A$1,data!$A$101:$AU$131,37)</f>
        <v>0.12917899999999999</v>
      </c>
      <c r="BC18" s="309">
        <f>+VLOOKUP($A$1,data!$A$101:$AU$131,38)</f>
        <v>0.141678</v>
      </c>
      <c r="BD18" s="309">
        <f>+VLOOKUP($A$1,data!$A$101:$AU$131,39)</f>
        <v>0.12221700000000001</v>
      </c>
      <c r="BE18" s="309">
        <f>+VLOOKUP($A$1,data!$A$101:$AU$131,40)</f>
        <v>0.12281599999999999</v>
      </c>
      <c r="BF18" s="309">
        <f>+VLOOKUP($A$1,data!$A$101:$AU$131,41)</f>
        <v>0.12759599999999999</v>
      </c>
      <c r="BG18" s="309">
        <f>+VLOOKUP($A$1,data!$A$101:$AU$131,42)</f>
        <v>0.12923799999999999</v>
      </c>
      <c r="BH18" s="309">
        <f>+VLOOKUP($A$1,data!$A$101:$AU$131,43)</f>
        <v>0.12662699999999999</v>
      </c>
      <c r="BI18" s="309">
        <f>+VLOOKUP($A$1,data!$A$101:$AU$131,44)</f>
        <v>0.14557300000000001</v>
      </c>
      <c r="BJ18" s="309">
        <f>+VLOOKUP($A$1,data!$A$101:$AU$131,45)</f>
        <v>0.137215</v>
      </c>
      <c r="BK18" s="309">
        <f>+VLOOKUP($A$1,data!$A$101:$AU$131,46)</f>
        <v>0.10668800000000001</v>
      </c>
      <c r="BL18" s="309">
        <f>SUM(AZ18:BK18)</f>
        <v>1.5358610000000001</v>
      </c>
      <c r="BM18" s="309">
        <f>SUM(AZ18:BK18)</f>
        <v>1.5358610000000001</v>
      </c>
      <c r="BN18" s="310">
        <f>+BM20-BM18</f>
        <v>3.1962910000000067E-2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80.32948666931955</v>
      </c>
      <c r="C19" s="409">
        <f>+VLOOKUP($A$1,data!$A$37:$AU$67,20)</f>
        <v>76.276163947473137</v>
      </c>
      <c r="D19" s="409">
        <f>+VLOOKUP($A$1,data!$A$37:$AU$67,21)</f>
        <v>81.803422204536417</v>
      </c>
      <c r="E19" s="409">
        <f>+VLOOKUP($A$1,data!$A$37:$AU$67,22)</f>
        <v>70.380421806605654</v>
      </c>
      <c r="F19" s="409">
        <f>+VLOOKUP($A$1,data!$A$37:$AU$67,23)</f>
        <v>56.746518105849589</v>
      </c>
      <c r="G19" s="409">
        <f>+VLOOKUP($A$1,data!$A$37:$AU$67,24)</f>
        <v>37.585356148030243</v>
      </c>
      <c r="H19" s="409">
        <f>+VLOOKUP($A$1,data!$A$37:$AU$67,25)</f>
        <v>69.274970155193003</v>
      </c>
      <c r="I19" s="409">
        <f>+VLOOKUP($A$1,data!$A$37:$AU$67,26)</f>
        <v>51.956227616394749</v>
      </c>
      <c r="J19" s="409">
        <f>+VLOOKUP($A$1,data!$A$37:$AU$67,27)</f>
        <v>74.802228412256284</v>
      </c>
      <c r="K19" s="409">
        <f>+VLOOKUP($A$1,data!$A$37:$AU$67,28)</f>
        <v>132.65419816951851</v>
      </c>
      <c r="L19" s="409">
        <f>+VLOOKUP($A$1,data!$A$37:$AU$67,29)</f>
        <v>98.385196975726231</v>
      </c>
      <c r="M19" s="409">
        <f>+VLOOKUP($A$1,data!$A$37:$AU$67,30)</f>
        <v>95.805809789096713</v>
      </c>
      <c r="N19" s="409">
        <f>SUM(B19:M19)</f>
        <v>926</v>
      </c>
      <c r="O19" s="630">
        <f t="shared" ref="O19:O20" si="0">SUM(B19:M19)</f>
        <v>926</v>
      </c>
      <c r="P19" s="412">
        <f>+O20-O19</f>
        <v>-143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0.32428200000000001</v>
      </c>
      <c r="AK19" s="423">
        <f>+VLOOKUP($A$1,data!$A$69:$AU$99,20)</f>
        <v>0.331146</v>
      </c>
      <c r="AL19" s="423">
        <f>+VLOOKUP($A$1,data!$A$69:$AU$99,21)</f>
        <v>0.32081999999999999</v>
      </c>
      <c r="AM19" s="423">
        <f>+VLOOKUP($A$1,data!$A$69:$AU$99,22)</f>
        <v>0.33913199999999999</v>
      </c>
      <c r="AN19" s="423">
        <f>+VLOOKUP($A$1,data!$A$69:$AU$99,23)</f>
        <v>0.32975300000000002</v>
      </c>
      <c r="AO19" s="423">
        <f>+VLOOKUP($A$1,data!$A$69:$AU$99,24)</f>
        <v>0.31273000000000001</v>
      </c>
      <c r="AP19" s="423">
        <f>+VLOOKUP($A$1,data!$A$69:$AU$99,25)</f>
        <v>0.36673800000000001</v>
      </c>
      <c r="AQ19" s="423">
        <f>+VLOOKUP($A$1,data!$A$69:$AU$99,26)</f>
        <v>0.37137999999999999</v>
      </c>
      <c r="AR19" s="423">
        <f>+VLOOKUP($A$1,data!$A$69:$AU$99,27)</f>
        <v>0.37360399999999999</v>
      </c>
      <c r="AS19" s="423">
        <f>+VLOOKUP($A$1,data!$A$69:$AU$99,28)</f>
        <v>0.36243700000000001</v>
      </c>
      <c r="AT19" s="423">
        <f>+VLOOKUP($A$1,data!$A$69:$AU$99,29)</f>
        <v>0.34177600000000002</v>
      </c>
      <c r="AU19" s="423">
        <f>+VLOOKUP($A$1,data!$A$69:$AU$99,30)</f>
        <v>0.34379300000000002</v>
      </c>
      <c r="AV19" s="423">
        <f>SUM(AJ19:AU19)</f>
        <v>4.1175909999999991</v>
      </c>
      <c r="AW19" s="424">
        <f t="shared" ref="AW19:AW20" si="1">SUM(AJ19:AU19)</f>
        <v>4.1175909999999991</v>
      </c>
      <c r="AX19" s="425">
        <f>+AW20-AW19</f>
        <v>-0.24299899999999885</v>
      </c>
      <c r="AY19" s="311" t="s">
        <v>94</v>
      </c>
      <c r="AZ19" s="312">
        <f>+VLOOKUP($A$1,data!$A$101:$AU$131,19)</f>
        <v>0.12756100000000001</v>
      </c>
      <c r="BA19" s="312">
        <f>+VLOOKUP($A$1,data!$A$101:$AU$131,20)</f>
        <v>0.130246</v>
      </c>
      <c r="BB19" s="312">
        <f>+VLOOKUP($A$1,data!$A$101:$AU$131,21)</f>
        <v>0.13204299999999999</v>
      </c>
      <c r="BC19" s="312">
        <f>+VLOOKUP($A$1,data!$A$101:$AU$131,22)</f>
        <v>0.141398</v>
      </c>
      <c r="BD19" s="312">
        <f>+VLOOKUP($A$1,data!$A$101:$AU$131,23)</f>
        <v>0.12660199999999999</v>
      </c>
      <c r="BE19" s="312">
        <f>+VLOOKUP($A$1,data!$A$101:$AU$131,24)</f>
        <v>0.12907299999999999</v>
      </c>
      <c r="BF19" s="312">
        <f>+VLOOKUP($A$1,data!$A$101:$AU$131,25)</f>
        <v>0.14305699999999999</v>
      </c>
      <c r="BG19" s="312">
        <f>+VLOOKUP($A$1,data!$A$101:$AU$131,26)</f>
        <v>0.13896600000000001</v>
      </c>
      <c r="BH19" s="312">
        <f>+VLOOKUP($A$1,data!$A$101:$AU$131,27)</f>
        <v>0.13906299999999999</v>
      </c>
      <c r="BI19" s="312">
        <f>+VLOOKUP($A$1,data!$A$101:$AU$131,28)</f>
        <v>0.145979</v>
      </c>
      <c r="BJ19" s="312">
        <f>+VLOOKUP($A$1,data!$A$101:$AU$131,29)</f>
        <v>0.14203499999999999</v>
      </c>
      <c r="BK19" s="312">
        <f>+VLOOKUP($A$1,data!$A$101:$AU$131,30)</f>
        <v>0.12518599999999999</v>
      </c>
      <c r="BL19" s="312">
        <f>SUM(AZ19:BK19)</f>
        <v>1.6212089999999999</v>
      </c>
      <c r="BM19" s="313">
        <f t="shared" ref="BM19:BM20" si="2">SUM(AZ19:BK19)</f>
        <v>1.6212089999999999</v>
      </c>
      <c r="BN19" s="314">
        <f>+BM20-BM19</f>
        <v>-5.3385089999999691E-2</v>
      </c>
    </row>
    <row r="20" spans="1:66" s="247" customFormat="1" ht="19.5" thickBot="1" x14ac:dyDescent="0.35">
      <c r="A20" s="413" t="s">
        <v>93</v>
      </c>
      <c r="B20" s="414">
        <f>+VLOOKUP($A$1,data!$A$37:$AU$67,3)</f>
        <v>66</v>
      </c>
      <c r="C20" s="414">
        <f>+VLOOKUP($A$1,data!$A$37:$AU$67,4)</f>
        <v>66</v>
      </c>
      <c r="D20" s="414">
        <f>+VLOOKUP($A$1,data!$A$37:$AU$67,5)</f>
        <v>120</v>
      </c>
      <c r="E20" s="414">
        <f>+VLOOKUP($A$1,data!$A$37:$AU$67,6)</f>
        <v>62</v>
      </c>
      <c r="F20" s="414">
        <f>+VLOOKUP($A$1,data!$A$37:$AU$67,7)</f>
        <v>56</v>
      </c>
      <c r="G20" s="414">
        <f>+VLOOKUP($A$1,data!$A$37:$AU$67,8)</f>
        <v>86</v>
      </c>
      <c r="H20" s="414">
        <f>+VLOOKUP($A$1,data!$A$37:$AU$67,9)</f>
        <v>60</v>
      </c>
      <c r="I20" s="414">
        <f>+VLOOKUP($A$1,data!$A$37:$AU$67,10)</f>
        <v>58</v>
      </c>
      <c r="J20" s="414">
        <f>+VLOOKUP($A$1,data!$A$37:$AU$67,11)</f>
        <v>55</v>
      </c>
      <c r="K20" s="414">
        <f>+VLOOKUP($A$1,data!$A$37:$AU$67,12)</f>
        <v>53</v>
      </c>
      <c r="L20" s="414">
        <f>+VLOOKUP($A$1,data!$A$37:$AU$67,13)</f>
        <v>58</v>
      </c>
      <c r="M20" s="414">
        <f>+VLOOKUP($A$1,data!$A$37:$AU$67,14)</f>
        <v>43</v>
      </c>
      <c r="N20" s="414">
        <f>SUM(B20:M20)</f>
        <v>783</v>
      </c>
      <c r="O20" s="631">
        <f t="shared" si="0"/>
        <v>783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0.311998</v>
      </c>
      <c r="AK20" s="420">
        <f>+VLOOKUP($A$1,data!$A$69:$AU$99,4)</f>
        <v>0.31854199999999999</v>
      </c>
      <c r="AL20" s="420">
        <f>+VLOOKUP($A$1,data!$A$69:$AU$99,5)</f>
        <v>0.308091</v>
      </c>
      <c r="AM20" s="420">
        <f>+VLOOKUP($A$1,data!$A$69:$AU$99,6)</f>
        <v>0.32377699999999998</v>
      </c>
      <c r="AN20" s="420">
        <f>+VLOOKUP($A$1,data!$A$69:$AU$99,7)</f>
        <v>0.31976399999999999</v>
      </c>
      <c r="AO20" s="420">
        <f>+VLOOKUP($A$1,data!$A$69:$AU$99,8)</f>
        <v>0.29870799999999997</v>
      </c>
      <c r="AP20" s="420">
        <f>+VLOOKUP($A$1,data!$A$69:$AU$99,9)</f>
        <v>0.34553200000000001</v>
      </c>
      <c r="AQ20" s="420">
        <f>+VLOOKUP($A$1,data!$A$69:$AU$99,10)</f>
        <v>0.32813700000000001</v>
      </c>
      <c r="AR20" s="420">
        <f>+VLOOKUP($A$1,data!$A$69:$AU$99,11)</f>
        <v>0.34148299999999998</v>
      </c>
      <c r="AS20" s="420">
        <f>+VLOOKUP($A$1,data!$A$69:$AU$99,12)</f>
        <v>0.322301</v>
      </c>
      <c r="AT20" s="420">
        <f>+VLOOKUP($A$1,data!$A$69:$AU$99,13)</f>
        <v>0.32835199999999998</v>
      </c>
      <c r="AU20" s="420">
        <f>+VLOOKUP($A$1,data!$A$69:$AU$99,14)</f>
        <v>0.327907</v>
      </c>
      <c r="AV20" s="420">
        <f>SUM(AJ20:AU20)</f>
        <v>3.8745920000000003</v>
      </c>
      <c r="AW20" s="421">
        <f t="shared" si="1"/>
        <v>3.8745920000000003</v>
      </c>
      <c r="AX20" s="422"/>
      <c r="AY20" s="315" t="s">
        <v>93</v>
      </c>
      <c r="AZ20" s="316">
        <f>+VLOOKUP($A$1,data!$A$101:$AU$131,3)</f>
        <v>0.14749999999999999</v>
      </c>
      <c r="BA20" s="316">
        <f>+VLOOKUP($A$1,data!$A$101:$AU$131,4)</f>
        <v>0.18625</v>
      </c>
      <c r="BB20" s="316">
        <f>+VLOOKUP($A$1,data!$A$101:$AU$131,5)</f>
        <v>0.18619030000000006</v>
      </c>
      <c r="BC20" s="316">
        <f>+VLOOKUP($A$1,data!$A$101:$AU$131,6)</f>
        <v>0.16151942999999999</v>
      </c>
      <c r="BD20" s="316">
        <f>+VLOOKUP($A$1,data!$A$101:$AU$131,7)</f>
        <v>0.12223403999999997</v>
      </c>
      <c r="BE20" s="316">
        <f>+VLOOKUP($A$1,data!$A$101:$AU$131,8)</f>
        <v>0.12236635000000004</v>
      </c>
      <c r="BF20" s="316">
        <f>+VLOOKUP($A$1,data!$A$101:$AU$131,9)</f>
        <v>0.12474709000000002</v>
      </c>
      <c r="BG20" s="316">
        <f>+VLOOKUP($A$1,data!$A$101:$AU$131,10)</f>
        <v>0.12199906000000006</v>
      </c>
      <c r="BH20" s="316">
        <f>+VLOOKUP($A$1,data!$A$101:$AU$131,11)</f>
        <v>9.315602000000002E-2</v>
      </c>
      <c r="BI20" s="316">
        <f>+VLOOKUP($A$1,data!$A$101:$AU$131,12)</f>
        <v>0.10656230999999999</v>
      </c>
      <c r="BJ20" s="316">
        <f>+VLOOKUP($A$1,data!$A$101:$AU$131,13)</f>
        <v>0.10859422999999999</v>
      </c>
      <c r="BK20" s="316">
        <f>+VLOOKUP($A$1,data!$A$101:$AU$131,14)</f>
        <v>8.6705080000000018E-2</v>
      </c>
      <c r="BL20" s="316">
        <f>SUM(AZ20:BK20)</f>
        <v>1.5678239100000002</v>
      </c>
      <c r="BM20" s="317">
        <f t="shared" si="2"/>
        <v>1.5678239100000002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231.40907282132909</v>
      </c>
      <c r="W21" s="671">
        <f>+VLOOKUP($A$1,data!$A$261:$AK$291,16)</f>
        <v>230</v>
      </c>
      <c r="X21" s="671">
        <f>+VLOOKUP($A$1,data!$A$261:$AK$291,36)</f>
        <v>390.12136888181459</v>
      </c>
      <c r="Y21" s="671">
        <f>+VLOOKUP($A$1,data!$A$261:$AK$291,17)</f>
        <v>426</v>
      </c>
      <c r="Z21" s="671">
        <f>+VLOOKUP($A$1,data!$A$261:$AK$291,37)</f>
        <v>575.15479506565862</v>
      </c>
      <c r="AA21" s="671">
        <f>+VLOOKUP($A$1,data!$A$261:$AK$291,18)</f>
        <v>589</v>
      </c>
      <c r="AB21" s="671">
        <f>+VLOOKUP($A$1,data!$A$261:$AK$291,34)</f>
        <v>882</v>
      </c>
      <c r="AC21" s="671">
        <f>+VLOOKUP($A$1,data!$A$261:$AK$291,15)</f>
        <v>740</v>
      </c>
      <c r="AD21" s="671">
        <f>+AA21-Z21</f>
        <v>13.845204934341382</v>
      </c>
      <c r="AE21" s="684">
        <f>+AC21-AB21</f>
        <v>-142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7</v>
      </c>
      <c r="W22" s="672">
        <f>+VLOOKUP($A$1,data!$A$229:$AK$259,16)</f>
        <v>22</v>
      </c>
      <c r="X22" s="672">
        <f>+VLOOKUP($A$1,data!$A$229:$AK$259,36)</f>
        <v>13</v>
      </c>
      <c r="Y22" s="672">
        <f>+VLOOKUP($A$1,data!$A$229:$AK$259,17)</f>
        <v>30</v>
      </c>
      <c r="Z22" s="672">
        <f>+VLOOKUP($A$1,data!$A$229:$AK$259,37)</f>
        <v>24</v>
      </c>
      <c r="AA22" s="672">
        <f>+VLOOKUP($A$1,data!$A$229:$AK$259,18)</f>
        <v>40</v>
      </c>
      <c r="AB22" s="672">
        <f>+VLOOKUP($A$1,data!$A$229:$AK$259,34)</f>
        <v>44</v>
      </c>
      <c r="AC22" s="765">
        <f>+VLOOKUP($A$1,data!$A$229:$AK$259,15)</f>
        <v>43</v>
      </c>
      <c r="AD22" s="671">
        <f>+AA22-Z22</f>
        <v>16</v>
      </c>
      <c r="AE22" s="685">
        <f>+AC22-AB22</f>
        <v>-1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713">
        <f>SUM(V21:V22)</f>
        <v>238.40907282132909</v>
      </c>
      <c r="W23" s="713">
        <f t="shared" ref="W23:AC23" si="3">SUM(W21:W22)</f>
        <v>252</v>
      </c>
      <c r="X23" s="713">
        <f t="shared" si="3"/>
        <v>403.12136888181459</v>
      </c>
      <c r="Y23" s="713">
        <f t="shared" si="3"/>
        <v>456</v>
      </c>
      <c r="Z23" s="713">
        <f t="shared" si="3"/>
        <v>599.15479506565862</v>
      </c>
      <c r="AA23" s="713">
        <f t="shared" si="3"/>
        <v>629</v>
      </c>
      <c r="AB23" s="713">
        <f t="shared" si="3"/>
        <v>926</v>
      </c>
      <c r="AC23" s="764">
        <f t="shared" si="3"/>
        <v>783</v>
      </c>
      <c r="AD23" s="713">
        <f>+AA23-Z23</f>
        <v>29.845204934341382</v>
      </c>
      <c r="AE23" s="686">
        <f>+AC23-AB23</f>
        <v>-143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97</v>
      </c>
      <c r="D39" s="406">
        <f t="shared" ref="D39:N41" si="4">+C39+C18</f>
        <v>153</v>
      </c>
      <c r="E39" s="406">
        <f t="shared" si="4"/>
        <v>249</v>
      </c>
      <c r="F39" s="406">
        <f t="shared" si="4"/>
        <v>305</v>
      </c>
      <c r="G39" s="406">
        <f t="shared" si="4"/>
        <v>355</v>
      </c>
      <c r="H39" s="406">
        <f t="shared" si="4"/>
        <v>407</v>
      </c>
      <c r="I39" s="406">
        <f t="shared" si="4"/>
        <v>483</v>
      </c>
      <c r="J39" s="406">
        <f t="shared" si="4"/>
        <v>524</v>
      </c>
      <c r="K39" s="406">
        <f t="shared" si="4"/>
        <v>524</v>
      </c>
      <c r="L39" s="406">
        <f t="shared" si="4"/>
        <v>624</v>
      </c>
      <c r="M39" s="406">
        <f t="shared" si="4"/>
        <v>723</v>
      </c>
      <c r="N39" s="406">
        <f t="shared" si="4"/>
        <v>852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0.292991</v>
      </c>
      <c r="AL39" s="418">
        <f t="shared" ref="AL39:AV41" si="5">+AK39+AK18</f>
        <v>0.58900700000000006</v>
      </c>
      <c r="AM39" s="418">
        <f t="shared" si="5"/>
        <v>0.89011600000000013</v>
      </c>
      <c r="AN39" s="418">
        <f t="shared" si="5"/>
        <v>1.2052910000000001</v>
      </c>
      <c r="AO39" s="418">
        <f t="shared" si="5"/>
        <v>1.5115970000000001</v>
      </c>
      <c r="AP39" s="418">
        <f t="shared" si="5"/>
        <v>1.8070950000000001</v>
      </c>
      <c r="AQ39" s="418">
        <f t="shared" si="5"/>
        <v>2.1474830000000003</v>
      </c>
      <c r="AR39" s="418">
        <f t="shared" si="5"/>
        <v>2.5019490000000002</v>
      </c>
      <c r="AS39" s="418">
        <f t="shared" si="5"/>
        <v>2.8419160000000003</v>
      </c>
      <c r="AT39" s="418">
        <f t="shared" si="5"/>
        <v>3.1836530000000005</v>
      </c>
      <c r="AU39" s="418">
        <f t="shared" si="5"/>
        <v>3.4772070000000004</v>
      </c>
      <c r="AV39" s="418">
        <f t="shared" si="5"/>
        <v>3.7988430000000002</v>
      </c>
      <c r="AW39" s="158"/>
      <c r="AX39" s="158"/>
      <c r="AY39" s="308" t="s">
        <v>92</v>
      </c>
      <c r="AZ39" s="714">
        <f>+VLOOKUP($A$1,data!$A$133:$BK$163,26)</f>
        <v>29.067049326312528</v>
      </c>
      <c r="BA39" s="714">
        <f>+VLOOKUP($A$1,data!$A$133:$BK$163,27)</f>
        <v>30.008441093227972</v>
      </c>
      <c r="BB39" s="714">
        <f>+VLOOKUP($A$1,data!$A$133:$BK$163,28)</f>
        <v>30.015660870130954</v>
      </c>
      <c r="BC39" s="714">
        <f>+VLOOKUP($A$1,data!$A$133:$BK$163,29)</f>
        <v>29.703738736142483</v>
      </c>
      <c r="BD39" s="714">
        <f>+VLOOKUP($A$1,data!$A$133:$BK$163,30)</f>
        <v>31.011725872435992</v>
      </c>
      <c r="BE39" s="714">
        <f>+VLOOKUP($A$1,data!$A$133:$BK$163,31)</f>
        <v>28.519724176555005</v>
      </c>
      <c r="BF39" s="714">
        <f>+VLOOKUP($A$1,data!$A$133:$BK$163,32)</f>
        <v>29.341876727612416</v>
      </c>
      <c r="BG39" s="714">
        <f>+VLOOKUP($A$1,data!$A$133:$BK$163,33)</f>
        <v>29.679892068027019</v>
      </c>
      <c r="BH39" s="714">
        <f>+VLOOKUP($A$1,data!$A$133:$BK$163,34)</f>
        <v>27.183713121878888</v>
      </c>
      <c r="BI39" s="714">
        <f>+VLOOKUP($A$1,data!$A$133:$BK$163,35)</f>
        <v>26.69357270620505</v>
      </c>
      <c r="BJ39" s="714">
        <f>+VLOOKUP($A$1,data!$A$133:$BK$163,36)</f>
        <v>27.126025577858233</v>
      </c>
      <c r="BK39" s="714">
        <f>+VLOOKUP($A$1,data!$A$133:$BK$163,37)</f>
        <v>28.725291015260883</v>
      </c>
      <c r="BL39" s="714">
        <f>+VLOOKUP($A$1,data!$A$133:$BK$163,38)</f>
        <v>29.859168218701544</v>
      </c>
      <c r="BM39" s="714">
        <f>+VLOOKUP($A$1,data!$A$133:$BK$163,39)</f>
        <v>31.847288982553213</v>
      </c>
      <c r="BN39" s="714">
        <f>+VLOOKUP($A$1,data!$A$133:$BK$163,40)</f>
        <v>24.886632952021944</v>
      </c>
      <c r="BO39" s="714">
        <f>+VLOOKUP($A$1,data!$A$133:$BK$163,41)</f>
        <v>28.772557637903933</v>
      </c>
    </row>
    <row r="40" spans="1:67" ht="21.75" thickBot="1" x14ac:dyDescent="0.4">
      <c r="A40"/>
      <c r="B40" s="408" t="s">
        <v>94</v>
      </c>
      <c r="C40" s="409">
        <f>+B19</f>
        <v>80.32948666931955</v>
      </c>
      <c r="D40" s="409">
        <f t="shared" si="4"/>
        <v>156.60565061679267</v>
      </c>
      <c r="E40" s="409">
        <f t="shared" si="4"/>
        <v>238.40907282132909</v>
      </c>
      <c r="F40" s="409">
        <f t="shared" si="4"/>
        <v>308.78949462793474</v>
      </c>
      <c r="G40" s="409">
        <f t="shared" si="4"/>
        <v>365.53601273378433</v>
      </c>
      <c r="H40" s="409">
        <f t="shared" si="4"/>
        <v>403.12136888181459</v>
      </c>
      <c r="I40" s="409">
        <f t="shared" si="4"/>
        <v>472.39633903700758</v>
      </c>
      <c r="J40" s="409">
        <f t="shared" si="4"/>
        <v>524.35256665340228</v>
      </c>
      <c r="K40" s="409">
        <f t="shared" si="4"/>
        <v>599.15479506565862</v>
      </c>
      <c r="L40" s="409">
        <f t="shared" si="4"/>
        <v>731.80899323517713</v>
      </c>
      <c r="M40" s="409">
        <f t="shared" si="4"/>
        <v>830.19419021090334</v>
      </c>
      <c r="N40" s="409">
        <f t="shared" si="4"/>
        <v>926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0.32428200000000001</v>
      </c>
      <c r="AL40" s="423">
        <f t="shared" si="5"/>
        <v>0.65542800000000001</v>
      </c>
      <c r="AM40" s="423">
        <f t="shared" si="5"/>
        <v>0.976248</v>
      </c>
      <c r="AN40" s="423">
        <f t="shared" si="5"/>
        <v>1.31538</v>
      </c>
      <c r="AO40" s="423">
        <f t="shared" si="5"/>
        <v>1.645133</v>
      </c>
      <c r="AP40" s="423">
        <f t="shared" si="5"/>
        <v>1.9578629999999999</v>
      </c>
      <c r="AQ40" s="423">
        <f t="shared" si="5"/>
        <v>2.3246009999999999</v>
      </c>
      <c r="AR40" s="423">
        <f t="shared" si="5"/>
        <v>2.6959809999999997</v>
      </c>
      <c r="AS40" s="423">
        <f t="shared" si="5"/>
        <v>3.0695849999999996</v>
      </c>
      <c r="AT40" s="423">
        <f t="shared" si="5"/>
        <v>3.4320219999999995</v>
      </c>
      <c r="AU40" s="423">
        <f t="shared" si="5"/>
        <v>3.7737979999999993</v>
      </c>
      <c r="AV40" s="423">
        <f t="shared" si="5"/>
        <v>4.1175909999999991</v>
      </c>
      <c r="AW40" s="158"/>
      <c r="AX40" s="158"/>
      <c r="AY40" s="311" t="s">
        <v>94</v>
      </c>
      <c r="AZ40" s="715">
        <f>+VLOOKUP($A$1,data!$A$133:$BK$163,22)</f>
        <v>28.249965149508611</v>
      </c>
      <c r="BA40" s="715">
        <f>+$AZ$40</f>
        <v>28.249965149508611</v>
      </c>
      <c r="BB40" s="715">
        <f t="shared" ref="BB40:BO40" si="6">+$AZ$40</f>
        <v>28.249965149508611</v>
      </c>
      <c r="BC40" s="715">
        <f t="shared" si="6"/>
        <v>28.249965149508611</v>
      </c>
      <c r="BD40" s="715">
        <f t="shared" si="6"/>
        <v>28.249965149508611</v>
      </c>
      <c r="BE40" s="715">
        <f t="shared" si="6"/>
        <v>28.249965149508611</v>
      </c>
      <c r="BF40" s="715">
        <f t="shared" si="6"/>
        <v>28.249965149508611</v>
      </c>
      <c r="BG40" s="715">
        <f t="shared" si="6"/>
        <v>28.249965149508611</v>
      </c>
      <c r="BH40" s="715">
        <f t="shared" si="6"/>
        <v>28.249965149508611</v>
      </c>
      <c r="BI40" s="715">
        <f t="shared" si="6"/>
        <v>28.249965149508611</v>
      </c>
      <c r="BJ40" s="715">
        <f t="shared" si="6"/>
        <v>28.249965149508611</v>
      </c>
      <c r="BK40" s="715">
        <f t="shared" si="6"/>
        <v>28.249965149508611</v>
      </c>
      <c r="BL40" s="715">
        <f t="shared" si="6"/>
        <v>28.249965149508611</v>
      </c>
      <c r="BM40" s="715">
        <f t="shared" si="6"/>
        <v>28.249965149508611</v>
      </c>
      <c r="BN40" s="715">
        <f t="shared" si="6"/>
        <v>28.249965149508611</v>
      </c>
      <c r="BO40" s="715">
        <f t="shared" si="6"/>
        <v>28.249965149508611</v>
      </c>
    </row>
    <row r="41" spans="1:67" ht="21.75" thickBot="1" x14ac:dyDescent="0.4">
      <c r="A41"/>
      <c r="B41" s="413" t="s">
        <v>93</v>
      </c>
      <c r="C41" s="414">
        <f>+B20</f>
        <v>66</v>
      </c>
      <c r="D41" s="414">
        <f t="shared" si="4"/>
        <v>132</v>
      </c>
      <c r="E41" s="414">
        <f t="shared" si="4"/>
        <v>252</v>
      </c>
      <c r="F41" s="414">
        <f t="shared" si="4"/>
        <v>314</v>
      </c>
      <c r="G41" s="414">
        <f t="shared" si="4"/>
        <v>370</v>
      </c>
      <c r="H41" s="414">
        <f t="shared" si="4"/>
        <v>456</v>
      </c>
      <c r="I41" s="414">
        <f t="shared" si="4"/>
        <v>516</v>
      </c>
      <c r="J41" s="414">
        <f t="shared" si="4"/>
        <v>574</v>
      </c>
      <c r="K41" s="414">
        <f t="shared" si="4"/>
        <v>629</v>
      </c>
      <c r="L41" s="414">
        <f t="shared" si="4"/>
        <v>682</v>
      </c>
      <c r="M41" s="414">
        <f t="shared" si="4"/>
        <v>740</v>
      </c>
      <c r="N41" s="414">
        <f t="shared" si="4"/>
        <v>783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0.311998</v>
      </c>
      <c r="AL41" s="420">
        <f t="shared" si="5"/>
        <v>0.63053999999999999</v>
      </c>
      <c r="AM41" s="420">
        <f t="shared" si="5"/>
        <v>0.93863099999999999</v>
      </c>
      <c r="AN41" s="420">
        <f t="shared" si="5"/>
        <v>1.262408</v>
      </c>
      <c r="AO41" s="420">
        <f t="shared" si="5"/>
        <v>1.5821719999999999</v>
      </c>
      <c r="AP41" s="420">
        <f t="shared" si="5"/>
        <v>1.8808799999999999</v>
      </c>
      <c r="AQ41" s="420">
        <f t="shared" si="5"/>
        <v>2.2264119999999998</v>
      </c>
      <c r="AR41" s="420">
        <f t="shared" si="5"/>
        <v>2.5545489999999997</v>
      </c>
      <c r="AS41" s="420">
        <f t="shared" si="5"/>
        <v>2.8960319999999999</v>
      </c>
      <c r="AT41" s="420">
        <f t="shared" si="5"/>
        <v>3.2183329999999999</v>
      </c>
      <c r="AU41" s="420">
        <f t="shared" si="5"/>
        <v>3.5466850000000001</v>
      </c>
      <c r="AV41" s="420">
        <f t="shared" si="5"/>
        <v>3.8745920000000003</v>
      </c>
      <c r="AW41" s="158"/>
      <c r="AX41" s="158"/>
      <c r="AY41" s="315" t="s">
        <v>93</v>
      </c>
      <c r="AZ41" s="716">
        <f>+VLOOKUP($A$1,data!$A$133:$BK$163,3)</f>
        <v>32.074700346189303</v>
      </c>
      <c r="BA41" s="716">
        <f>+VLOOKUP($A$1,data!$A$133:$BK$163,4)</f>
        <v>36.882502742672017</v>
      </c>
      <c r="BB41" s="716">
        <f>+VLOOKUP($A$1,data!$A$133:$BK$163,5)</f>
        <v>37.664398391148772</v>
      </c>
      <c r="BC41" s="716">
        <f>+VLOOKUP($A$1,data!$A$133:$BK$163,6)</f>
        <v>35.632208169717607</v>
      </c>
      <c r="BD41" s="716">
        <f>+VLOOKUP($A$1,data!$A$133:$BK$163,7)</f>
        <v>33.278861463331836</v>
      </c>
      <c r="BE41" s="716">
        <f>+VLOOKUP($A$1,data!$A$133:$BK$163,8)</f>
        <v>27.651817326952351</v>
      </c>
      <c r="BF41" s="716">
        <f>+VLOOKUP($A$1,data!$A$133:$BK$163,9)</f>
        <v>29.052643550088703</v>
      </c>
      <c r="BG41" s="716">
        <f>+VLOOKUP($A$1,data!$A$133:$BK$163,10)</f>
        <v>32.982013874397374</v>
      </c>
      <c r="BH41" s="716">
        <f>+VLOOKUP($A$1,data!$A$133:$BK$163,11)</f>
        <v>26.52217840545114</v>
      </c>
      <c r="BI41" s="716">
        <f>+VLOOKUP($A$1,data!$A$133:$BK$163,12)</f>
        <v>27.098312948211223</v>
      </c>
      <c r="BJ41" s="716">
        <f>+VLOOKUP($A$1,data!$A$133:$BK$163,13)</f>
        <v>21.432223265759745</v>
      </c>
      <c r="BK41" s="716">
        <f>+VLOOKUP($A$1,data!$A$133:$BK$163,14)</f>
        <v>30.409955782006669</v>
      </c>
      <c r="BL41" s="716">
        <f>+VLOOKUP($A$1,data!$A$133:$BK$163,15)</f>
        <v>24.846921124930226</v>
      </c>
      <c r="BM41" s="716">
        <f>+VLOOKUP($A$1,data!$A$133:$BK$163,16)</f>
        <v>24.852996214202371</v>
      </c>
      <c r="BN41" s="716">
        <f>+VLOOKUP($A$1,data!$A$133:$BK$163,17)</f>
        <v>20.909715642599188</v>
      </c>
      <c r="BO41" s="716">
        <f>+VLOOKUP($A$1,data!$A$133:$BK$163,18)</f>
        <v>28.801910543890365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712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28.772557637903933</v>
      </c>
      <c r="BA43" s="826">
        <f>+VLOOKUP($A$1,data!$A$133:$BK$163,26)</f>
        <v>29.067049326312528</v>
      </c>
      <c r="BB43" s="473">
        <f>+AZ45-AZ43</f>
        <v>2.9352905986431921E-2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28.249965149508611</v>
      </c>
      <c r="BA44" s="830"/>
      <c r="BB44" s="472">
        <f>+AZ45-AZ44</f>
        <v>0.55194539438175383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28.801910543890365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1028</v>
      </c>
      <c r="B47" s="817" t="str">
        <f>+VLOOKUP($A$1,data!$A$4:$AH$32,2,0)</f>
        <v>แม่สาย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1028</v>
      </c>
      <c r="T47" s="817" t="str">
        <f>+VLOOKUP($A$1,data!$A$4:$AH$32,2,0)</f>
        <v>แม่สาย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1028</v>
      </c>
      <c r="AJ47" s="817" t="str">
        <f>+VLOOKUP($A$1,data!$A$4:$AH$32,2,0)</f>
        <v>แม่สาย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6.1699700700000006</v>
      </c>
      <c r="C64" s="632">
        <f>+VLOOKUP($A$1,data!$A$165:$AU$195,36)</f>
        <v>5.9513336900000002</v>
      </c>
      <c r="D64" s="632">
        <f>+VLOOKUP($A$1,data!$A$165:$AU$195,37)</f>
        <v>6.1019199899999998</v>
      </c>
      <c r="E64" s="632">
        <f>+VLOOKUP($A$1,data!$A$165:$AU$195,38)</f>
        <v>6.3922443399999995</v>
      </c>
      <c r="F64" s="632">
        <f>+VLOOKUP($A$1,data!$A$165:$AU$195,39)</f>
        <v>6.1947703199999991</v>
      </c>
      <c r="G64" s="632">
        <f>+VLOOKUP($A$1,data!$A$165:$AU$195,40)</f>
        <v>5.9817239200000003</v>
      </c>
      <c r="H64" s="632">
        <f>+VLOOKUP($A$1,data!$A$165:$AU$195,41)</f>
        <v>6.8303121300000003</v>
      </c>
      <c r="I64" s="632">
        <f>+VLOOKUP($A$1,data!$A$165:$AU$195,42)</f>
        <v>7.08202979</v>
      </c>
      <c r="J64" s="632">
        <f>+VLOOKUP($A$1,data!$A$165:$AU$195,43)</f>
        <v>6.7698114799999995</v>
      </c>
      <c r="K64" s="632">
        <f>+VLOOKUP($A$1,data!$A$165:$AU$195,44)</f>
        <v>6.887954109999999</v>
      </c>
      <c r="L64" s="632">
        <f>+VLOOKUP($A$1,data!$A$165:$AU$195,45)</f>
        <v>5.9803616699999997</v>
      </c>
      <c r="M64" s="632">
        <f>+VLOOKUP($A$1,data!$A$165:$AU$195,46)</f>
        <v>6.4828872100000003</v>
      </c>
      <c r="N64" s="632">
        <f>SUM(B64:M64)</f>
        <v>76.825318719999999</v>
      </c>
      <c r="O64" s="632">
        <f>SUM(B64:M64)</f>
        <v>76.825318719999999</v>
      </c>
      <c r="P64" s="635">
        <f>+O66-O64</f>
        <v>1.3012155999999919</v>
      </c>
      <c r="S64" s="605" t="s">
        <v>92</v>
      </c>
      <c r="T64" s="640">
        <f>+VLOOKUP($A$1,data!$A$197:$AU$227,35)</f>
        <v>2.0134900300000003</v>
      </c>
      <c r="U64" s="640">
        <f>+VLOOKUP($A$1,data!$A$197:$AU$227,36)</f>
        <v>2.14954578</v>
      </c>
      <c r="V64" s="640">
        <f>+VLOOKUP($A$1,data!$A$197:$AU$227,37)</f>
        <v>1.9374448900000001</v>
      </c>
      <c r="W64" s="640">
        <f>+VLOOKUP($A$1,data!$A$197:$AU$227,38)</f>
        <v>1.9815270600000001</v>
      </c>
      <c r="X64" s="640">
        <f>+VLOOKUP($A$1,data!$A$197:$AU$227,39)</f>
        <v>2.1131166899999996</v>
      </c>
      <c r="Y64" s="640">
        <f>+VLOOKUP($A$1,data!$A$197:$AU$227,40)</f>
        <v>2.2225986299999998</v>
      </c>
      <c r="Z64" s="640">
        <f>+VLOOKUP($A$1,data!$A$197:$AU$227,41)</f>
        <v>2.0226492699999996</v>
      </c>
      <c r="AA64" s="640">
        <f>+VLOOKUP($A$1,data!$A$197:$AU$227,42)</f>
        <v>2.1846107200000002</v>
      </c>
      <c r="AB64" s="640">
        <f>+VLOOKUP($A$1,data!$A$197:$AU$227,43)</f>
        <v>2.2605089599999997</v>
      </c>
      <c r="AC64" s="640">
        <f>+VLOOKUP($A$1,data!$A$197:$AU$227,44)</f>
        <v>2.3022048300000004</v>
      </c>
      <c r="AD64" s="640">
        <f>+VLOOKUP($A$1,data!$A$197:$AU$227,45)</f>
        <v>2.1818408499999999</v>
      </c>
      <c r="AE64" s="640">
        <f>+VLOOKUP($A$1,data!$A$197:$AU$227,46)</f>
        <v>2.1909077699999999</v>
      </c>
      <c r="AF64" s="640">
        <f>SUM(T64:AE64)</f>
        <v>25.560445479999998</v>
      </c>
      <c r="AG64" s="640">
        <f>SUM(T64:AE64)</f>
        <v>25.560445479999998</v>
      </c>
      <c r="AH64" s="641">
        <f>+AG66-AG64</f>
        <v>0.43601565000000164</v>
      </c>
      <c r="AI64" s="621" t="s">
        <v>92</v>
      </c>
      <c r="AJ64" s="648">
        <f>+B64-T64</f>
        <v>4.1564800399999999</v>
      </c>
      <c r="AK64" s="648">
        <f t="shared" ref="AK64:AU66" si="7">+C64-U64</f>
        <v>3.8017879100000003</v>
      </c>
      <c r="AL64" s="648">
        <f t="shared" si="7"/>
        <v>4.1644750999999998</v>
      </c>
      <c r="AM64" s="648">
        <f t="shared" si="7"/>
        <v>4.4107172799999992</v>
      </c>
      <c r="AN64" s="648">
        <f t="shared" si="7"/>
        <v>4.0816536299999999</v>
      </c>
      <c r="AO64" s="648">
        <f t="shared" si="7"/>
        <v>3.7591252900000005</v>
      </c>
      <c r="AP64" s="648">
        <f t="shared" si="7"/>
        <v>4.8076628600000006</v>
      </c>
      <c r="AQ64" s="648">
        <f t="shared" si="7"/>
        <v>4.8974190699999998</v>
      </c>
      <c r="AR64" s="648">
        <f t="shared" si="7"/>
        <v>4.5093025200000003</v>
      </c>
      <c r="AS64" s="648">
        <f t="shared" si="7"/>
        <v>4.5857492799999982</v>
      </c>
      <c r="AT64" s="648">
        <f t="shared" si="7"/>
        <v>3.7985208199999998</v>
      </c>
      <c r="AU64" s="648">
        <f t="shared" si="7"/>
        <v>4.2919794400000004</v>
      </c>
      <c r="AV64" s="648">
        <f>SUM(AJ64:AU64)</f>
        <v>51.26487324</v>
      </c>
      <c r="AW64" s="648">
        <f>SUM(AJ64:AU64)</f>
        <v>51.26487324</v>
      </c>
      <c r="AX64" s="651">
        <f>+AW66-AW64</f>
        <v>0.86519995000000449</v>
      </c>
    </row>
    <row r="65" spans="1:50" ht="21.75" thickBot="1" x14ac:dyDescent="0.4">
      <c r="A65" s="538" t="s">
        <v>94</v>
      </c>
      <c r="B65" s="633">
        <f>+VLOOKUP($A$1,data!$A$165:$AU$195,19)</f>
        <v>6.5662219999999998</v>
      </c>
      <c r="C65" s="633">
        <f>+VLOOKUP($A$1,data!$A$165:$AU$195,20)</f>
        <v>6.647589</v>
      </c>
      <c r="D65" s="633">
        <f>+VLOOKUP($A$1,data!$A$165:$AU$195,21)</f>
        <v>6.4575100000000001</v>
      </c>
      <c r="E65" s="633">
        <f>+VLOOKUP($A$1,data!$A$165:$AU$195,22)</f>
        <v>6.8448209999999996</v>
      </c>
      <c r="F65" s="633">
        <f>+VLOOKUP($A$1,data!$A$165:$AU$195,23)</f>
        <v>6.6635260000000001</v>
      </c>
      <c r="G65" s="633">
        <f>+VLOOKUP($A$1,data!$A$165:$AU$195,24)</f>
        <v>6.1750360000000004</v>
      </c>
      <c r="H65" s="633">
        <f>+VLOOKUP($A$1,data!$A$165:$AU$195,25)</f>
        <v>7.3456849999999996</v>
      </c>
      <c r="I65" s="633">
        <f>+VLOOKUP($A$1,data!$A$165:$AU$195,26)</f>
        <v>7.3763730000000001</v>
      </c>
      <c r="J65" s="633">
        <f>+VLOOKUP($A$1,data!$A$165:$AU$195,27)</f>
        <v>7.4424919999999997</v>
      </c>
      <c r="K65" s="633">
        <f>+VLOOKUP($A$1,data!$A$165:$AU$195,28)</f>
        <v>7.2283970000000002</v>
      </c>
      <c r="L65" s="633">
        <f>+VLOOKUP($A$1,data!$A$165:$AU$195,29)</f>
        <v>6.8390649999999997</v>
      </c>
      <c r="M65" s="633">
        <f>+VLOOKUP($A$1,data!$A$165:$AU$195,30)</f>
        <v>7.8744300000000003</v>
      </c>
      <c r="N65" s="633">
        <f>SUM(B65:M65)</f>
        <v>83.461146000000014</v>
      </c>
      <c r="O65" s="636">
        <f t="shared" ref="O65:O66" si="8">SUM(B65:M65)</f>
        <v>83.461146000000014</v>
      </c>
      <c r="P65" s="637">
        <f>+O66-O65</f>
        <v>-5.3346116800000232</v>
      </c>
      <c r="S65" s="601" t="s">
        <v>94</v>
      </c>
      <c r="T65" s="642">
        <f>+VLOOKUP($A$1,data!$A$197:$AU$227,19)</f>
        <v>2.0422440000000002</v>
      </c>
      <c r="U65" s="642">
        <f>+VLOOKUP($A$1,data!$A$197:$AU$227,20)</f>
        <v>2.0673810000000001</v>
      </c>
      <c r="V65" s="642">
        <f>+VLOOKUP($A$1,data!$A$197:$AU$227,21)</f>
        <v>2.0105819999999999</v>
      </c>
      <c r="W65" s="642">
        <f>+VLOOKUP($A$1,data!$A$197:$AU$227,22)</f>
        <v>2.0816970000000001</v>
      </c>
      <c r="X65" s="642">
        <f>+VLOOKUP($A$1,data!$A$197:$AU$227,23)</f>
        <v>2.1161430000000001</v>
      </c>
      <c r="Y65" s="642">
        <f>+VLOOKUP($A$1,data!$A$197:$AU$227,24)</f>
        <v>2.1911459999999998</v>
      </c>
      <c r="Z65" s="642">
        <f>+VLOOKUP($A$1,data!$A$197:$AU$227,25)</f>
        <v>2.1117780000000002</v>
      </c>
      <c r="AA65" s="642">
        <f>+VLOOKUP($A$1,data!$A$197:$AU$227,26)</f>
        <v>2.1594150000000001</v>
      </c>
      <c r="AB65" s="642">
        <f>+VLOOKUP($A$1,data!$A$197:$AU$227,27)</f>
        <v>2.328659</v>
      </c>
      <c r="AC65" s="642">
        <f>+VLOOKUP($A$1,data!$A$197:$AU$227,28)</f>
        <v>2.234947</v>
      </c>
      <c r="AD65" s="642">
        <f>+VLOOKUP($A$1,data!$A$197:$AU$227,29)</f>
        <v>2.2733560000000002</v>
      </c>
      <c r="AE65" s="642">
        <f>+VLOOKUP($A$1,data!$A$197:$AU$227,30)</f>
        <v>2.5754969999999999</v>
      </c>
      <c r="AF65" s="642">
        <f>SUM(T65:AE65)</f>
        <v>26.192844999999998</v>
      </c>
      <c r="AG65" s="643">
        <f t="shared" ref="AG65:AG66" si="9">SUM(T65:AE65)</f>
        <v>26.192844999999998</v>
      </c>
      <c r="AH65" s="644">
        <f>+AG66-AG65</f>
        <v>-0.19638386999999824</v>
      </c>
      <c r="AI65" s="617" t="s">
        <v>94</v>
      </c>
      <c r="AJ65" s="649">
        <f>+B65-T65</f>
        <v>4.5239779999999996</v>
      </c>
      <c r="AK65" s="649">
        <f t="shared" si="7"/>
        <v>4.5802079999999998</v>
      </c>
      <c r="AL65" s="649">
        <f t="shared" si="7"/>
        <v>4.4469279999999998</v>
      </c>
      <c r="AM65" s="649">
        <f t="shared" si="7"/>
        <v>4.7631239999999995</v>
      </c>
      <c r="AN65" s="649">
        <f t="shared" si="7"/>
        <v>4.547383</v>
      </c>
      <c r="AO65" s="649">
        <f t="shared" si="7"/>
        <v>3.9838900000000006</v>
      </c>
      <c r="AP65" s="649">
        <f t="shared" si="7"/>
        <v>5.2339069999999994</v>
      </c>
      <c r="AQ65" s="649">
        <f t="shared" si="7"/>
        <v>5.216958</v>
      </c>
      <c r="AR65" s="649">
        <f t="shared" si="7"/>
        <v>5.1138329999999996</v>
      </c>
      <c r="AS65" s="649">
        <f t="shared" si="7"/>
        <v>4.9934500000000002</v>
      </c>
      <c r="AT65" s="649">
        <f t="shared" si="7"/>
        <v>4.565709</v>
      </c>
      <c r="AU65" s="649">
        <f t="shared" si="7"/>
        <v>5.2989329999999999</v>
      </c>
      <c r="AV65" s="649">
        <f>SUM(AJ65:AU65)</f>
        <v>57.268300999999994</v>
      </c>
      <c r="AW65" s="652">
        <f t="shared" ref="AW65:AW66" si="10">SUM(AJ65:AU65)</f>
        <v>57.268300999999994</v>
      </c>
      <c r="AX65" s="653">
        <f>+AW66-AW65</f>
        <v>-5.1382278099999894</v>
      </c>
    </row>
    <row r="66" spans="1:50" ht="21.75" thickBot="1" x14ac:dyDescent="0.4">
      <c r="A66" s="546" t="s">
        <v>93</v>
      </c>
      <c r="B66" s="634">
        <f>+VLOOKUP($A$1,data!$A$165:$AU$195,3)</f>
        <v>6.2666068099999999</v>
      </c>
      <c r="C66" s="634">
        <f>+VLOOKUP($A$1,data!$A$165:$AU$195,4)</f>
        <v>6.4368367800000001</v>
      </c>
      <c r="D66" s="634">
        <f>+VLOOKUP($A$1,data!$A$165:$AU$195,5)</f>
        <v>6.3015887400000006</v>
      </c>
      <c r="E66" s="634">
        <f>+VLOOKUP($A$1,data!$A$165:$AU$195,6)</f>
        <v>6.5727728600000006</v>
      </c>
      <c r="F66" s="634">
        <f>+VLOOKUP($A$1,data!$A$165:$AU$195,7)</f>
        <v>6.4775464100000004</v>
      </c>
      <c r="G66" s="634">
        <f>+VLOOKUP($A$1,data!$A$165:$AU$195,8)</f>
        <v>6.0488582699999993</v>
      </c>
      <c r="H66" s="634">
        <f>+VLOOKUP($A$1,data!$A$165:$AU$195,9)</f>
        <v>6.95033543</v>
      </c>
      <c r="I66" s="634">
        <f>+VLOOKUP($A$1,data!$A$165:$AU$195,10)</f>
        <v>6.575162559999999</v>
      </c>
      <c r="J66" s="634">
        <f>+VLOOKUP($A$1,data!$A$165:$AU$195,11)</f>
        <v>6.9156557899999997</v>
      </c>
      <c r="K66" s="634">
        <f>+VLOOKUP($A$1,data!$A$165:$AU$195,12)</f>
        <v>6.4411986199999998</v>
      </c>
      <c r="L66" s="634">
        <f>+VLOOKUP($A$1,data!$A$165:$AU$195,13)</f>
        <v>6.5578075</v>
      </c>
      <c r="M66" s="634">
        <f>+VLOOKUP($A$1,data!$A$165:$AU$195,14)</f>
        <v>6.5821645500000008</v>
      </c>
      <c r="N66" s="634">
        <f>SUM(B66:M66)</f>
        <v>78.12653431999999</v>
      </c>
      <c r="O66" s="638">
        <f t="shared" si="8"/>
        <v>78.12653431999999</v>
      </c>
      <c r="P66" s="639"/>
      <c r="S66" s="608" t="s">
        <v>93</v>
      </c>
      <c r="T66" s="645">
        <f>+VLOOKUP($A$1,data!$A$197:$AU$227,3)</f>
        <v>1.9880132199999996</v>
      </c>
      <c r="U66" s="645">
        <f>+VLOOKUP($A$1,data!$A$197:$AU$227,4)</f>
        <v>2.0729246599999995</v>
      </c>
      <c r="V66" s="645">
        <f>+VLOOKUP($A$1,data!$A$197:$AU$227,5)</f>
        <v>2.4138983599999997</v>
      </c>
      <c r="W66" s="645">
        <f>+VLOOKUP($A$1,data!$A$197:$AU$227,6)</f>
        <v>1.97839969</v>
      </c>
      <c r="X66" s="645">
        <f>+VLOOKUP($A$1,data!$A$197:$AU$227,7)</f>
        <v>2.0374431300000002</v>
      </c>
      <c r="Y66" s="645">
        <f>+VLOOKUP($A$1,data!$A$197:$AU$227,8)</f>
        <v>2.1754892800000003</v>
      </c>
      <c r="Z66" s="645">
        <f>+VLOOKUP($A$1,data!$A$197:$AU$227,9)</f>
        <v>1.9380391999999997</v>
      </c>
      <c r="AA66" s="645">
        <f>+VLOOKUP($A$1,data!$A$197:$AU$227,10)</f>
        <v>2.18899533</v>
      </c>
      <c r="AB66" s="645">
        <f>+VLOOKUP($A$1,data!$A$197:$AU$227,11)</f>
        <v>2.1463144900000004</v>
      </c>
      <c r="AC66" s="645">
        <f>+VLOOKUP($A$1,data!$A$197:$AU$227,12)</f>
        <v>2.0941153199999998</v>
      </c>
      <c r="AD66" s="645">
        <f>+VLOOKUP($A$1,data!$A$197:$AU$227,13)</f>
        <v>2.55060836</v>
      </c>
      <c r="AE66" s="645">
        <f>+VLOOKUP($A$1,data!$A$197:$AU$227,14)</f>
        <v>2.4122200899999999</v>
      </c>
      <c r="AF66" s="645">
        <f>SUM(T66:AE66)</f>
        <v>25.99646113</v>
      </c>
      <c r="AG66" s="646">
        <f t="shared" si="9"/>
        <v>25.99646113</v>
      </c>
      <c r="AH66" s="647"/>
      <c r="AI66" s="624" t="s">
        <v>93</v>
      </c>
      <c r="AJ66" s="650">
        <f>+B66-T66</f>
        <v>4.2785935899999998</v>
      </c>
      <c r="AK66" s="650">
        <f t="shared" si="7"/>
        <v>4.3639121200000002</v>
      </c>
      <c r="AL66" s="650">
        <f t="shared" si="7"/>
        <v>3.8876903800000009</v>
      </c>
      <c r="AM66" s="650">
        <f t="shared" si="7"/>
        <v>4.5943731700000008</v>
      </c>
      <c r="AN66" s="650">
        <f t="shared" si="7"/>
        <v>4.4401032800000007</v>
      </c>
      <c r="AO66" s="650">
        <f t="shared" si="7"/>
        <v>3.873368989999999</v>
      </c>
      <c r="AP66" s="650">
        <f t="shared" si="7"/>
        <v>5.0122962300000005</v>
      </c>
      <c r="AQ66" s="650">
        <f t="shared" si="7"/>
        <v>4.386167229999999</v>
      </c>
      <c r="AR66" s="650">
        <f t="shared" si="7"/>
        <v>4.7693412999999989</v>
      </c>
      <c r="AS66" s="650">
        <f>+K66-AC66</f>
        <v>4.3470832999999995</v>
      </c>
      <c r="AT66" s="650">
        <f>+L66-AD66</f>
        <v>4.00719914</v>
      </c>
      <c r="AU66" s="650">
        <f>+M66-AE66</f>
        <v>4.1699444600000009</v>
      </c>
      <c r="AV66" s="650">
        <f>SUM(AJ66:AU66)</f>
        <v>52.130073190000005</v>
      </c>
      <c r="AW66" s="654">
        <f t="shared" si="10"/>
        <v>52.130073190000005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6.1699700700000006</v>
      </c>
      <c r="D85" s="628">
        <f t="shared" ref="D85:N87" si="11">+C85+C64</f>
        <v>12.12130376</v>
      </c>
      <c r="E85" s="628">
        <f t="shared" si="11"/>
        <v>18.223223749999999</v>
      </c>
      <c r="F85" s="628">
        <f t="shared" si="11"/>
        <v>24.61546809</v>
      </c>
      <c r="G85" s="628">
        <f t="shared" si="11"/>
        <v>30.81023841</v>
      </c>
      <c r="H85" s="628">
        <f t="shared" si="11"/>
        <v>36.791962330000004</v>
      </c>
      <c r="I85" s="628">
        <f t="shared" si="11"/>
        <v>43.622274460000007</v>
      </c>
      <c r="J85" s="628">
        <f t="shared" si="11"/>
        <v>50.704304250000007</v>
      </c>
      <c r="K85" s="628">
        <f t="shared" si="11"/>
        <v>57.474115730000008</v>
      </c>
      <c r="L85" s="628">
        <f t="shared" si="11"/>
        <v>64.362069840000004</v>
      </c>
      <c r="M85" s="628">
        <f t="shared" si="11"/>
        <v>70.342431509999997</v>
      </c>
      <c r="N85" s="628">
        <f t="shared" si="11"/>
        <v>76.825318719999999</v>
      </c>
      <c r="S85"/>
      <c r="T85" s="605" t="s">
        <v>92</v>
      </c>
      <c r="U85" s="640">
        <f>+T64</f>
        <v>2.0134900300000003</v>
      </c>
      <c r="V85" s="640">
        <f t="shared" ref="V85:AF87" si="12">+U85+U64</f>
        <v>4.1630358100000002</v>
      </c>
      <c r="W85" s="640">
        <f t="shared" si="12"/>
        <v>6.1004807000000003</v>
      </c>
      <c r="X85" s="640">
        <f t="shared" si="12"/>
        <v>8.0820077599999998</v>
      </c>
      <c r="Y85" s="640">
        <f t="shared" si="12"/>
        <v>10.19512445</v>
      </c>
      <c r="Z85" s="640">
        <f t="shared" si="12"/>
        <v>12.41772308</v>
      </c>
      <c r="AA85" s="640">
        <f t="shared" si="12"/>
        <v>14.440372350000001</v>
      </c>
      <c r="AB85" s="640">
        <f t="shared" si="12"/>
        <v>16.624983069999999</v>
      </c>
      <c r="AC85" s="640">
        <f t="shared" si="12"/>
        <v>18.885492029999998</v>
      </c>
      <c r="AD85" s="640">
        <f t="shared" si="12"/>
        <v>21.187696859999999</v>
      </c>
      <c r="AE85" s="640">
        <f t="shared" si="12"/>
        <v>23.369537709999999</v>
      </c>
      <c r="AF85" s="640">
        <f t="shared" si="12"/>
        <v>25.560445479999998</v>
      </c>
      <c r="AG85" s="158"/>
      <c r="AH85" s="158"/>
      <c r="AI85"/>
      <c r="AJ85" s="621" t="s">
        <v>92</v>
      </c>
      <c r="AK85" s="648">
        <f>+AJ64</f>
        <v>4.1564800399999999</v>
      </c>
      <c r="AL85" s="648">
        <f t="shared" ref="AL85:AV87" si="13">+AK85+AK64</f>
        <v>7.9582679499999998</v>
      </c>
      <c r="AM85" s="648">
        <f t="shared" si="13"/>
        <v>12.12274305</v>
      </c>
      <c r="AN85" s="648">
        <f t="shared" si="13"/>
        <v>16.53346033</v>
      </c>
      <c r="AO85" s="648">
        <f t="shared" si="13"/>
        <v>20.615113960000002</v>
      </c>
      <c r="AP85" s="648">
        <f t="shared" si="13"/>
        <v>24.374239250000002</v>
      </c>
      <c r="AQ85" s="648">
        <f t="shared" si="13"/>
        <v>29.181902110000003</v>
      </c>
      <c r="AR85" s="648">
        <f t="shared" si="13"/>
        <v>34.079321180000001</v>
      </c>
      <c r="AS85" s="648">
        <f t="shared" si="13"/>
        <v>38.588623699999999</v>
      </c>
      <c r="AT85" s="648">
        <f t="shared" si="13"/>
        <v>43.174372980000001</v>
      </c>
      <c r="AU85" s="648">
        <f t="shared" si="13"/>
        <v>46.972893800000001</v>
      </c>
      <c r="AV85" s="648">
        <f t="shared" si="13"/>
        <v>51.26487324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6.5662219999999998</v>
      </c>
      <c r="D86" s="633">
        <f t="shared" si="11"/>
        <v>13.213811</v>
      </c>
      <c r="E86" s="633">
        <f t="shared" si="11"/>
        <v>19.671320999999999</v>
      </c>
      <c r="F86" s="633">
        <f t="shared" si="11"/>
        <v>26.516141999999999</v>
      </c>
      <c r="G86" s="633">
        <f t="shared" si="11"/>
        <v>33.179667999999999</v>
      </c>
      <c r="H86" s="633">
        <f t="shared" si="11"/>
        <v>39.354703999999998</v>
      </c>
      <c r="I86" s="633">
        <f t="shared" si="11"/>
        <v>46.700389000000001</v>
      </c>
      <c r="J86" s="633">
        <f t="shared" si="11"/>
        <v>54.076762000000002</v>
      </c>
      <c r="K86" s="633">
        <f t="shared" si="11"/>
        <v>61.519254000000004</v>
      </c>
      <c r="L86" s="633">
        <f t="shared" si="11"/>
        <v>68.747651000000005</v>
      </c>
      <c r="M86" s="633">
        <f t="shared" si="11"/>
        <v>75.58671600000001</v>
      </c>
      <c r="N86" s="633">
        <f t="shared" si="11"/>
        <v>83.461146000000014</v>
      </c>
      <c r="S86"/>
      <c r="T86" s="601" t="s">
        <v>94</v>
      </c>
      <c r="U86" s="642">
        <f>+T65</f>
        <v>2.0422440000000002</v>
      </c>
      <c r="V86" s="642">
        <f t="shared" si="12"/>
        <v>4.1096250000000003</v>
      </c>
      <c r="W86" s="642">
        <f t="shared" si="12"/>
        <v>6.1202070000000006</v>
      </c>
      <c r="X86" s="642">
        <f t="shared" si="12"/>
        <v>8.2019040000000007</v>
      </c>
      <c r="Y86" s="642">
        <f t="shared" si="12"/>
        <v>10.318047</v>
      </c>
      <c r="Z86" s="642">
        <f t="shared" si="12"/>
        <v>12.509193</v>
      </c>
      <c r="AA86" s="642">
        <f t="shared" si="12"/>
        <v>14.620971000000001</v>
      </c>
      <c r="AB86" s="642">
        <f t="shared" si="12"/>
        <v>16.780386</v>
      </c>
      <c r="AC86" s="642">
        <f t="shared" si="12"/>
        <v>19.109045000000002</v>
      </c>
      <c r="AD86" s="642">
        <f t="shared" si="12"/>
        <v>21.343992</v>
      </c>
      <c r="AE86" s="642">
        <f t="shared" si="12"/>
        <v>23.617348</v>
      </c>
      <c r="AF86" s="642">
        <f t="shared" si="12"/>
        <v>26.192844999999998</v>
      </c>
      <c r="AG86" s="158"/>
      <c r="AH86" s="158"/>
      <c r="AI86"/>
      <c r="AJ86" s="617" t="s">
        <v>94</v>
      </c>
      <c r="AK86" s="649">
        <f>+AJ65</f>
        <v>4.5239779999999996</v>
      </c>
      <c r="AL86" s="649">
        <f t="shared" si="13"/>
        <v>9.1041859999999986</v>
      </c>
      <c r="AM86" s="649">
        <f t="shared" si="13"/>
        <v>13.551113999999998</v>
      </c>
      <c r="AN86" s="649">
        <f t="shared" si="13"/>
        <v>18.314237999999996</v>
      </c>
      <c r="AO86" s="649">
        <f t="shared" si="13"/>
        <v>22.861620999999996</v>
      </c>
      <c r="AP86" s="649">
        <f t="shared" si="13"/>
        <v>26.845510999999995</v>
      </c>
      <c r="AQ86" s="649">
        <f t="shared" si="13"/>
        <v>32.079417999999997</v>
      </c>
      <c r="AR86" s="649">
        <f t="shared" si="13"/>
        <v>37.296375999999995</v>
      </c>
      <c r="AS86" s="649">
        <f t="shared" si="13"/>
        <v>42.410208999999995</v>
      </c>
      <c r="AT86" s="649">
        <f t="shared" si="13"/>
        <v>47.403658999999998</v>
      </c>
      <c r="AU86" s="649">
        <f t="shared" si="13"/>
        <v>51.969367999999996</v>
      </c>
      <c r="AV86" s="649">
        <f t="shared" si="13"/>
        <v>57.268300999999994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6.2666068099999999</v>
      </c>
      <c r="D87" s="629">
        <f t="shared" si="11"/>
        <v>12.703443589999999</v>
      </c>
      <c r="E87" s="629">
        <f t="shared" si="11"/>
        <v>19.005032329999999</v>
      </c>
      <c r="F87" s="629">
        <f t="shared" si="11"/>
        <v>25.577805189999999</v>
      </c>
      <c r="G87" s="629">
        <f t="shared" si="11"/>
        <v>32.055351600000002</v>
      </c>
      <c r="H87" s="629">
        <f t="shared" si="11"/>
        <v>38.104209869999998</v>
      </c>
      <c r="I87" s="629">
        <f t="shared" si="11"/>
        <v>45.054545300000001</v>
      </c>
      <c r="J87" s="629">
        <f t="shared" si="11"/>
        <v>51.629707859999996</v>
      </c>
      <c r="K87" s="629">
        <f t="shared" si="11"/>
        <v>58.545363649999999</v>
      </c>
      <c r="L87" s="629">
        <f t="shared" si="11"/>
        <v>64.986562269999993</v>
      </c>
      <c r="M87" s="629">
        <f t="shared" si="11"/>
        <v>71.544369769999989</v>
      </c>
      <c r="N87" s="629">
        <f t="shared" si="11"/>
        <v>78.12653431999999</v>
      </c>
      <c r="S87"/>
      <c r="T87" s="608" t="s">
        <v>93</v>
      </c>
      <c r="U87" s="645">
        <f>+T66</f>
        <v>1.9880132199999996</v>
      </c>
      <c r="V87" s="645">
        <f t="shared" si="12"/>
        <v>4.0609378799999991</v>
      </c>
      <c r="W87" s="645">
        <f t="shared" si="12"/>
        <v>6.4748362399999984</v>
      </c>
      <c r="X87" s="645">
        <f t="shared" si="12"/>
        <v>8.4532359299999982</v>
      </c>
      <c r="Y87" s="645">
        <f t="shared" si="12"/>
        <v>10.490679059999998</v>
      </c>
      <c r="Z87" s="645">
        <f t="shared" si="12"/>
        <v>12.666168339999999</v>
      </c>
      <c r="AA87" s="645">
        <f t="shared" si="12"/>
        <v>14.604207539999999</v>
      </c>
      <c r="AB87" s="645">
        <f t="shared" si="12"/>
        <v>16.793202869999998</v>
      </c>
      <c r="AC87" s="645">
        <f t="shared" si="12"/>
        <v>18.93951736</v>
      </c>
      <c r="AD87" s="645">
        <f t="shared" si="12"/>
        <v>21.03363268</v>
      </c>
      <c r="AE87" s="645">
        <f t="shared" si="12"/>
        <v>23.584241040000002</v>
      </c>
      <c r="AF87" s="645">
        <f t="shared" si="12"/>
        <v>25.99646113</v>
      </c>
      <c r="AG87" s="158"/>
      <c r="AH87" s="158"/>
      <c r="AI87"/>
      <c r="AJ87" s="624" t="s">
        <v>93</v>
      </c>
      <c r="AK87" s="650">
        <f>+AJ66</f>
        <v>4.2785935899999998</v>
      </c>
      <c r="AL87" s="650">
        <f t="shared" si="13"/>
        <v>8.64250571</v>
      </c>
      <c r="AM87" s="650">
        <f t="shared" si="13"/>
        <v>12.53019609</v>
      </c>
      <c r="AN87" s="650">
        <f t="shared" si="13"/>
        <v>17.124569260000001</v>
      </c>
      <c r="AO87" s="650">
        <f t="shared" si="13"/>
        <v>21.564672540000004</v>
      </c>
      <c r="AP87" s="650">
        <f t="shared" si="13"/>
        <v>25.438041530000003</v>
      </c>
      <c r="AQ87" s="650">
        <f t="shared" si="13"/>
        <v>30.450337760000004</v>
      </c>
      <c r="AR87" s="650">
        <f t="shared" si="13"/>
        <v>34.836504990000002</v>
      </c>
      <c r="AS87" s="650">
        <f t="shared" si="13"/>
        <v>39.605846290000002</v>
      </c>
      <c r="AT87" s="650">
        <f t="shared" si="13"/>
        <v>43.952929590000004</v>
      </c>
      <c r="AU87" s="650">
        <f t="shared" si="13"/>
        <v>47.960128730000001</v>
      </c>
      <c r="AV87" s="650">
        <f t="shared" si="13"/>
        <v>52.130073190000005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AN16:AN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BG16:BG17"/>
    <mergeCell ref="BH16:BH17"/>
    <mergeCell ref="BI16:BI17"/>
    <mergeCell ref="AS16:AS17"/>
    <mergeCell ref="AT16:AT17"/>
    <mergeCell ref="AU16:AU17"/>
    <mergeCell ref="AV16:AV17"/>
    <mergeCell ref="AY16:AY17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G37:G38"/>
    <mergeCell ref="AM16:AM17"/>
    <mergeCell ref="AM37:AM38"/>
    <mergeCell ref="J16:J17"/>
    <mergeCell ref="K16:K17"/>
    <mergeCell ref="AZ16:AZ17"/>
    <mergeCell ref="BA16:BA17"/>
    <mergeCell ref="BC16:BC17"/>
    <mergeCell ref="BD16:BD17"/>
    <mergeCell ref="BE16:BE17"/>
    <mergeCell ref="BF16:BF17"/>
    <mergeCell ref="BB16:BB17"/>
    <mergeCell ref="AN37:AN38"/>
    <mergeCell ref="H37:H38"/>
    <mergeCell ref="I37:I38"/>
    <mergeCell ref="J37:J38"/>
    <mergeCell ref="K37:K38"/>
    <mergeCell ref="L37:L38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S62:S63"/>
    <mergeCell ref="T62:T63"/>
    <mergeCell ref="AU62:AU63"/>
    <mergeCell ref="AV62:AV63"/>
    <mergeCell ref="Z62:Z63"/>
    <mergeCell ref="AA62:AA63"/>
    <mergeCell ref="AB62:AB63"/>
    <mergeCell ref="B83:B84"/>
    <mergeCell ref="C83:C84"/>
    <mergeCell ref="D83:D84"/>
    <mergeCell ref="E83:E84"/>
    <mergeCell ref="F83:F84"/>
    <mergeCell ref="G83:G84"/>
    <mergeCell ref="H83:H84"/>
    <mergeCell ref="I83:I84"/>
    <mergeCell ref="AT62:AT63"/>
    <mergeCell ref="AP62:AP63"/>
    <mergeCell ref="AQ62:AQ63"/>
    <mergeCell ref="AR62:AR63"/>
    <mergeCell ref="AS62:AS63"/>
    <mergeCell ref="W62:W63"/>
    <mergeCell ref="X62:X63"/>
    <mergeCell ref="Y62:Y63"/>
    <mergeCell ref="AN62:AN63"/>
    <mergeCell ref="AO62:AO63"/>
    <mergeCell ref="AF62:AF63"/>
    <mergeCell ref="AI62:AI63"/>
    <mergeCell ref="AJ62:AJ63"/>
    <mergeCell ref="AK62:AK63"/>
    <mergeCell ref="AL62:AL63"/>
    <mergeCell ref="AM62:AM63"/>
    <mergeCell ref="J83:J84"/>
    <mergeCell ref="K83:K84"/>
    <mergeCell ref="L83:L84"/>
    <mergeCell ref="M83:M84"/>
    <mergeCell ref="N83:N84"/>
    <mergeCell ref="AB83:AB84"/>
    <mergeCell ref="Z83:Z84"/>
    <mergeCell ref="AA83:AA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C62:AC63"/>
    <mergeCell ref="AD62:AD63"/>
    <mergeCell ref="AE62:AE63"/>
    <mergeCell ref="AC83:AC84"/>
    <mergeCell ref="AD83:AD84"/>
    <mergeCell ref="AE83:AE84"/>
    <mergeCell ref="AF83:AF84"/>
    <mergeCell ref="AL83:AL84"/>
    <mergeCell ref="AM83:AM84"/>
    <mergeCell ref="AN83:AN84"/>
    <mergeCell ref="T21:U21"/>
    <mergeCell ref="T22:U22"/>
    <mergeCell ref="T23:U23"/>
    <mergeCell ref="T1:AD1"/>
    <mergeCell ref="AE1:AH1"/>
    <mergeCell ref="T19:U20"/>
    <mergeCell ref="V19:W19"/>
    <mergeCell ref="X19:Y19"/>
    <mergeCell ref="Z19:AA19"/>
    <mergeCell ref="AB19:AC19"/>
    <mergeCell ref="AD19:AE19"/>
    <mergeCell ref="AJ83:AJ84"/>
    <mergeCell ref="AK83:AK84"/>
    <mergeCell ref="U62:U63"/>
    <mergeCell ref="V62:V63"/>
  </mergeCells>
  <conditionalFormatting sqref="P21:R22 Q18:R20 AH18:AH22">
    <cfRule type="cellIs" dxfId="29" priority="15" operator="lessThan">
      <formula>0</formula>
    </cfRule>
  </conditionalFormatting>
  <conditionalFormatting sqref="O41">
    <cfRule type="cellIs" dxfId="28" priority="14" operator="lessThan">
      <formula>0</formula>
    </cfRule>
  </conditionalFormatting>
  <conditionalFormatting sqref="AX18:AX22">
    <cfRule type="cellIs" dxfId="27" priority="13" operator="lessThan">
      <formula>0</formula>
    </cfRule>
  </conditionalFormatting>
  <conditionalFormatting sqref="BN21:BN22">
    <cfRule type="cellIs" dxfId="26" priority="12" operator="lessThan">
      <formula>0</formula>
    </cfRule>
  </conditionalFormatting>
  <conditionalFormatting sqref="BB43:BB46">
    <cfRule type="cellIs" dxfId="25" priority="11" operator="greaterThan">
      <formula>0</formula>
    </cfRule>
  </conditionalFormatting>
  <conditionalFormatting sqref="AX18:AX20">
    <cfRule type="cellIs" dxfId="24" priority="10" operator="lessThan">
      <formula>0</formula>
    </cfRule>
  </conditionalFormatting>
  <conditionalFormatting sqref="BN18:BN20">
    <cfRule type="cellIs" dxfId="23" priority="9" operator="greaterThan">
      <formula>0</formula>
    </cfRule>
  </conditionalFormatting>
  <conditionalFormatting sqref="P18:P20">
    <cfRule type="cellIs" dxfId="22" priority="8" operator="lessThan">
      <formula>0</formula>
    </cfRule>
  </conditionalFormatting>
  <conditionalFormatting sqref="P67:P68">
    <cfRule type="cellIs" dxfId="21" priority="7" operator="lessThan">
      <formula>0</formula>
    </cfRule>
  </conditionalFormatting>
  <conditionalFormatting sqref="P64:P66">
    <cfRule type="cellIs" dxfId="20" priority="6" operator="lessThan">
      <formula>0</formula>
    </cfRule>
  </conditionalFormatting>
  <conditionalFormatting sqref="AH67:AH68">
    <cfRule type="cellIs" dxfId="19" priority="5" operator="lessThan">
      <formula>0</formula>
    </cfRule>
  </conditionalFormatting>
  <conditionalFormatting sqref="AH64:AH66">
    <cfRule type="cellIs" dxfId="18" priority="4" operator="greaterThan">
      <formula>0</formula>
    </cfRule>
  </conditionalFormatting>
  <conditionalFormatting sqref="AX67:AX68">
    <cfRule type="cellIs" dxfId="17" priority="3" operator="lessThan">
      <formula>0</formula>
    </cfRule>
  </conditionalFormatting>
  <conditionalFormatting sqref="AX64:AX66">
    <cfRule type="cellIs" dxfId="16" priority="2" operator="lessThan">
      <formula>0</formula>
    </cfRule>
  </conditionalFormatting>
  <conditionalFormatting sqref="S21:T23 V21:AG23">
    <cfRule type="cellIs" dxfId="15" priority="1" operator="lessThan">
      <formula>0</formula>
    </cfRule>
  </conditionalFormatting>
  <pageMargins left="0.19" right="0.19685039370078741" top="0.74803149606299213" bottom="0.27" header="0.31496062992125984" footer="0.31496062992125984"/>
  <pageSetup paperSize="9" scale="80" pageOrder="overThenDown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1029</v>
      </c>
      <c r="B3" s="807" t="str">
        <f>+VLOOKUP($A3,data!$A$4:$AH$32,2,0)</f>
        <v>แม่ขะจาน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2487</v>
      </c>
      <c r="C9" s="180">
        <f>+VLOOKUP($A$3,data!$A$4:$AH$32,8,0)/10^6</f>
        <v>0.320247</v>
      </c>
      <c r="D9" s="181">
        <f>+VLOOKUP($A$3,data!$A$4:$AH$32,9,0)</f>
        <v>0.37201146537879604</v>
      </c>
      <c r="E9" s="180">
        <f>+VLOOKUP($A$3,data!$A$4:$AH$32,10,0)/10^6</f>
        <v>4.2097040000000003</v>
      </c>
      <c r="F9" s="182">
        <f>+E9/C9</f>
        <v>13.145178565294914</v>
      </c>
      <c r="G9" s="179">
        <f>+VLOOKUP($A$3,data!$A$4:$AH$32,23,0)</f>
        <v>2709</v>
      </c>
      <c r="H9" s="180">
        <f>+VLOOKUP($A$3,data!$A$4:$AH$32,24,0)/10^6</f>
        <v>0.34140599999999999</v>
      </c>
      <c r="I9" s="181">
        <f>+VLOOKUP($A$3,data!$A$4:$AH$32,25,0)</f>
        <v>0.36003037109683955</v>
      </c>
      <c r="J9" s="180">
        <f>+VLOOKUP($A$3,data!$A$4:$AH$32,26,0)/10^6</f>
        <v>4.4846521899999994</v>
      </c>
      <c r="K9" s="182">
        <f>+J9/H9</f>
        <v>13.13583296720034</v>
      </c>
    </row>
    <row r="10" spans="1:12" ht="26.25" x14ac:dyDescent="0.4">
      <c r="A10" s="187" t="s">
        <v>4</v>
      </c>
      <c r="B10" s="189">
        <f>+B9/B20</f>
        <v>0.75730816077953711</v>
      </c>
      <c r="C10" s="190"/>
      <c r="D10" s="190"/>
      <c r="E10" s="190"/>
      <c r="F10" s="191"/>
      <c r="G10" s="189">
        <f>+G9/G20</f>
        <v>0.77157504984334946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660</v>
      </c>
      <c r="C13" s="180">
        <f>+VLOOKUP($A$3,data!$A$4:$AH$32,12,0)/10^6</f>
        <v>0.18645</v>
      </c>
      <c r="D13" s="181">
        <f>+VLOOKUP($A$3,data!$A$4:$AH$32,13,0)</f>
        <v>0.85564810353135534</v>
      </c>
      <c r="E13" s="180">
        <f>+VLOOKUP($A$3,data!$A$4:$AH$32,14,0)/10^6</f>
        <v>3.7949441999999998</v>
      </c>
      <c r="F13" s="182">
        <f>+E13/C13</f>
        <v>20.353683024939659</v>
      </c>
      <c r="G13" s="179">
        <f>+VLOOKUP($A$3,data!$A$4:$AH$32,27,0)</f>
        <v>667</v>
      </c>
      <c r="H13" s="180">
        <f>+VLOOKUP($A$3,data!$A$4:$AH$32,28,0)/10^6</f>
        <v>0.18567500000000001</v>
      </c>
      <c r="I13" s="181">
        <f>+VLOOKUP($A$3,data!$A$4:$AH$32,29,0)</f>
        <v>0.76668972138204416</v>
      </c>
      <c r="J13" s="180">
        <f>+VLOOKUP($A$3,data!$A$4:$AH$32,30,0)/10^6</f>
        <v>3.7575025000000002</v>
      </c>
      <c r="K13" s="182">
        <f>+J13/H13</f>
        <v>20.236986670257171</v>
      </c>
    </row>
    <row r="14" spans="1:12" ht="26.25" x14ac:dyDescent="0.4">
      <c r="A14" s="187" t="s">
        <v>29</v>
      </c>
      <c r="B14" s="189">
        <f>+B13/B20</f>
        <v>0.20097442143727162</v>
      </c>
      <c r="C14" s="190"/>
      <c r="D14" s="190"/>
      <c r="E14" s="190"/>
      <c r="F14" s="191"/>
      <c r="G14" s="189">
        <f>+G13/G20</f>
        <v>0.18997436627741385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137</v>
      </c>
      <c r="C17" s="180">
        <f>+VLOOKUP($A$3,data!$A$4:$AH$32,16,0)/10^6</f>
        <v>6.1267000000000002E-2</v>
      </c>
      <c r="D17" s="181">
        <f>+VLOOKUP($A$3,data!$A$4:$AH$32,17,0)</f>
        <v>1.2433688483003551</v>
      </c>
      <c r="E17" s="180">
        <f>+VLOOKUP($A$3,data!$A$4:$AH$32,18,0)/10^6</f>
        <v>1.6779222</v>
      </c>
      <c r="F17" s="182">
        <f>+E17/C17</f>
        <v>27.387046860463219</v>
      </c>
      <c r="G17" s="179">
        <f>+VLOOKUP($A$3,data!$A$4:$AH$32,31,0)</f>
        <v>135</v>
      </c>
      <c r="H17" s="180">
        <f>+VLOOKUP($A$3,data!$A$4:$AH$32,32,0)/10^6</f>
        <v>7.1034E-2</v>
      </c>
      <c r="I17" s="181">
        <f>+VLOOKUP($A$3,data!$A$4:$AH$32,33,0)</f>
        <v>1.4309830781627717</v>
      </c>
      <c r="J17" s="180">
        <f>+VLOOKUP($A$3,data!$A$4:$AH$32,34,0)/10^6</f>
        <v>1.9390306000000002</v>
      </c>
      <c r="K17" s="182">
        <f>+J17/H17</f>
        <v>27.297218233521978</v>
      </c>
    </row>
    <row r="18" spans="1:11" ht="26.25" x14ac:dyDescent="0.4">
      <c r="A18" s="187" t="s">
        <v>30</v>
      </c>
      <c r="B18" s="189">
        <f>+B17/B20</f>
        <v>4.1717417783191227E-2</v>
      </c>
      <c r="C18" s="190"/>
      <c r="D18" s="190"/>
      <c r="E18" s="190"/>
      <c r="F18" s="191"/>
      <c r="G18" s="189">
        <f>+G17/G20</f>
        <v>3.8450583879236687E-2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3284</v>
      </c>
      <c r="C20" s="180">
        <f>+VLOOKUP($A$3,data!$A$4:$AH$32,4,0)/10^6</f>
        <v>0.56796400000000002</v>
      </c>
      <c r="D20" s="181">
        <f>+VLOOKUP($A$3,data!$A$4:$AH$32,5,0)</f>
        <v>0.50349967753588665</v>
      </c>
      <c r="E20" s="180">
        <f>+VLOOKUP($A$3,data!$A$4:$AH$32,6,0)/10^6</f>
        <v>9.6825704000000012</v>
      </c>
      <c r="F20" s="182">
        <f>+E20/C20</f>
        <v>17.04785937136861</v>
      </c>
      <c r="G20" s="179">
        <f>+VLOOKUP($A$3,data!$A$4:$AH$32,19,0)</f>
        <v>3511</v>
      </c>
      <c r="H20" s="180">
        <f>+VLOOKUP($A$3,data!$A$4:$AH$32,20,0)/10^6</f>
        <v>0.59811499999999995</v>
      </c>
      <c r="I20" s="181">
        <f>+VLOOKUP($A$3,data!$A$4:$AH$32,21,0)</f>
        <v>0.48231677200197565</v>
      </c>
      <c r="J20" s="180">
        <f>+VLOOKUP($A$3,data!$A$4:$AH$32,22,0)/10^6</f>
        <v>10.18118529</v>
      </c>
      <c r="K20" s="182">
        <f>+J20/H20</f>
        <v>17.022119976927517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แม่ขะจาน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showWhiteSpace="0" view="pageLayout" zoomScale="66" zoomScaleNormal="100" zoomScalePageLayoutView="66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7.125" style="158" bestFit="1" customWidth="1"/>
    <col min="3" max="6" width="5.875" style="158" bestFit="1" customWidth="1"/>
    <col min="7" max="11" width="6.125" style="158" bestFit="1" customWidth="1"/>
    <col min="12" max="14" width="7.125" style="158" bestFit="1" customWidth="1"/>
    <col min="15" max="15" width="8" style="158" bestFit="1" customWidth="1"/>
    <col min="16" max="16" width="6.25" style="158" customWidth="1"/>
    <col min="17" max="17" width="8" style="299" customWidth="1"/>
    <col min="18" max="18" width="7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10" customWidth="1"/>
    <col min="35" max="35" width="12.375" style="158" customWidth="1"/>
    <col min="36" max="36" width="7" style="158" bestFit="1" customWidth="1"/>
    <col min="37" max="40" width="6.75" style="158" bestFit="1" customWidth="1"/>
    <col min="41" max="46" width="6.75" bestFit="1" customWidth="1"/>
    <col min="47" max="47" width="7" bestFit="1" customWidth="1"/>
    <col min="48" max="48" width="7.125" bestFit="1" customWidth="1"/>
    <col min="49" max="49" width="8.75" bestFit="1" customWidth="1"/>
    <col min="50" max="51" width="8.75" customWidth="1"/>
    <col min="52" max="64" width="7.125" bestFit="1" customWidth="1"/>
    <col min="65" max="66" width="7.875" bestFit="1" customWidth="1"/>
    <col min="67" max="67" width="6.625" bestFit="1" customWidth="1"/>
  </cols>
  <sheetData>
    <row r="1" spans="1:66" ht="27" thickBot="1" x14ac:dyDescent="0.25">
      <c r="A1" s="248">
        <v>1029</v>
      </c>
      <c r="B1" s="817" t="str">
        <f>+VLOOKUP($A$1,data!$A$4:$AH$32,2,0)</f>
        <v>แม่ขะจาน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1029</v>
      </c>
      <c r="T1" s="817" t="str">
        <f>+VLOOKUP($A$1,data!$A$4:$AH$32,2,0)</f>
        <v>แม่ขะจาน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1029</v>
      </c>
      <c r="AJ1" s="817" t="str">
        <f>+VLOOKUP($A$1,data!$A$4:$AH$32,2,0)</f>
        <v>แม่ขะจาน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1029</v>
      </c>
      <c r="AZ1" s="817" t="str">
        <f>+VLOOKUP($A$1,data!$A$4:$AH$32,2,0)</f>
        <v>แม่ขะจาน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300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300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7</v>
      </c>
      <c r="C18" s="406">
        <f>+VLOOKUP($A$1,data!$A$37:$AU$67,36)</f>
        <v>25</v>
      </c>
      <c r="D18" s="406">
        <f>+VLOOKUP($A$1,data!$A$37:$AU$67,37)</f>
        <v>17</v>
      </c>
      <c r="E18" s="406">
        <f>+VLOOKUP($A$1,data!$A$37:$AU$67,38)</f>
        <v>49</v>
      </c>
      <c r="F18" s="406">
        <f>+VLOOKUP($A$1,data!$A$37:$AU$67,39)</f>
        <v>78</v>
      </c>
      <c r="G18" s="406">
        <f>+VLOOKUP($A$1,data!$A$37:$AU$67,40)</f>
        <v>57</v>
      </c>
      <c r="H18" s="406">
        <f>+VLOOKUP($A$1,data!$A$37:$AU$67,41)</f>
        <v>50</v>
      </c>
      <c r="I18" s="406">
        <f>+VLOOKUP($A$1,data!$A$37:$AU$67,42)</f>
        <v>59</v>
      </c>
      <c r="J18" s="406">
        <f>+VLOOKUP($A$1,data!$A$37:$AU$67,43)</f>
        <v>40</v>
      </c>
      <c r="K18" s="406">
        <f>+VLOOKUP($A$1,data!$A$37:$AU$67,44)</f>
        <v>21</v>
      </c>
      <c r="L18" s="406">
        <f>+VLOOKUP($A$1,data!$A$37:$AU$67,45)</f>
        <v>0</v>
      </c>
      <c r="M18" s="406">
        <f>+VLOOKUP($A$1,data!$A$37:$AU$67,46)</f>
        <v>59</v>
      </c>
      <c r="N18" s="406">
        <f>SUM(B18:M18)</f>
        <v>462</v>
      </c>
      <c r="O18" s="406">
        <f>SUM(B18:M18)</f>
        <v>462</v>
      </c>
      <c r="P18" s="407">
        <f>+O20-O18</f>
        <v>-273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301"/>
      <c r="AI18" s="305" t="s">
        <v>92</v>
      </c>
      <c r="AJ18" s="418">
        <f>+VLOOKUP($A$1,data!$A$69:$AU$99,35)</f>
        <v>4.3663E-2</v>
      </c>
      <c r="AK18" s="418">
        <f>+VLOOKUP($A$1,data!$A$69:$AU$99,36)</f>
        <v>4.4558E-2</v>
      </c>
      <c r="AL18" s="418">
        <f>+VLOOKUP($A$1,data!$A$69:$AU$99,37)</f>
        <v>4.3368999999999998E-2</v>
      </c>
      <c r="AM18" s="418">
        <f>+VLOOKUP($A$1,data!$A$69:$AU$99,38)</f>
        <v>4.7384999999999997E-2</v>
      </c>
      <c r="AN18" s="418">
        <f>+VLOOKUP($A$1,data!$A$69:$AU$99,39)</f>
        <v>4.5867999999999999E-2</v>
      </c>
      <c r="AO18" s="418">
        <f>+VLOOKUP($A$1,data!$A$69:$AU$99,40)</f>
        <v>4.4437999999999998E-2</v>
      </c>
      <c r="AP18" s="418">
        <f>+VLOOKUP($A$1,data!$A$69:$AU$99,41)</f>
        <v>4.9708000000000002E-2</v>
      </c>
      <c r="AQ18" s="418">
        <f>+VLOOKUP($A$1,data!$A$69:$AU$99,42)</f>
        <v>6.1381999999999999E-2</v>
      </c>
      <c r="AR18" s="418">
        <f>+VLOOKUP($A$1,data!$A$69:$AU$99,43)</f>
        <v>5.0797000000000002E-2</v>
      </c>
      <c r="AS18" s="418">
        <f>+VLOOKUP($A$1,data!$A$69:$AU$99,44)</f>
        <v>4.9389000000000002E-2</v>
      </c>
      <c r="AT18" s="418">
        <f>+VLOOKUP($A$1,data!$A$69:$AU$99,45)</f>
        <v>4.0455999999999999E-2</v>
      </c>
      <c r="AU18" s="418">
        <f>+VLOOKUP($A$1,data!$A$69:$AU$99,46)</f>
        <v>4.7248999999999999E-2</v>
      </c>
      <c r="AV18" s="418">
        <f>SUM(AJ18:AU18)</f>
        <v>0.56826199999999993</v>
      </c>
      <c r="AW18" s="418">
        <f>SUM(AJ18:AU18)</f>
        <v>0.56826199999999993</v>
      </c>
      <c r="AX18" s="419">
        <f>+AW20-AW18</f>
        <v>3.0151999999999957E-2</v>
      </c>
      <c r="AY18" s="308" t="s">
        <v>92</v>
      </c>
      <c r="AZ18" s="309">
        <f>+VLOOKUP($A$1,data!$A$101:$AU$131,35)</f>
        <v>8.1290000000000008E-3</v>
      </c>
      <c r="BA18" s="309">
        <f>+VLOOKUP($A$1,data!$A$101:$AU$131,36)</f>
        <v>9.1240000000000002E-3</v>
      </c>
      <c r="BB18" s="309">
        <f>+VLOOKUP($A$1,data!$A$101:$AU$131,37)</f>
        <v>9.0449999999999992E-3</v>
      </c>
      <c r="BC18" s="309">
        <f>+VLOOKUP($A$1,data!$A$101:$AU$131,38)</f>
        <v>9.7800000000000005E-3</v>
      </c>
      <c r="BD18" s="309">
        <f>+VLOOKUP($A$1,data!$A$101:$AU$131,39)</f>
        <v>9.469E-3</v>
      </c>
      <c r="BE18" s="309">
        <f>+VLOOKUP($A$1,data!$A$101:$AU$131,40)</f>
        <v>9.1940000000000008E-3</v>
      </c>
      <c r="BF18" s="309">
        <f>+VLOOKUP($A$1,data!$A$101:$AU$131,41)</f>
        <v>1.0533000000000001E-2</v>
      </c>
      <c r="BG18" s="309">
        <f>+VLOOKUP($A$1,data!$A$101:$AU$131,42)</f>
        <v>1.2699E-2</v>
      </c>
      <c r="BH18" s="309">
        <f>+VLOOKUP($A$1,data!$A$101:$AU$131,43)</f>
        <v>6.1240000000000001E-3</v>
      </c>
      <c r="BI18" s="309">
        <f>+VLOOKUP($A$1,data!$A$101:$AU$131,44)</f>
        <v>9.1459999999999996E-3</v>
      </c>
      <c r="BJ18" s="309">
        <f>+VLOOKUP($A$1,data!$A$101:$AU$131,45)</f>
        <v>9.3279999999999995E-3</v>
      </c>
      <c r="BK18" s="309">
        <f>+VLOOKUP($A$1,data!$A$101:$AU$131,46)</f>
        <v>9.3970000000000008E-3</v>
      </c>
      <c r="BL18" s="309">
        <f>SUM(AZ18:BK18)</f>
        <v>0.11196800000000001</v>
      </c>
      <c r="BM18" s="309">
        <f>SUM(AZ18:BK18)</f>
        <v>0.11196800000000001</v>
      </c>
      <c r="BN18" s="310">
        <f>+BM20-BM18</f>
        <v>-8.8787800000000167E-3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4.4287369640787952</v>
      </c>
      <c r="C19" s="409">
        <f>+VLOOKUP($A$1,data!$A$37:$AU$67,20)</f>
        <v>13.286210892236385</v>
      </c>
      <c r="D19" s="409">
        <f>+VLOOKUP($A$1,data!$A$37:$AU$67,21)</f>
        <v>9.9119351100811119</v>
      </c>
      <c r="E19" s="409">
        <f>+VLOOKUP($A$1,data!$A$37:$AU$67,22)</f>
        <v>18.558516801853997</v>
      </c>
      <c r="F19" s="409">
        <f>+VLOOKUP($A$1,data!$A$37:$AU$67,23)</f>
        <v>28.681344148319813</v>
      </c>
      <c r="G19" s="409">
        <f>+VLOOKUP($A$1,data!$A$37:$AU$67,24)</f>
        <v>21.51100811123986</v>
      </c>
      <c r="H19" s="409">
        <f>+VLOOKUP($A$1,data!$A$37:$AU$67,25)</f>
        <v>16.238702201622246</v>
      </c>
      <c r="I19" s="409">
        <f>+VLOOKUP($A$1,data!$A$37:$AU$67,26)</f>
        <v>24.252607184241018</v>
      </c>
      <c r="J19" s="409">
        <f>+VLOOKUP($A$1,data!$A$37:$AU$67,27)</f>
        <v>14.762456546929315</v>
      </c>
      <c r="K19" s="409">
        <f>+VLOOKUP($A$1,data!$A$37:$AU$67,28)</f>
        <v>8.6465816917728837</v>
      </c>
      <c r="L19" s="409">
        <f>+VLOOKUP($A$1,data!$A$37:$AU$67,29)</f>
        <v>4.8505214368482044</v>
      </c>
      <c r="M19" s="409">
        <f>+VLOOKUP($A$1,data!$A$37:$AU$67,30)</f>
        <v>16.871378910776361</v>
      </c>
      <c r="N19" s="409">
        <f>SUM(B19:M19)</f>
        <v>182</v>
      </c>
      <c r="O19" s="630">
        <f t="shared" ref="O19:O20" si="0">SUM(B19:M19)</f>
        <v>182</v>
      </c>
      <c r="P19" s="412">
        <f>+O20-O19</f>
        <v>7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2"/>
      <c r="AI19" s="306" t="s">
        <v>94</v>
      </c>
      <c r="AJ19" s="423">
        <f>+VLOOKUP($A$1,data!$A$69:$AU$99,19)</f>
        <v>4.9169999999999998E-2</v>
      </c>
      <c r="AK19" s="423">
        <f>+VLOOKUP($A$1,data!$A$69:$AU$99,20)</f>
        <v>5.1469000000000001E-2</v>
      </c>
      <c r="AL19" s="423">
        <f>+VLOOKUP($A$1,data!$A$69:$AU$99,21)</f>
        <v>4.9856999999999999E-2</v>
      </c>
      <c r="AM19" s="423">
        <f>+VLOOKUP($A$1,data!$A$69:$AU$99,22)</f>
        <v>5.4620000000000002E-2</v>
      </c>
      <c r="AN19" s="423">
        <f>+VLOOKUP($A$1,data!$A$69:$AU$99,23)</f>
        <v>5.1110999999999997E-2</v>
      </c>
      <c r="AO19" s="423">
        <f>+VLOOKUP($A$1,data!$A$69:$AU$99,24)</f>
        <v>5.0879000000000001E-2</v>
      </c>
      <c r="AP19" s="423">
        <f>+VLOOKUP($A$1,data!$A$69:$AU$99,25)</f>
        <v>5.8418999999999999E-2</v>
      </c>
      <c r="AQ19" s="423">
        <f>+VLOOKUP($A$1,data!$A$69:$AU$99,26)</f>
        <v>6.5276000000000001E-2</v>
      </c>
      <c r="AR19" s="423">
        <f>+VLOOKUP($A$1,data!$A$69:$AU$99,27)</f>
        <v>5.8774E-2</v>
      </c>
      <c r="AS19" s="423">
        <f>+VLOOKUP($A$1,data!$A$69:$AU$99,28)</f>
        <v>5.6791000000000001E-2</v>
      </c>
      <c r="AT19" s="423">
        <f>+VLOOKUP($A$1,data!$A$69:$AU$99,29)</f>
        <v>5.1658000000000003E-2</v>
      </c>
      <c r="AU19" s="423">
        <f>+VLOOKUP($A$1,data!$A$69:$AU$99,30)</f>
        <v>5.5455999999999998E-2</v>
      </c>
      <c r="AV19" s="423">
        <f>SUM(AJ19:AU19)</f>
        <v>0.65347999999999995</v>
      </c>
      <c r="AW19" s="424">
        <f t="shared" ref="AW19:AW20" si="1">SUM(AJ19:AU19)</f>
        <v>0.65347999999999995</v>
      </c>
      <c r="AX19" s="425">
        <f>+AW20-AW19</f>
        <v>-5.5066000000000059E-2</v>
      </c>
      <c r="AY19" s="311" t="s">
        <v>94</v>
      </c>
      <c r="AZ19" s="312">
        <f>+VLOOKUP($A$1,data!$A$101:$AU$131,19)</f>
        <v>1.0151E-2</v>
      </c>
      <c r="BA19" s="312">
        <f>+VLOOKUP($A$1,data!$A$101:$AU$131,20)</f>
        <v>1.0902E-2</v>
      </c>
      <c r="BB19" s="312">
        <f>+VLOOKUP($A$1,data!$A$101:$AU$131,21)</f>
        <v>1.0579E-2</v>
      </c>
      <c r="BC19" s="312">
        <f>+VLOOKUP($A$1,data!$A$101:$AU$131,22)</f>
        <v>1.1479E-2</v>
      </c>
      <c r="BD19" s="312">
        <f>+VLOOKUP($A$1,data!$A$101:$AU$131,23)</f>
        <v>1.0694E-2</v>
      </c>
      <c r="BE19" s="312">
        <f>+VLOOKUP($A$1,data!$A$101:$AU$131,24)</f>
        <v>1.0973999999999999E-2</v>
      </c>
      <c r="BF19" s="312">
        <f>+VLOOKUP($A$1,data!$A$101:$AU$131,25)</f>
        <v>1.2123E-2</v>
      </c>
      <c r="BG19" s="312">
        <f>+VLOOKUP($A$1,data!$A$101:$AU$131,26)</f>
        <v>1.3464E-2</v>
      </c>
      <c r="BH19" s="312">
        <f>+VLOOKUP($A$1,data!$A$101:$AU$131,27)</f>
        <v>1.027E-2</v>
      </c>
      <c r="BI19" s="312">
        <f>+VLOOKUP($A$1,data!$A$101:$AU$131,28)</f>
        <v>1.1301E-2</v>
      </c>
      <c r="BJ19" s="312">
        <f>+VLOOKUP($A$1,data!$A$101:$AU$131,29)</f>
        <v>1.0931E-2</v>
      </c>
      <c r="BK19" s="312">
        <f>+VLOOKUP($A$1,data!$A$101:$AU$131,30)</f>
        <v>1.0982E-2</v>
      </c>
      <c r="BL19" s="312">
        <f>SUM(AZ19:BK19)</f>
        <v>0.13385</v>
      </c>
      <c r="BM19" s="313">
        <f t="shared" ref="BM19:BM20" si="2">SUM(AZ19:BK19)</f>
        <v>0.13385</v>
      </c>
      <c r="BN19" s="314">
        <f>+BM20-BM19</f>
        <v>-3.0760780000000001E-2</v>
      </c>
    </row>
    <row r="20" spans="1:66" s="247" customFormat="1" ht="19.5" thickBot="1" x14ac:dyDescent="0.35">
      <c r="A20" s="413" t="s">
        <v>93</v>
      </c>
      <c r="B20" s="414">
        <f>+VLOOKUP($A$1,data!$A$37:$AU$67,3)</f>
        <v>22</v>
      </c>
      <c r="C20" s="414">
        <f>+VLOOKUP($A$1,data!$A$37:$AU$67,4)</f>
        <v>17</v>
      </c>
      <c r="D20" s="414">
        <f>+VLOOKUP($A$1,data!$A$37:$AU$67,5)</f>
        <v>11</v>
      </c>
      <c r="E20" s="414">
        <f>+VLOOKUP($A$1,data!$A$37:$AU$67,6)</f>
        <v>5</v>
      </c>
      <c r="F20" s="414">
        <f>+VLOOKUP($A$1,data!$A$37:$AU$67,7)</f>
        <v>18</v>
      </c>
      <c r="G20" s="414">
        <f>+VLOOKUP($A$1,data!$A$37:$AU$67,8)</f>
        <v>15</v>
      </c>
      <c r="H20" s="414">
        <f>+VLOOKUP($A$1,data!$A$37:$AU$67,9)</f>
        <v>13</v>
      </c>
      <c r="I20" s="414">
        <f>+VLOOKUP($A$1,data!$A$37:$AU$67,10)</f>
        <v>5</v>
      </c>
      <c r="J20" s="414">
        <f>+VLOOKUP($A$1,data!$A$37:$AU$67,11)</f>
        <v>51</v>
      </c>
      <c r="K20" s="414">
        <f>+VLOOKUP($A$1,data!$A$37:$AU$67,12)</f>
        <v>24</v>
      </c>
      <c r="L20" s="414">
        <f>+VLOOKUP($A$1,data!$A$37:$AU$67,13)</f>
        <v>4</v>
      </c>
      <c r="M20" s="414">
        <f>+VLOOKUP($A$1,data!$A$37:$AU$67,14)</f>
        <v>4</v>
      </c>
      <c r="N20" s="414">
        <f>SUM(B20:M20)</f>
        <v>189</v>
      </c>
      <c r="O20" s="631">
        <f t="shared" si="0"/>
        <v>189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3"/>
      <c r="AI20" s="307" t="s">
        <v>93</v>
      </c>
      <c r="AJ20" s="420">
        <f>+VLOOKUP($A$1,data!$A$69:$AU$99,3)</f>
        <v>4.5470999999999998E-2</v>
      </c>
      <c r="AK20" s="420">
        <f>+VLOOKUP($A$1,data!$A$69:$AU$99,4)</f>
        <v>4.7188000000000001E-2</v>
      </c>
      <c r="AL20" s="420">
        <f>+VLOOKUP($A$1,data!$A$69:$AU$99,5)</f>
        <v>4.6862000000000001E-2</v>
      </c>
      <c r="AM20" s="420">
        <f>+VLOOKUP($A$1,data!$A$69:$AU$99,6)</f>
        <v>4.9230999999999997E-2</v>
      </c>
      <c r="AN20" s="420">
        <f>+VLOOKUP($A$1,data!$A$69:$AU$99,7)</f>
        <v>4.6657999999999998E-2</v>
      </c>
      <c r="AO20" s="420">
        <f>+VLOOKUP($A$1,data!$A$69:$AU$99,8)</f>
        <v>4.9784000000000002E-2</v>
      </c>
      <c r="AP20" s="420">
        <f>+VLOOKUP($A$1,data!$A$69:$AU$99,9)</f>
        <v>5.6306000000000002E-2</v>
      </c>
      <c r="AQ20" s="420">
        <f>+VLOOKUP($A$1,data!$A$69:$AU$99,10)</f>
        <v>5.3020999999999999E-2</v>
      </c>
      <c r="AR20" s="420">
        <f>+VLOOKUP($A$1,data!$A$69:$AU$99,11)</f>
        <v>5.2399000000000001E-2</v>
      </c>
      <c r="AS20" s="420">
        <f>+VLOOKUP($A$1,data!$A$69:$AU$99,12)</f>
        <v>4.7986000000000001E-2</v>
      </c>
      <c r="AT20" s="420">
        <f>+VLOOKUP($A$1,data!$A$69:$AU$99,13)</f>
        <v>5.1950999999999997E-2</v>
      </c>
      <c r="AU20" s="420">
        <f>+VLOOKUP($A$1,data!$A$69:$AU$99,14)</f>
        <v>5.1556999999999999E-2</v>
      </c>
      <c r="AV20" s="420">
        <f>SUM(AJ20:AU20)</f>
        <v>0.59841399999999989</v>
      </c>
      <c r="AW20" s="421">
        <f t="shared" si="1"/>
        <v>0.59841399999999989</v>
      </c>
      <c r="AX20" s="422"/>
      <c r="AY20" s="315" t="s">
        <v>93</v>
      </c>
      <c r="AZ20" s="316">
        <f>+VLOOKUP($A$1,data!$A$101:$AU$131,3)</f>
        <v>1.2525E-2</v>
      </c>
      <c r="BA20" s="316">
        <f>+VLOOKUP($A$1,data!$A$101:$AU$131,4)</f>
        <v>1.0302E-2</v>
      </c>
      <c r="BB20" s="316">
        <f>+VLOOKUP($A$1,data!$A$101:$AU$131,5)</f>
        <v>1.2529999999999999E-2</v>
      </c>
      <c r="BC20" s="316">
        <f>+VLOOKUP($A$1,data!$A$101:$AU$131,6)</f>
        <v>1.1757999999999999E-2</v>
      </c>
      <c r="BD20" s="316">
        <f>+VLOOKUP($A$1,data!$A$101:$AU$131,7)</f>
        <v>1.0827E-2</v>
      </c>
      <c r="BE20" s="316">
        <f>+VLOOKUP($A$1,data!$A$101:$AU$131,8)</f>
        <v>1.2090999999999999E-2</v>
      </c>
      <c r="BF20" s="316">
        <f>+VLOOKUP($A$1,data!$A$101:$AU$131,9)</f>
        <v>5.3439999999999998E-3</v>
      </c>
      <c r="BG20" s="316">
        <f>+VLOOKUP($A$1,data!$A$101:$AU$131,10)</f>
        <v>5.7999999999999996E-3</v>
      </c>
      <c r="BH20" s="316">
        <f>+VLOOKUP($A$1,data!$A$101:$AU$131,11)</f>
        <v>4.7260000000000002E-3</v>
      </c>
      <c r="BI20" s="316">
        <f>+VLOOKUP($A$1,data!$A$101:$AU$131,12)</f>
        <v>8.0090599999999984E-3</v>
      </c>
      <c r="BJ20" s="316">
        <f>+VLOOKUP($A$1,data!$A$101:$AU$131,13)</f>
        <v>5.7115899999999964E-3</v>
      </c>
      <c r="BK20" s="316">
        <f>+VLOOKUP($A$1,data!$A$101:$AU$131,14)</f>
        <v>3.4655699999999998E-3</v>
      </c>
      <c r="BL20" s="316">
        <f>SUM(AZ20:BK20)</f>
        <v>0.10308922</v>
      </c>
      <c r="BM20" s="317">
        <f t="shared" si="2"/>
        <v>0.10308922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26.626882966396295</v>
      </c>
      <c r="W21" s="671">
        <f>+VLOOKUP($A$1,data!$A$261:$AK$291,16)</f>
        <v>47</v>
      </c>
      <c r="X21" s="671">
        <f>+VLOOKUP($A$1,data!$A$261:$AK$291,36)</f>
        <v>94.377752027809962</v>
      </c>
      <c r="Y21" s="671">
        <f>+VLOOKUP($A$1,data!$A$261:$AK$291,17)</f>
        <v>85</v>
      </c>
      <c r="Z21" s="671">
        <f>+VLOOKUP($A$1,data!$A$261:$AK$291,37)</f>
        <v>148.63151796060254</v>
      </c>
      <c r="AA21" s="671">
        <f>+VLOOKUP($A$1,data!$A$261:$AK$291,18)</f>
        <v>150</v>
      </c>
      <c r="AB21" s="671">
        <f>+VLOOKUP($A$1,data!$A$261:$AK$291,34)</f>
        <v>176</v>
      </c>
      <c r="AC21" s="671">
        <f>+VLOOKUP($A$1,data!$A$261:$AK$291,15)</f>
        <v>179</v>
      </c>
      <c r="AD21" s="671">
        <f>+AA21-Z21</f>
        <v>1.3684820393974633</v>
      </c>
      <c r="AE21" s="684">
        <f>+AC21-AB21</f>
        <v>3</v>
      </c>
      <c r="AF21" s="668"/>
      <c r="AG21" s="301"/>
      <c r="AH21" s="426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1</v>
      </c>
      <c r="W22" s="672">
        <f>+VLOOKUP($A$1,data!$A$229:$AK$259,16)</f>
        <v>3</v>
      </c>
      <c r="X22" s="672">
        <f>+VLOOKUP($A$1,data!$A$229:$AK$259,36)</f>
        <v>2</v>
      </c>
      <c r="Y22" s="672">
        <f>+VLOOKUP($A$1,data!$A$229:$AK$259,17)</f>
        <v>3</v>
      </c>
      <c r="Z22" s="672">
        <f>+VLOOKUP($A$1,data!$A$229:$AK$259,37)</f>
        <v>3</v>
      </c>
      <c r="AA22" s="672">
        <f>+VLOOKUP($A$1,data!$A$229:$AK$259,18)</f>
        <v>7</v>
      </c>
      <c r="AB22" s="672">
        <f>+VLOOKUP($A$1,data!$A$229:$AK$259,34)</f>
        <v>6</v>
      </c>
      <c r="AC22" s="765">
        <f>+VLOOKUP($A$1,data!$A$229:$AK$259,15)</f>
        <v>10</v>
      </c>
      <c r="AD22" s="671">
        <f>+AA22-Z22</f>
        <v>4</v>
      </c>
      <c r="AE22" s="685">
        <f>+AC22-AB22</f>
        <v>4</v>
      </c>
      <c r="AF22" s="665"/>
      <c r="AG22" s="302"/>
      <c r="AH22" s="426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713">
        <f>SUM(V21:V22)</f>
        <v>27.626882966396295</v>
      </c>
      <c r="W23" s="713">
        <f t="shared" ref="W23:AC23" si="3">SUM(W21:W22)</f>
        <v>50</v>
      </c>
      <c r="X23" s="713">
        <f t="shared" si="3"/>
        <v>96.377752027809962</v>
      </c>
      <c r="Y23" s="713">
        <f t="shared" si="3"/>
        <v>88</v>
      </c>
      <c r="Z23" s="713">
        <f t="shared" si="3"/>
        <v>151.63151796060254</v>
      </c>
      <c r="AA23" s="713">
        <f t="shared" si="3"/>
        <v>157</v>
      </c>
      <c r="AB23" s="713">
        <f t="shared" si="3"/>
        <v>182</v>
      </c>
      <c r="AC23" s="764">
        <f t="shared" si="3"/>
        <v>189</v>
      </c>
      <c r="AD23" s="713">
        <f>+AA23-Z23</f>
        <v>5.3684820393974633</v>
      </c>
      <c r="AE23" s="686">
        <f>+AC23-AB23</f>
        <v>7</v>
      </c>
      <c r="AF23" s="669"/>
      <c r="AG23" s="303"/>
      <c r="AH23" s="304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304"/>
      <c r="T24" s="304"/>
      <c r="U24" s="304"/>
      <c r="V24" s="304"/>
      <c r="W24" s="304"/>
      <c r="X24" s="304"/>
      <c r="Y24" s="304"/>
      <c r="Z24" s="304"/>
      <c r="AA24" s="304"/>
      <c r="AB24" s="304"/>
      <c r="AC24" s="304"/>
      <c r="AD24" s="304"/>
      <c r="AE24" s="304"/>
      <c r="AF24" s="304"/>
      <c r="AG24" s="304"/>
      <c r="AH24" s="304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  <c r="AG25" s="299"/>
      <c r="AH25" s="299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  <c r="AG26" s="299"/>
      <c r="AH26" s="299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  <c r="AG27" s="299"/>
      <c r="AH27" s="299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7</v>
      </c>
      <c r="D39" s="406">
        <f t="shared" ref="D39:N41" si="4">+C39+C18</f>
        <v>32</v>
      </c>
      <c r="E39" s="406">
        <f t="shared" si="4"/>
        <v>49</v>
      </c>
      <c r="F39" s="406">
        <f t="shared" si="4"/>
        <v>98</v>
      </c>
      <c r="G39" s="406">
        <f t="shared" si="4"/>
        <v>176</v>
      </c>
      <c r="H39" s="406">
        <f t="shared" si="4"/>
        <v>233</v>
      </c>
      <c r="I39" s="406">
        <f t="shared" si="4"/>
        <v>283</v>
      </c>
      <c r="J39" s="406">
        <f t="shared" si="4"/>
        <v>342</v>
      </c>
      <c r="K39" s="406">
        <f t="shared" si="4"/>
        <v>382</v>
      </c>
      <c r="L39" s="406">
        <f t="shared" si="4"/>
        <v>403</v>
      </c>
      <c r="M39" s="406">
        <f t="shared" si="4"/>
        <v>403</v>
      </c>
      <c r="N39" s="406">
        <f t="shared" si="4"/>
        <v>462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4.3663E-2</v>
      </c>
      <c r="AL39" s="418">
        <f t="shared" ref="AL39:AV41" si="5">+AK39+AK18</f>
        <v>8.8220999999999994E-2</v>
      </c>
      <c r="AM39" s="418">
        <f t="shared" si="5"/>
        <v>0.13158999999999998</v>
      </c>
      <c r="AN39" s="418">
        <f t="shared" si="5"/>
        <v>0.178975</v>
      </c>
      <c r="AO39" s="418">
        <f t="shared" si="5"/>
        <v>0.22484299999999999</v>
      </c>
      <c r="AP39" s="418">
        <f t="shared" si="5"/>
        <v>0.26928099999999999</v>
      </c>
      <c r="AQ39" s="418">
        <f t="shared" si="5"/>
        <v>0.31898899999999997</v>
      </c>
      <c r="AR39" s="418">
        <f t="shared" si="5"/>
        <v>0.38037099999999996</v>
      </c>
      <c r="AS39" s="418">
        <f t="shared" si="5"/>
        <v>0.43116799999999994</v>
      </c>
      <c r="AT39" s="418">
        <f t="shared" si="5"/>
        <v>0.48055699999999996</v>
      </c>
      <c r="AU39" s="418">
        <f t="shared" si="5"/>
        <v>0.52101299999999995</v>
      </c>
      <c r="AV39" s="418">
        <f t="shared" si="5"/>
        <v>0.56826199999999993</v>
      </c>
      <c r="AW39" s="158"/>
      <c r="AX39" s="158"/>
      <c r="AY39" s="308" t="s">
        <v>92</v>
      </c>
      <c r="AZ39" s="714">
        <f>+VLOOKUP($A$1,data!$A$133:$BK$163,26)</f>
        <v>15.689112770926217</v>
      </c>
      <c r="BA39" s="714">
        <f>+VLOOKUP($A$1,data!$A$133:$BK$163,27)</f>
        <v>16.996386125703214</v>
      </c>
      <c r="BB39" s="714">
        <f>+VLOOKUP($A$1,data!$A$133:$BK$163,28)</f>
        <v>17.251244492761916</v>
      </c>
      <c r="BC39" s="714">
        <f>+VLOOKUP($A$1,data!$A$133:$BK$163,29)</f>
        <v>16.652102883629041</v>
      </c>
      <c r="BD39" s="714">
        <f>+VLOOKUP($A$1,data!$A$133:$BK$163,30)</f>
        <v>17.106575011806687</v>
      </c>
      <c r="BE39" s="714">
        <f>+VLOOKUP($A$1,data!$A$133:$BK$163,31)</f>
        <v>17.110589085652332</v>
      </c>
      <c r="BF39" s="714">
        <f>+VLOOKUP($A$1,data!$A$133:$BK$163,32)</f>
        <v>17.139554826441966</v>
      </c>
      <c r="BG39" s="714">
        <f>+VLOOKUP($A$1,data!$A$133:$BK$163,33)</f>
        <v>16.89125182440084</v>
      </c>
      <c r="BH39" s="714">
        <f>+VLOOKUP($A$1,data!$A$133:$BK$163,34)</f>
        <v>17.462738531425632</v>
      </c>
      <c r="BI39" s="714">
        <f>+VLOOKUP($A$1,data!$A$133:$BK$163,35)</f>
        <v>17.134645743661707</v>
      </c>
      <c r="BJ39" s="714">
        <f>+VLOOKUP($A$1,data!$A$133:$BK$163,36)</f>
        <v>10.758770928128458</v>
      </c>
      <c r="BK39" s="714">
        <f>+VLOOKUP($A$1,data!$A$133:$BK$163,37)</f>
        <v>16.315891585666336</v>
      </c>
      <c r="BL39" s="714">
        <f>+VLOOKUP($A$1,data!$A$133:$BK$163,38)</f>
        <v>15.624839839412315</v>
      </c>
      <c r="BM39" s="714">
        <f>+VLOOKUP($A$1,data!$A$133:$BK$163,39)</f>
        <v>18.736943596336172</v>
      </c>
      <c r="BN39" s="714">
        <f>+VLOOKUP($A$1,data!$A$133:$BK$163,40)</f>
        <v>16.588991279172404</v>
      </c>
      <c r="BO39" s="714">
        <f>+VLOOKUP($A$1,data!$A$133:$BK$163,41)</f>
        <v>16.456323165220201</v>
      </c>
    </row>
    <row r="40" spans="1:67" ht="21.75" thickBot="1" x14ac:dyDescent="0.4">
      <c r="A40"/>
      <c r="B40" s="408" t="s">
        <v>94</v>
      </c>
      <c r="C40" s="409">
        <f>+B19</f>
        <v>4.4287369640787952</v>
      </c>
      <c r="D40" s="409">
        <f t="shared" si="4"/>
        <v>17.714947856315181</v>
      </c>
      <c r="E40" s="409">
        <f t="shared" si="4"/>
        <v>27.626882966396295</v>
      </c>
      <c r="F40" s="409">
        <f t="shared" si="4"/>
        <v>46.185399768250292</v>
      </c>
      <c r="G40" s="409">
        <f t="shared" si="4"/>
        <v>74.866743916570101</v>
      </c>
      <c r="H40" s="409">
        <f t="shared" si="4"/>
        <v>96.377752027809962</v>
      </c>
      <c r="I40" s="409">
        <f t="shared" si="4"/>
        <v>112.61645422943221</v>
      </c>
      <c r="J40" s="409">
        <f t="shared" si="4"/>
        <v>136.86906141367322</v>
      </c>
      <c r="K40" s="409">
        <f t="shared" si="4"/>
        <v>151.63151796060254</v>
      </c>
      <c r="L40" s="409">
        <f t="shared" si="4"/>
        <v>160.27809965237543</v>
      </c>
      <c r="M40" s="409">
        <f t="shared" si="4"/>
        <v>165.12862108922363</v>
      </c>
      <c r="N40" s="409">
        <f t="shared" si="4"/>
        <v>182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4.9169999999999998E-2</v>
      </c>
      <c r="AL40" s="423">
        <f t="shared" si="5"/>
        <v>0.10063900000000001</v>
      </c>
      <c r="AM40" s="423">
        <f t="shared" si="5"/>
        <v>0.15049600000000002</v>
      </c>
      <c r="AN40" s="423">
        <f t="shared" si="5"/>
        <v>0.20511600000000002</v>
      </c>
      <c r="AO40" s="423">
        <f t="shared" si="5"/>
        <v>0.25622700000000004</v>
      </c>
      <c r="AP40" s="423">
        <f t="shared" si="5"/>
        <v>0.30710600000000005</v>
      </c>
      <c r="AQ40" s="423">
        <f t="shared" si="5"/>
        <v>0.36552500000000004</v>
      </c>
      <c r="AR40" s="423">
        <f t="shared" si="5"/>
        <v>0.43080100000000005</v>
      </c>
      <c r="AS40" s="423">
        <f t="shared" si="5"/>
        <v>0.48957500000000004</v>
      </c>
      <c r="AT40" s="423">
        <f t="shared" si="5"/>
        <v>0.54636600000000002</v>
      </c>
      <c r="AU40" s="423">
        <f t="shared" si="5"/>
        <v>0.598024</v>
      </c>
      <c r="AV40" s="423">
        <f t="shared" si="5"/>
        <v>0.65347999999999995</v>
      </c>
      <c r="AW40" s="158"/>
      <c r="AX40" s="158"/>
      <c r="AY40" s="311" t="s">
        <v>94</v>
      </c>
      <c r="AZ40" s="715">
        <f>+VLOOKUP($A$1,data!$A$133:$BK$163,22)</f>
        <v>17.000495345026863</v>
      </c>
      <c r="BA40" s="715">
        <f>+$AZ$40</f>
        <v>17.000495345026863</v>
      </c>
      <c r="BB40" s="715">
        <f t="shared" ref="BB40:BO40" si="6">+$AZ$40</f>
        <v>17.000495345026863</v>
      </c>
      <c r="BC40" s="715">
        <f t="shared" si="6"/>
        <v>17.000495345026863</v>
      </c>
      <c r="BD40" s="715">
        <f t="shared" si="6"/>
        <v>17.000495345026863</v>
      </c>
      <c r="BE40" s="715">
        <f t="shared" si="6"/>
        <v>17.000495345026863</v>
      </c>
      <c r="BF40" s="715">
        <f t="shared" si="6"/>
        <v>17.000495345026863</v>
      </c>
      <c r="BG40" s="715">
        <f t="shared" si="6"/>
        <v>17.000495345026863</v>
      </c>
      <c r="BH40" s="715">
        <f t="shared" si="6"/>
        <v>17.000495345026863</v>
      </c>
      <c r="BI40" s="715">
        <f t="shared" si="6"/>
        <v>17.000495345026863</v>
      </c>
      <c r="BJ40" s="715">
        <f t="shared" si="6"/>
        <v>17.000495345026863</v>
      </c>
      <c r="BK40" s="715">
        <f t="shared" si="6"/>
        <v>17.000495345026863</v>
      </c>
      <c r="BL40" s="715">
        <f t="shared" si="6"/>
        <v>17.000495345026863</v>
      </c>
      <c r="BM40" s="715">
        <f t="shared" si="6"/>
        <v>17.000495345026863</v>
      </c>
      <c r="BN40" s="715">
        <f t="shared" si="6"/>
        <v>17.000495345026863</v>
      </c>
      <c r="BO40" s="715">
        <f t="shared" si="6"/>
        <v>17.000495345026863</v>
      </c>
    </row>
    <row r="41" spans="1:67" ht="21.75" thickBot="1" x14ac:dyDescent="0.4">
      <c r="A41"/>
      <c r="B41" s="413" t="s">
        <v>93</v>
      </c>
      <c r="C41" s="414">
        <f>+B20</f>
        <v>22</v>
      </c>
      <c r="D41" s="414">
        <f t="shared" si="4"/>
        <v>39</v>
      </c>
      <c r="E41" s="414">
        <f t="shared" si="4"/>
        <v>50</v>
      </c>
      <c r="F41" s="414">
        <f t="shared" si="4"/>
        <v>55</v>
      </c>
      <c r="G41" s="414">
        <f t="shared" si="4"/>
        <v>73</v>
      </c>
      <c r="H41" s="414">
        <f t="shared" si="4"/>
        <v>88</v>
      </c>
      <c r="I41" s="414">
        <f t="shared" si="4"/>
        <v>101</v>
      </c>
      <c r="J41" s="414">
        <f t="shared" si="4"/>
        <v>106</v>
      </c>
      <c r="K41" s="414">
        <f t="shared" si="4"/>
        <v>157</v>
      </c>
      <c r="L41" s="414">
        <f t="shared" si="4"/>
        <v>181</v>
      </c>
      <c r="M41" s="414">
        <f t="shared" si="4"/>
        <v>185</v>
      </c>
      <c r="N41" s="414">
        <f t="shared" si="4"/>
        <v>189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4.5470999999999998E-2</v>
      </c>
      <c r="AL41" s="420">
        <f t="shared" si="5"/>
        <v>9.2658999999999991E-2</v>
      </c>
      <c r="AM41" s="420">
        <f t="shared" si="5"/>
        <v>0.13952100000000001</v>
      </c>
      <c r="AN41" s="420">
        <f t="shared" si="5"/>
        <v>0.188752</v>
      </c>
      <c r="AO41" s="420">
        <f t="shared" si="5"/>
        <v>0.23541000000000001</v>
      </c>
      <c r="AP41" s="420">
        <f t="shared" si="5"/>
        <v>0.285194</v>
      </c>
      <c r="AQ41" s="420">
        <f t="shared" si="5"/>
        <v>0.34150000000000003</v>
      </c>
      <c r="AR41" s="420">
        <f t="shared" si="5"/>
        <v>0.39452100000000001</v>
      </c>
      <c r="AS41" s="420">
        <f t="shared" si="5"/>
        <v>0.44691999999999998</v>
      </c>
      <c r="AT41" s="420">
        <f t="shared" si="5"/>
        <v>0.49490599999999996</v>
      </c>
      <c r="AU41" s="420">
        <f t="shared" si="5"/>
        <v>0.54685699999999993</v>
      </c>
      <c r="AV41" s="420">
        <f t="shared" si="5"/>
        <v>0.59841399999999989</v>
      </c>
      <c r="AW41" s="158"/>
      <c r="AX41" s="158"/>
      <c r="AY41" s="315" t="s">
        <v>93</v>
      </c>
      <c r="AZ41" s="716">
        <f>+VLOOKUP($A$1,data!$A$133:$BK$163,3)</f>
        <v>21.59631698737844</v>
      </c>
      <c r="BA41" s="716">
        <f>+VLOOKUP($A$1,data!$A$133:$BK$163,4)</f>
        <v>17.919638197947467</v>
      </c>
      <c r="BB41" s="716">
        <f>+VLOOKUP($A$1,data!$A$133:$BK$163,5)</f>
        <v>21.097117456896552</v>
      </c>
      <c r="BC41" s="716">
        <f>+VLOOKUP($A$1,data!$A$133:$BK$163,6)</f>
        <v>20.218094900444882</v>
      </c>
      <c r="BD41" s="716">
        <f>+VLOOKUP($A$1,data!$A$133:$BK$163,7)</f>
        <v>19.2788863565561</v>
      </c>
      <c r="BE41" s="716">
        <f>+VLOOKUP($A$1,data!$A$133:$BK$163,8)</f>
        <v>18.834478559624248</v>
      </c>
      <c r="BF41" s="716">
        <f>+VLOOKUP($A$1,data!$A$133:$BK$163,9)</f>
        <v>19.539431157078216</v>
      </c>
      <c r="BG41" s="716">
        <f>+VLOOKUP($A$1,data!$A$133:$BK$163,10)</f>
        <v>19.714721646698496</v>
      </c>
      <c r="BH41" s="716">
        <f>+VLOOKUP($A$1,data!$A$133:$BK$163,11)</f>
        <v>8.6682887266828885</v>
      </c>
      <c r="BI41" s="716">
        <f>+VLOOKUP($A$1,data!$A$133:$BK$163,12)</f>
        <v>9.8604239982319228</v>
      </c>
      <c r="BJ41" s="716">
        <f>+VLOOKUP($A$1,data!$A$133:$BK$163,13)</f>
        <v>8.2730853391684906</v>
      </c>
      <c r="BK41" s="716">
        <f>+VLOOKUP($A$1,data!$A$133:$BK$163,14)</f>
        <v>16.122088178549177</v>
      </c>
      <c r="BL41" s="716">
        <f>+VLOOKUP($A$1,data!$A$133:$BK$163,15)</f>
        <v>14.303154599709329</v>
      </c>
      <c r="BM41" s="716">
        <f>+VLOOKUP($A$1,data!$A$133:$BK$163,16)</f>
        <v>9.9051915635423189</v>
      </c>
      <c r="BN41" s="716">
        <f>+VLOOKUP($A$1,data!$A$133:$BK$163,17)</f>
        <v>6.2984517080899707</v>
      </c>
      <c r="BO41" s="716">
        <f>+VLOOKUP($A$1,data!$A$133:$BK$163,18)</f>
        <v>14.695368786982993</v>
      </c>
    </row>
    <row r="42" spans="1:67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712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16.456323165220201</v>
      </c>
      <c r="BA43" s="826">
        <f>+VLOOKUP($A$1,data!$A$133:$BK$163,26)</f>
        <v>15.689112770926217</v>
      </c>
      <c r="BB43" s="473">
        <f>+AZ45-AZ43</f>
        <v>-1.7609543782372086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17.000495345026863</v>
      </c>
      <c r="BA44" s="830"/>
      <c r="BB44" s="472">
        <f>+AZ45-AZ44</f>
        <v>-2.3051265580438702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14.695368786982993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1029</v>
      </c>
      <c r="B47" s="817" t="str">
        <f>+VLOOKUP($A$1,data!$A$4:$AH$32,2,0)</f>
        <v>แม่ขะจาน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1029</v>
      </c>
      <c r="T47" s="817" t="str">
        <f>+VLOOKUP($A$1,data!$A$4:$AH$32,2,0)</f>
        <v>แม่ขะจาน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1029</v>
      </c>
      <c r="AJ47" s="817" t="str">
        <f>+VLOOKUP($A$1,data!$A$4:$AH$32,2,0)</f>
        <v>แม่ขะจาน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0.83627439999999997</v>
      </c>
      <c r="C64" s="632">
        <f>+VLOOKUP($A$1,data!$A$165:$AU$195,36)</f>
        <v>0.86292234000000001</v>
      </c>
      <c r="D64" s="632">
        <f>+VLOOKUP($A$1,data!$A$165:$AU$195,37)</f>
        <v>0.84952759999999983</v>
      </c>
      <c r="E64" s="632">
        <f>+VLOOKUP($A$1,data!$A$165:$AU$195,38)</f>
        <v>0.94664265000000014</v>
      </c>
      <c r="F64" s="632">
        <f>+VLOOKUP($A$1,data!$A$165:$AU$195,39)</f>
        <v>0.93348014000000001</v>
      </c>
      <c r="G64" s="632">
        <f>+VLOOKUP($A$1,data!$A$165:$AU$195,40)</f>
        <v>0.88062568000000008</v>
      </c>
      <c r="H64" s="632">
        <f>+VLOOKUP($A$1,data!$A$165:$AU$195,41)</f>
        <v>0.96248876000000005</v>
      </c>
      <c r="I64" s="632">
        <f>+VLOOKUP($A$1,data!$A$165:$AU$195,42)</f>
        <v>1.2062065699999998</v>
      </c>
      <c r="J64" s="632">
        <f>+VLOOKUP($A$1,data!$A$165:$AU$195,43)</f>
        <v>0.98475374000000004</v>
      </c>
      <c r="K64" s="632">
        <f>+VLOOKUP($A$1,data!$A$165:$AU$195,44)</f>
        <v>0.95820801000000011</v>
      </c>
      <c r="L64" s="632">
        <f>+VLOOKUP($A$1,data!$A$165:$AU$195,45)</f>
        <v>0.75525033000000008</v>
      </c>
      <c r="M64" s="632">
        <f>+VLOOKUP($A$1,data!$A$165:$AU$195,46)</f>
        <v>0.9693543</v>
      </c>
      <c r="N64" s="632">
        <f>SUM(B64:M64)</f>
        <v>11.145734520000001</v>
      </c>
      <c r="O64" s="632">
        <f>SUM(B64:M64)</f>
        <v>11.145734520000001</v>
      </c>
      <c r="P64" s="635">
        <f>+O66-O64</f>
        <v>0.47236665999999872</v>
      </c>
      <c r="S64" s="605" t="s">
        <v>92</v>
      </c>
      <c r="T64" s="640">
        <f>+VLOOKUP($A$1,data!$A$197:$AU$227,35)</f>
        <v>0.51829723999999988</v>
      </c>
      <c r="U64" s="640">
        <f>+VLOOKUP($A$1,data!$A$197:$AU$227,36)</f>
        <v>0.54691221000000012</v>
      </c>
      <c r="V64" s="640">
        <f>+VLOOKUP($A$1,data!$A$197:$AU$227,37)</f>
        <v>0.5684284300000001</v>
      </c>
      <c r="W64" s="640">
        <f>+VLOOKUP($A$1,data!$A$197:$AU$227,38)</f>
        <v>0.53738131999999994</v>
      </c>
      <c r="X64" s="640">
        <f>+VLOOKUP($A$1,data!$A$197:$AU$227,39)</f>
        <v>0.53901206999999995</v>
      </c>
      <c r="Y64" s="640">
        <f>+VLOOKUP($A$1,data!$A$197:$AU$227,40)</f>
        <v>0.58511472000000009</v>
      </c>
      <c r="Z64" s="640">
        <f>+VLOOKUP($A$1,data!$A$197:$AU$227,41)</f>
        <v>0.55991588000000014</v>
      </c>
      <c r="AA64" s="640">
        <f>+VLOOKUP($A$1,data!$A$197:$AU$227,42)</f>
        <v>0.54339590999999987</v>
      </c>
      <c r="AB64" s="640">
        <f>+VLOOKUP($A$1,data!$A$197:$AU$227,43)</f>
        <v>0.50704998000000012</v>
      </c>
      <c r="AC64" s="640">
        <f>+VLOOKUP($A$1,data!$A$197:$AU$227,44)</f>
        <v>0.87948636999999996</v>
      </c>
      <c r="AD64" s="640">
        <f>+VLOOKUP($A$1,data!$A$197:$AU$227,45)</f>
        <v>0.50180146000000003</v>
      </c>
      <c r="AE64" s="640">
        <f>+VLOOKUP($A$1,data!$A$197:$AU$227,46)</f>
        <v>0.51310264999999999</v>
      </c>
      <c r="AF64" s="640">
        <f>SUM(T64:AE64)</f>
        <v>6.799898240000001</v>
      </c>
      <c r="AG64" s="640">
        <f>SUM(T64:AE64)</f>
        <v>6.799898240000001</v>
      </c>
      <c r="AH64" s="641">
        <f>+AG66-AG64</f>
        <v>-0.28620482000000091</v>
      </c>
      <c r="AI64" s="621" t="s">
        <v>92</v>
      </c>
      <c r="AJ64" s="648">
        <f>+B64-T64</f>
        <v>0.31797716000000009</v>
      </c>
      <c r="AK64" s="648">
        <f t="shared" ref="AK64:AU66" si="7">+C64-U64</f>
        <v>0.31601012999999989</v>
      </c>
      <c r="AL64" s="648">
        <f t="shared" si="7"/>
        <v>0.28109916999999973</v>
      </c>
      <c r="AM64" s="648">
        <f t="shared" si="7"/>
        <v>0.4092613300000002</v>
      </c>
      <c r="AN64" s="648">
        <f t="shared" si="7"/>
        <v>0.39446807000000006</v>
      </c>
      <c r="AO64" s="648">
        <f t="shared" si="7"/>
        <v>0.29551095999999999</v>
      </c>
      <c r="AP64" s="648">
        <f t="shared" si="7"/>
        <v>0.40257287999999991</v>
      </c>
      <c r="AQ64" s="648">
        <f t="shared" si="7"/>
        <v>0.66281065999999988</v>
      </c>
      <c r="AR64" s="648">
        <f t="shared" si="7"/>
        <v>0.47770375999999992</v>
      </c>
      <c r="AS64" s="648">
        <f t="shared" si="7"/>
        <v>7.8721640000000148E-2</v>
      </c>
      <c r="AT64" s="648">
        <f t="shared" si="7"/>
        <v>0.25344887000000005</v>
      </c>
      <c r="AU64" s="648">
        <f t="shared" si="7"/>
        <v>0.45625165000000001</v>
      </c>
      <c r="AV64" s="648">
        <f>SUM(AJ64:AU64)</f>
        <v>4.3458362800000003</v>
      </c>
      <c r="AW64" s="648">
        <f>SUM(AJ64:AU64)</f>
        <v>4.3458362800000003</v>
      </c>
      <c r="AX64" s="651">
        <f>+AW66-AW64</f>
        <v>0.75857148000000052</v>
      </c>
    </row>
    <row r="65" spans="1:50" ht="21.75" thickBot="1" x14ac:dyDescent="0.4">
      <c r="A65" s="538" t="s">
        <v>94</v>
      </c>
      <c r="B65" s="633">
        <f>+VLOOKUP($A$1,data!$A$165:$AU$195,19)</f>
        <v>0.94276700000000002</v>
      </c>
      <c r="C65" s="633">
        <f>+VLOOKUP($A$1,data!$A$165:$AU$195,20)</f>
        <v>0.98713700000000004</v>
      </c>
      <c r="D65" s="633">
        <f>+VLOOKUP($A$1,data!$A$165:$AU$195,21)</f>
        <v>0.96543699999999999</v>
      </c>
      <c r="E65" s="633">
        <f>+VLOOKUP($A$1,data!$A$165:$AU$195,22)</f>
        <v>1.0684499999999999</v>
      </c>
      <c r="F65" s="633">
        <f>+VLOOKUP($A$1,data!$A$165:$AU$195,23)</f>
        <v>1.0047159999999999</v>
      </c>
      <c r="G65" s="633">
        <f>+VLOOKUP($A$1,data!$A$165:$AU$195,24)</f>
        <v>0.99354600000000004</v>
      </c>
      <c r="H65" s="633">
        <f>+VLOOKUP($A$1,data!$A$165:$AU$195,25)</f>
        <v>1.1089020000000001</v>
      </c>
      <c r="I65" s="633">
        <f>+VLOOKUP($A$1,data!$A$165:$AU$195,26)</f>
        <v>1.246299</v>
      </c>
      <c r="J65" s="633">
        <f>+VLOOKUP($A$1,data!$A$165:$AU$195,27)</f>
        <v>1.120827</v>
      </c>
      <c r="K65" s="633">
        <f>+VLOOKUP($A$1,data!$A$165:$AU$195,28)</f>
        <v>1.0715859999999999</v>
      </c>
      <c r="L65" s="633">
        <f>+VLOOKUP($A$1,data!$A$165:$AU$195,29)</f>
        <v>0.97662700000000002</v>
      </c>
      <c r="M65" s="633">
        <f>+VLOOKUP($A$1,data!$A$165:$AU$195,30)</f>
        <v>1.0756680000000001</v>
      </c>
      <c r="N65" s="633">
        <f>SUM(B65:M65)</f>
        <v>12.561962000000001</v>
      </c>
      <c r="O65" s="636">
        <f t="shared" ref="O65:O66" si="8">SUM(B65:M65)</f>
        <v>12.561962000000001</v>
      </c>
      <c r="P65" s="637">
        <f>+O66-O65</f>
        <v>-0.94386082000000115</v>
      </c>
      <c r="S65" s="601" t="s">
        <v>94</v>
      </c>
      <c r="T65" s="642">
        <f>+VLOOKUP($A$1,data!$A$197:$AU$227,19)</f>
        <v>0.493315</v>
      </c>
      <c r="U65" s="642">
        <f>+VLOOKUP($A$1,data!$A$197:$AU$227,20)</f>
        <v>0.48293599999999998</v>
      </c>
      <c r="V65" s="642">
        <f>+VLOOKUP($A$1,data!$A$197:$AU$227,21)</f>
        <v>0.50674799999999998</v>
      </c>
      <c r="W65" s="642">
        <f>+VLOOKUP($A$1,data!$A$197:$AU$227,22)</f>
        <v>0.52116200000000001</v>
      </c>
      <c r="X65" s="642">
        <f>+VLOOKUP($A$1,data!$A$197:$AU$227,23)</f>
        <v>0.50370400000000004</v>
      </c>
      <c r="Y65" s="642">
        <f>+VLOOKUP($A$1,data!$A$197:$AU$227,24)</f>
        <v>0.53544400000000003</v>
      </c>
      <c r="Z65" s="642">
        <f>+VLOOKUP($A$1,data!$A$197:$AU$227,25)</f>
        <v>0.51558599999999999</v>
      </c>
      <c r="AA65" s="642">
        <f>+VLOOKUP($A$1,data!$A$197:$AU$227,26)</f>
        <v>0.50826700000000002</v>
      </c>
      <c r="AB65" s="642">
        <f>+VLOOKUP($A$1,data!$A$197:$AU$227,27)</f>
        <v>0.52628699999999995</v>
      </c>
      <c r="AC65" s="642">
        <f>+VLOOKUP($A$1,data!$A$197:$AU$227,28)</f>
        <v>0.58573600000000003</v>
      </c>
      <c r="AD65" s="642">
        <f>+VLOOKUP($A$1,data!$A$197:$AU$227,29)</f>
        <v>0.53720100000000004</v>
      </c>
      <c r="AE65" s="642">
        <f>+VLOOKUP($A$1,data!$A$197:$AU$227,30)</f>
        <v>0.55113000000000001</v>
      </c>
      <c r="AF65" s="642">
        <f>SUM(T65:AE65)</f>
        <v>6.2675159999999996</v>
      </c>
      <c r="AG65" s="643">
        <f t="shared" ref="AG65:AG66" si="9">SUM(T65:AE65)</f>
        <v>6.2675159999999996</v>
      </c>
      <c r="AH65" s="644">
        <f>+AG66-AG65</f>
        <v>0.24617742000000042</v>
      </c>
      <c r="AI65" s="617" t="s">
        <v>94</v>
      </c>
      <c r="AJ65" s="649">
        <f>+B65-T65</f>
        <v>0.44945200000000002</v>
      </c>
      <c r="AK65" s="649">
        <f t="shared" si="7"/>
        <v>0.50420100000000012</v>
      </c>
      <c r="AL65" s="649">
        <f t="shared" si="7"/>
        <v>0.45868900000000001</v>
      </c>
      <c r="AM65" s="649">
        <f t="shared" si="7"/>
        <v>0.54728799999999989</v>
      </c>
      <c r="AN65" s="649">
        <f t="shared" si="7"/>
        <v>0.5010119999999999</v>
      </c>
      <c r="AO65" s="649">
        <f t="shared" si="7"/>
        <v>0.45810200000000001</v>
      </c>
      <c r="AP65" s="649">
        <f t="shared" si="7"/>
        <v>0.59331600000000007</v>
      </c>
      <c r="AQ65" s="649">
        <f t="shared" si="7"/>
        <v>0.73803200000000002</v>
      </c>
      <c r="AR65" s="649">
        <f t="shared" si="7"/>
        <v>0.59454000000000007</v>
      </c>
      <c r="AS65" s="649">
        <f t="shared" si="7"/>
        <v>0.48584999999999989</v>
      </c>
      <c r="AT65" s="649">
        <f t="shared" si="7"/>
        <v>0.43942599999999998</v>
      </c>
      <c r="AU65" s="649">
        <f t="shared" si="7"/>
        <v>0.52453800000000006</v>
      </c>
      <c r="AV65" s="649">
        <f>SUM(AJ65:AU65)</f>
        <v>6.2944460000000007</v>
      </c>
      <c r="AW65" s="652">
        <f t="shared" ref="AW65:AW66" si="10">SUM(AJ65:AU65)</f>
        <v>6.2944460000000007</v>
      </c>
      <c r="AX65" s="653">
        <f>+AW66-AW65</f>
        <v>-1.1900382399999998</v>
      </c>
    </row>
    <row r="66" spans="1:50" ht="21.75" thickBot="1" x14ac:dyDescent="0.4">
      <c r="A66" s="546" t="s">
        <v>93</v>
      </c>
      <c r="B66" s="634">
        <f>+VLOOKUP($A$1,data!$A$165:$AU$195,3)</f>
        <v>0.89837222999999999</v>
      </c>
      <c r="C66" s="634">
        <f>+VLOOKUP($A$1,data!$A$165:$AU$195,4)</f>
        <v>0.91629751000000004</v>
      </c>
      <c r="D66" s="634">
        <f>+VLOOKUP($A$1,data!$A$165:$AU$195,5)</f>
        <v>0.91252739000000005</v>
      </c>
      <c r="E66" s="634">
        <f>+VLOOKUP($A$1,data!$A$165:$AU$195,6)</f>
        <v>0.95132040000000007</v>
      </c>
      <c r="F66" s="634">
        <f>+VLOOKUP($A$1,data!$A$165:$AU$195,7)</f>
        <v>0.91251804000000003</v>
      </c>
      <c r="G66" s="634">
        <f>+VLOOKUP($A$1,data!$A$165:$AU$195,8)</f>
        <v>0.97814657000000005</v>
      </c>
      <c r="H66" s="634">
        <f>+VLOOKUP($A$1,data!$A$165:$AU$195,9)</f>
        <v>1.0679179999999999</v>
      </c>
      <c r="I66" s="634">
        <f>+VLOOKUP($A$1,data!$A$165:$AU$195,10)</f>
        <v>1.00035254</v>
      </c>
      <c r="J66" s="634">
        <f>+VLOOKUP($A$1,data!$A$165:$AU$195,11)</f>
        <v>1.0495050500000001</v>
      </c>
      <c r="K66" s="634">
        <f>+VLOOKUP($A$1,data!$A$165:$AU$195,12)</f>
        <v>0.93953369999999992</v>
      </c>
      <c r="L66" s="634">
        <f>+VLOOKUP($A$1,data!$A$165:$AU$195,13)</f>
        <v>0.99885525000000008</v>
      </c>
      <c r="M66" s="634">
        <f>+VLOOKUP($A$1,data!$A$165:$AU$195,14)</f>
        <v>0.9927545000000001</v>
      </c>
      <c r="N66" s="634">
        <f>SUM(B66:M66)</f>
        <v>11.61810118</v>
      </c>
      <c r="O66" s="638">
        <f t="shared" si="8"/>
        <v>11.61810118</v>
      </c>
      <c r="P66" s="639"/>
      <c r="S66" s="608" t="s">
        <v>93</v>
      </c>
      <c r="T66" s="645">
        <f>+VLOOKUP($A$1,data!$A$197:$AU$227,3)</f>
        <v>0.46512808999999999</v>
      </c>
      <c r="U66" s="645">
        <f>+VLOOKUP($A$1,data!$A$197:$AU$227,4)</f>
        <v>0.47190141999999996</v>
      </c>
      <c r="V66" s="645">
        <f>+VLOOKUP($A$1,data!$A$197:$AU$227,5)</f>
        <v>0.61791921000000005</v>
      </c>
      <c r="W66" s="645">
        <f>+VLOOKUP($A$1,data!$A$197:$AU$227,6)</f>
        <v>0.47325707999999989</v>
      </c>
      <c r="X66" s="645">
        <f>+VLOOKUP($A$1,data!$A$197:$AU$227,7)</f>
        <v>0.49445043000000005</v>
      </c>
      <c r="Y66" s="645">
        <f>+VLOOKUP($A$1,data!$A$197:$AU$227,8)</f>
        <v>0.59802843000000006</v>
      </c>
      <c r="Z66" s="645">
        <f>+VLOOKUP($A$1,data!$A$197:$AU$227,9)</f>
        <v>0.49599746000000006</v>
      </c>
      <c r="AA66" s="645">
        <f>+VLOOKUP($A$1,data!$A$197:$AU$227,10)</f>
        <v>0.57580823000000014</v>
      </c>
      <c r="AB66" s="645">
        <f>+VLOOKUP($A$1,data!$A$197:$AU$227,11)</f>
        <v>0.59075118999999987</v>
      </c>
      <c r="AC66" s="645">
        <f>+VLOOKUP($A$1,data!$A$197:$AU$227,12)</f>
        <v>0.58479782000000002</v>
      </c>
      <c r="AD66" s="645">
        <f>+VLOOKUP($A$1,data!$A$197:$AU$227,13)</f>
        <v>0.54287258999999999</v>
      </c>
      <c r="AE66" s="645">
        <f>+VLOOKUP($A$1,data!$A$197:$AU$227,14)</f>
        <v>0.60278147000000004</v>
      </c>
      <c r="AF66" s="645">
        <f>SUM(T66:AE66)</f>
        <v>6.5136934200000001</v>
      </c>
      <c r="AG66" s="646">
        <f t="shared" si="9"/>
        <v>6.5136934200000001</v>
      </c>
      <c r="AH66" s="647"/>
      <c r="AI66" s="624" t="s">
        <v>93</v>
      </c>
      <c r="AJ66" s="650">
        <f>+B66-T66</f>
        <v>0.43324414</v>
      </c>
      <c r="AK66" s="650">
        <f t="shared" si="7"/>
        <v>0.44439609000000008</v>
      </c>
      <c r="AL66" s="650">
        <f t="shared" si="7"/>
        <v>0.29460818</v>
      </c>
      <c r="AM66" s="650">
        <f t="shared" si="7"/>
        <v>0.47806332000000018</v>
      </c>
      <c r="AN66" s="650">
        <f t="shared" si="7"/>
        <v>0.41806760999999998</v>
      </c>
      <c r="AO66" s="650">
        <f t="shared" si="7"/>
        <v>0.38011813999999999</v>
      </c>
      <c r="AP66" s="650">
        <f t="shared" si="7"/>
        <v>0.57192053999999981</v>
      </c>
      <c r="AQ66" s="650">
        <f t="shared" si="7"/>
        <v>0.42454430999999981</v>
      </c>
      <c r="AR66" s="650">
        <f t="shared" si="7"/>
        <v>0.45875386000000018</v>
      </c>
      <c r="AS66" s="650">
        <f>+K66-AC66</f>
        <v>0.35473587999999989</v>
      </c>
      <c r="AT66" s="650">
        <f>+L66-AD66</f>
        <v>0.4559826600000001</v>
      </c>
      <c r="AU66" s="650">
        <f>+M66-AE66</f>
        <v>0.38997303000000005</v>
      </c>
      <c r="AV66" s="650">
        <f>SUM(AJ66:AU66)</f>
        <v>5.1044077600000008</v>
      </c>
      <c r="AW66" s="654">
        <f t="shared" si="10"/>
        <v>5.1044077600000008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0.83627439999999997</v>
      </c>
      <c r="D85" s="628">
        <f t="shared" ref="D85:N87" si="11">+C85+C64</f>
        <v>1.6991967400000001</v>
      </c>
      <c r="E85" s="628">
        <f t="shared" si="11"/>
        <v>2.5487243399999997</v>
      </c>
      <c r="F85" s="628">
        <f t="shared" si="11"/>
        <v>3.49536699</v>
      </c>
      <c r="G85" s="628">
        <f t="shared" si="11"/>
        <v>4.4288471300000003</v>
      </c>
      <c r="H85" s="628">
        <f t="shared" si="11"/>
        <v>5.3094728100000008</v>
      </c>
      <c r="I85" s="628">
        <f t="shared" si="11"/>
        <v>6.2719615700000011</v>
      </c>
      <c r="J85" s="628">
        <f t="shared" si="11"/>
        <v>7.4781681400000011</v>
      </c>
      <c r="K85" s="628">
        <f t="shared" si="11"/>
        <v>8.4629218800000015</v>
      </c>
      <c r="L85" s="628">
        <f t="shared" si="11"/>
        <v>9.4211298900000013</v>
      </c>
      <c r="M85" s="628">
        <f t="shared" si="11"/>
        <v>10.176380220000002</v>
      </c>
      <c r="N85" s="628">
        <f t="shared" si="11"/>
        <v>11.145734520000001</v>
      </c>
      <c r="S85"/>
      <c r="T85" s="605" t="s">
        <v>92</v>
      </c>
      <c r="U85" s="640">
        <f>+T64</f>
        <v>0.51829723999999988</v>
      </c>
      <c r="V85" s="640">
        <f t="shared" ref="V85:AF87" si="12">+U85+U64</f>
        <v>1.06520945</v>
      </c>
      <c r="W85" s="640">
        <f t="shared" si="12"/>
        <v>1.6336378800000002</v>
      </c>
      <c r="X85" s="640">
        <f t="shared" si="12"/>
        <v>2.1710191999999999</v>
      </c>
      <c r="Y85" s="640">
        <f t="shared" si="12"/>
        <v>2.71003127</v>
      </c>
      <c r="Z85" s="640">
        <f t="shared" si="12"/>
        <v>3.29514599</v>
      </c>
      <c r="AA85" s="640">
        <f t="shared" si="12"/>
        <v>3.8550618700000001</v>
      </c>
      <c r="AB85" s="640">
        <f t="shared" si="12"/>
        <v>4.3984577800000002</v>
      </c>
      <c r="AC85" s="640">
        <f t="shared" si="12"/>
        <v>4.9055077600000008</v>
      </c>
      <c r="AD85" s="640">
        <f t="shared" si="12"/>
        <v>5.7849941300000012</v>
      </c>
      <c r="AE85" s="640">
        <f t="shared" si="12"/>
        <v>6.2867955900000014</v>
      </c>
      <c r="AF85" s="640">
        <f t="shared" si="12"/>
        <v>6.799898240000001</v>
      </c>
      <c r="AG85" s="158"/>
      <c r="AH85" s="158"/>
      <c r="AI85"/>
      <c r="AJ85" s="621" t="s">
        <v>92</v>
      </c>
      <c r="AK85" s="648">
        <f>+AJ64</f>
        <v>0.31797716000000009</v>
      </c>
      <c r="AL85" s="648">
        <f t="shared" ref="AL85:AV87" si="13">+AK85+AK64</f>
        <v>0.63398728999999998</v>
      </c>
      <c r="AM85" s="648">
        <f t="shared" si="13"/>
        <v>0.91508645999999971</v>
      </c>
      <c r="AN85" s="648">
        <f t="shared" si="13"/>
        <v>1.32434779</v>
      </c>
      <c r="AO85" s="648">
        <f t="shared" si="13"/>
        <v>1.7188158600000001</v>
      </c>
      <c r="AP85" s="648">
        <f t="shared" si="13"/>
        <v>2.01432682</v>
      </c>
      <c r="AQ85" s="648">
        <f t="shared" si="13"/>
        <v>2.4168997000000001</v>
      </c>
      <c r="AR85" s="648">
        <f t="shared" si="13"/>
        <v>3.07971036</v>
      </c>
      <c r="AS85" s="648">
        <f t="shared" si="13"/>
        <v>3.5574141199999998</v>
      </c>
      <c r="AT85" s="648">
        <f t="shared" si="13"/>
        <v>3.6361357600000002</v>
      </c>
      <c r="AU85" s="648">
        <f t="shared" si="13"/>
        <v>3.8895846300000003</v>
      </c>
      <c r="AV85" s="648">
        <f t="shared" si="13"/>
        <v>4.3458362800000003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0.94276700000000002</v>
      </c>
      <c r="D86" s="633">
        <f t="shared" si="11"/>
        <v>1.9299040000000001</v>
      </c>
      <c r="E86" s="633">
        <f t="shared" si="11"/>
        <v>2.8953410000000002</v>
      </c>
      <c r="F86" s="633">
        <f t="shared" si="11"/>
        <v>3.9637910000000001</v>
      </c>
      <c r="G86" s="633">
        <f t="shared" si="11"/>
        <v>4.9685069999999998</v>
      </c>
      <c r="H86" s="633">
        <f t="shared" si="11"/>
        <v>5.962053</v>
      </c>
      <c r="I86" s="633">
        <f t="shared" si="11"/>
        <v>7.0709549999999997</v>
      </c>
      <c r="J86" s="633">
        <f t="shared" si="11"/>
        <v>8.3172540000000001</v>
      </c>
      <c r="K86" s="633">
        <f t="shared" si="11"/>
        <v>9.4380810000000004</v>
      </c>
      <c r="L86" s="633">
        <f t="shared" si="11"/>
        <v>10.509667</v>
      </c>
      <c r="M86" s="633">
        <f t="shared" si="11"/>
        <v>11.486294000000001</v>
      </c>
      <c r="N86" s="633">
        <f t="shared" si="11"/>
        <v>12.561962000000001</v>
      </c>
      <c r="S86"/>
      <c r="T86" s="601" t="s">
        <v>94</v>
      </c>
      <c r="U86" s="642">
        <f>+T65</f>
        <v>0.493315</v>
      </c>
      <c r="V86" s="642">
        <f t="shared" si="12"/>
        <v>0.97625099999999998</v>
      </c>
      <c r="W86" s="642">
        <f t="shared" si="12"/>
        <v>1.482999</v>
      </c>
      <c r="X86" s="642">
        <f t="shared" si="12"/>
        <v>2.0041609999999999</v>
      </c>
      <c r="Y86" s="642">
        <f t="shared" si="12"/>
        <v>2.5078649999999998</v>
      </c>
      <c r="Z86" s="642">
        <f t="shared" si="12"/>
        <v>3.0433089999999998</v>
      </c>
      <c r="AA86" s="642">
        <f t="shared" si="12"/>
        <v>3.5588949999999997</v>
      </c>
      <c r="AB86" s="642">
        <f t="shared" si="12"/>
        <v>4.0671619999999997</v>
      </c>
      <c r="AC86" s="642">
        <f t="shared" si="12"/>
        <v>4.5934489999999997</v>
      </c>
      <c r="AD86" s="642">
        <f t="shared" si="12"/>
        <v>5.1791849999999995</v>
      </c>
      <c r="AE86" s="642">
        <f t="shared" si="12"/>
        <v>5.716386</v>
      </c>
      <c r="AF86" s="642">
        <f t="shared" si="12"/>
        <v>6.2675159999999996</v>
      </c>
      <c r="AG86" s="158"/>
      <c r="AH86" s="158"/>
      <c r="AI86"/>
      <c r="AJ86" s="617" t="s">
        <v>94</v>
      </c>
      <c r="AK86" s="649">
        <f>+AJ65</f>
        <v>0.44945200000000002</v>
      </c>
      <c r="AL86" s="649">
        <f t="shared" si="13"/>
        <v>0.95365300000000008</v>
      </c>
      <c r="AM86" s="649">
        <f t="shared" si="13"/>
        <v>1.4123420000000002</v>
      </c>
      <c r="AN86" s="649">
        <f t="shared" si="13"/>
        <v>1.9596300000000002</v>
      </c>
      <c r="AO86" s="649">
        <f t="shared" si="13"/>
        <v>2.460642</v>
      </c>
      <c r="AP86" s="649">
        <f t="shared" si="13"/>
        <v>2.9187440000000002</v>
      </c>
      <c r="AQ86" s="649">
        <f t="shared" si="13"/>
        <v>3.5120600000000004</v>
      </c>
      <c r="AR86" s="649">
        <f t="shared" si="13"/>
        <v>4.2500920000000004</v>
      </c>
      <c r="AS86" s="649">
        <f t="shared" si="13"/>
        <v>4.8446320000000007</v>
      </c>
      <c r="AT86" s="649">
        <f t="shared" si="13"/>
        <v>5.3304820000000008</v>
      </c>
      <c r="AU86" s="649">
        <f t="shared" si="13"/>
        <v>5.7699080000000009</v>
      </c>
      <c r="AV86" s="649">
        <f t="shared" si="13"/>
        <v>6.2944460000000007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0.89837222999999999</v>
      </c>
      <c r="D87" s="629">
        <f t="shared" si="11"/>
        <v>1.81466974</v>
      </c>
      <c r="E87" s="629">
        <f t="shared" si="11"/>
        <v>2.72719713</v>
      </c>
      <c r="F87" s="629">
        <f t="shared" si="11"/>
        <v>3.6785175300000001</v>
      </c>
      <c r="G87" s="629">
        <f t="shared" si="11"/>
        <v>4.5910355699999998</v>
      </c>
      <c r="H87" s="629">
        <f t="shared" si="11"/>
        <v>5.5691821399999997</v>
      </c>
      <c r="I87" s="629">
        <f t="shared" si="11"/>
        <v>6.6371001399999994</v>
      </c>
      <c r="J87" s="629">
        <f t="shared" si="11"/>
        <v>7.6374526799999991</v>
      </c>
      <c r="K87" s="629">
        <f t="shared" si="11"/>
        <v>8.6869577299999996</v>
      </c>
      <c r="L87" s="629">
        <f t="shared" si="11"/>
        <v>9.6264914299999997</v>
      </c>
      <c r="M87" s="629">
        <f t="shared" si="11"/>
        <v>10.62534668</v>
      </c>
      <c r="N87" s="629">
        <f t="shared" si="11"/>
        <v>11.61810118</v>
      </c>
      <c r="S87"/>
      <c r="T87" s="608" t="s">
        <v>93</v>
      </c>
      <c r="U87" s="645">
        <f>+T66</f>
        <v>0.46512808999999999</v>
      </c>
      <c r="V87" s="645">
        <f t="shared" si="12"/>
        <v>0.9370295099999999</v>
      </c>
      <c r="W87" s="645">
        <f t="shared" si="12"/>
        <v>1.5549487200000001</v>
      </c>
      <c r="X87" s="645">
        <f t="shared" si="12"/>
        <v>2.0282057999999998</v>
      </c>
      <c r="Y87" s="645">
        <f t="shared" si="12"/>
        <v>2.5226562299999999</v>
      </c>
      <c r="Z87" s="645">
        <f t="shared" si="12"/>
        <v>3.1206846600000002</v>
      </c>
      <c r="AA87" s="645">
        <f t="shared" si="12"/>
        <v>3.6166821200000001</v>
      </c>
      <c r="AB87" s="645">
        <f t="shared" si="12"/>
        <v>4.1924903499999999</v>
      </c>
      <c r="AC87" s="645">
        <f t="shared" si="12"/>
        <v>4.7832415399999997</v>
      </c>
      <c r="AD87" s="645">
        <f t="shared" si="12"/>
        <v>5.36803936</v>
      </c>
      <c r="AE87" s="645">
        <f t="shared" si="12"/>
        <v>5.91091195</v>
      </c>
      <c r="AF87" s="645">
        <f t="shared" si="12"/>
        <v>6.5136934200000001</v>
      </c>
      <c r="AG87" s="158"/>
      <c r="AH87" s="158"/>
      <c r="AI87"/>
      <c r="AJ87" s="624" t="s">
        <v>93</v>
      </c>
      <c r="AK87" s="650">
        <f>+AJ66</f>
        <v>0.43324414</v>
      </c>
      <c r="AL87" s="650">
        <f t="shared" si="13"/>
        <v>0.87764023000000013</v>
      </c>
      <c r="AM87" s="650">
        <f t="shared" si="13"/>
        <v>1.1722484100000001</v>
      </c>
      <c r="AN87" s="650">
        <f t="shared" si="13"/>
        <v>1.6503117300000003</v>
      </c>
      <c r="AO87" s="650">
        <f t="shared" si="13"/>
        <v>2.0683793400000003</v>
      </c>
      <c r="AP87" s="650">
        <f t="shared" si="13"/>
        <v>2.4484974800000003</v>
      </c>
      <c r="AQ87" s="650">
        <f t="shared" si="13"/>
        <v>3.0204180200000001</v>
      </c>
      <c r="AR87" s="650">
        <f t="shared" si="13"/>
        <v>3.4449623300000001</v>
      </c>
      <c r="AS87" s="650">
        <f t="shared" si="13"/>
        <v>3.9037161900000004</v>
      </c>
      <c r="AT87" s="650">
        <f t="shared" si="13"/>
        <v>4.2584520700000006</v>
      </c>
      <c r="AU87" s="650">
        <f t="shared" si="13"/>
        <v>4.7144347300000007</v>
      </c>
      <c r="AV87" s="650">
        <f t="shared" si="13"/>
        <v>5.1044077600000008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AN16:AN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BG16:BG17"/>
    <mergeCell ref="BH16:BH17"/>
    <mergeCell ref="BI16:BI17"/>
    <mergeCell ref="AS16:AS17"/>
    <mergeCell ref="AT16:AT17"/>
    <mergeCell ref="AU16:AU17"/>
    <mergeCell ref="AV16:AV17"/>
    <mergeCell ref="AY16:AY17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G37:G38"/>
    <mergeCell ref="AM16:AM17"/>
    <mergeCell ref="AM37:AM38"/>
    <mergeCell ref="J16:J17"/>
    <mergeCell ref="K16:K17"/>
    <mergeCell ref="AZ16:AZ17"/>
    <mergeCell ref="BA16:BA17"/>
    <mergeCell ref="BC16:BC17"/>
    <mergeCell ref="BD16:BD17"/>
    <mergeCell ref="BE16:BE17"/>
    <mergeCell ref="BF16:BF17"/>
    <mergeCell ref="BB16:BB17"/>
    <mergeCell ref="AN37:AN38"/>
    <mergeCell ref="H37:H38"/>
    <mergeCell ref="I37:I38"/>
    <mergeCell ref="J37:J38"/>
    <mergeCell ref="K37:K38"/>
    <mergeCell ref="L37:L38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S62:S63"/>
    <mergeCell ref="T62:T63"/>
    <mergeCell ref="AU62:AU63"/>
    <mergeCell ref="AV62:AV63"/>
    <mergeCell ref="Z62:Z63"/>
    <mergeCell ref="AA62:AA63"/>
    <mergeCell ref="AB62:AB63"/>
    <mergeCell ref="B83:B84"/>
    <mergeCell ref="C83:C84"/>
    <mergeCell ref="D83:D84"/>
    <mergeCell ref="E83:E84"/>
    <mergeCell ref="F83:F84"/>
    <mergeCell ref="G83:G84"/>
    <mergeCell ref="H83:H84"/>
    <mergeCell ref="I83:I84"/>
    <mergeCell ref="AT62:AT63"/>
    <mergeCell ref="AP62:AP63"/>
    <mergeCell ref="AQ62:AQ63"/>
    <mergeCell ref="AR62:AR63"/>
    <mergeCell ref="AS62:AS63"/>
    <mergeCell ref="W62:W63"/>
    <mergeCell ref="X62:X63"/>
    <mergeCell ref="Y62:Y63"/>
    <mergeCell ref="AN62:AN63"/>
    <mergeCell ref="AO62:AO63"/>
    <mergeCell ref="AF62:AF63"/>
    <mergeCell ref="AI62:AI63"/>
    <mergeCell ref="AJ62:AJ63"/>
    <mergeCell ref="AK62:AK63"/>
    <mergeCell ref="AL62:AL63"/>
    <mergeCell ref="AM62:AM63"/>
    <mergeCell ref="J83:J84"/>
    <mergeCell ref="K83:K84"/>
    <mergeCell ref="L83:L84"/>
    <mergeCell ref="M83:M84"/>
    <mergeCell ref="N83:N84"/>
    <mergeCell ref="AB83:AB84"/>
    <mergeCell ref="Z83:Z84"/>
    <mergeCell ref="AA83:AA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C62:AC63"/>
    <mergeCell ref="AD62:AD63"/>
    <mergeCell ref="AE62:AE63"/>
    <mergeCell ref="AC83:AC84"/>
    <mergeCell ref="AD83:AD84"/>
    <mergeCell ref="AE83:AE84"/>
    <mergeCell ref="AF83:AF84"/>
    <mergeCell ref="AL83:AL84"/>
    <mergeCell ref="AM83:AM84"/>
    <mergeCell ref="AN83:AN84"/>
    <mergeCell ref="T21:U21"/>
    <mergeCell ref="T22:U22"/>
    <mergeCell ref="T23:U23"/>
    <mergeCell ref="T1:AD1"/>
    <mergeCell ref="AE1:AH1"/>
    <mergeCell ref="T19:U20"/>
    <mergeCell ref="V19:W19"/>
    <mergeCell ref="X19:Y19"/>
    <mergeCell ref="Z19:AA19"/>
    <mergeCell ref="AB19:AC19"/>
    <mergeCell ref="AD19:AE19"/>
    <mergeCell ref="AJ83:AJ84"/>
    <mergeCell ref="AK83:AK84"/>
    <mergeCell ref="U62:U63"/>
    <mergeCell ref="V62:V63"/>
  </mergeCells>
  <conditionalFormatting sqref="P21:R22 Q18:R20 AH18:AH22">
    <cfRule type="cellIs" dxfId="14" priority="15" operator="lessThan">
      <formula>0</formula>
    </cfRule>
  </conditionalFormatting>
  <conditionalFormatting sqref="O41">
    <cfRule type="cellIs" dxfId="13" priority="14" operator="lessThan">
      <formula>0</formula>
    </cfRule>
  </conditionalFormatting>
  <conditionalFormatting sqref="AX18:AX22">
    <cfRule type="cellIs" dxfId="12" priority="13" operator="lessThan">
      <formula>0</formula>
    </cfRule>
  </conditionalFormatting>
  <conditionalFormatting sqref="BN21:BN22">
    <cfRule type="cellIs" dxfId="11" priority="12" operator="lessThan">
      <formula>0</formula>
    </cfRule>
  </conditionalFormatting>
  <conditionalFormatting sqref="BB43:BB46">
    <cfRule type="cellIs" dxfId="10" priority="11" operator="greaterThan">
      <formula>0</formula>
    </cfRule>
  </conditionalFormatting>
  <conditionalFormatting sqref="AX18:AX20">
    <cfRule type="cellIs" dxfId="9" priority="10" operator="lessThan">
      <formula>0</formula>
    </cfRule>
  </conditionalFormatting>
  <conditionalFormatting sqref="BN18:BN20">
    <cfRule type="cellIs" dxfId="8" priority="9" operator="greaterThan">
      <formula>0</formula>
    </cfRule>
  </conditionalFormatting>
  <conditionalFormatting sqref="P18:P20">
    <cfRule type="cellIs" dxfId="7" priority="8" operator="lessThan">
      <formula>0</formula>
    </cfRule>
  </conditionalFormatting>
  <conditionalFormatting sqref="P67:P68">
    <cfRule type="cellIs" dxfId="6" priority="7" operator="lessThan">
      <formula>0</formula>
    </cfRule>
  </conditionalFormatting>
  <conditionalFormatting sqref="P64:P66">
    <cfRule type="cellIs" dxfId="5" priority="6" operator="lessThan">
      <formula>0</formula>
    </cfRule>
  </conditionalFormatting>
  <conditionalFormatting sqref="AH67:AH68">
    <cfRule type="cellIs" dxfId="4" priority="5" operator="lessThan">
      <formula>0</formula>
    </cfRule>
  </conditionalFormatting>
  <conditionalFormatting sqref="AH64:AH66">
    <cfRule type="cellIs" dxfId="3" priority="4" operator="greaterThan">
      <formula>0</formula>
    </cfRule>
  </conditionalFormatting>
  <conditionalFormatting sqref="AX67:AX68">
    <cfRule type="cellIs" dxfId="2" priority="3" operator="lessThan">
      <formula>0</formula>
    </cfRule>
  </conditionalFormatting>
  <conditionalFormatting sqref="AX64:AX66">
    <cfRule type="cellIs" dxfId="1" priority="2" operator="lessThan">
      <formula>0</formula>
    </cfRule>
  </conditionalFormatting>
  <conditionalFormatting sqref="S21:T23 V21:AG23">
    <cfRule type="cellIs" dxfId="0" priority="1" operator="lessThan">
      <formula>0</formula>
    </cfRule>
  </conditionalFormatting>
  <pageMargins left="0.28000000000000003" right="0.19685039370078741" top="0.74803149606299213" bottom="0.18" header="0.31496062992125984" footer="0.31496062992125984"/>
  <pageSetup paperSize="9" scale="80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P87"/>
  <sheetViews>
    <sheetView showGridLines="0" showWhiteSpace="0" view="pageLayout" zoomScale="115" zoomScaleNormal="100" zoomScalePageLayoutView="115" workbookViewId="0">
      <selection activeCell="N16" sqref="N16:N17"/>
    </sheetView>
  </sheetViews>
  <sheetFormatPr defaultRowHeight="21" x14ac:dyDescent="0.35"/>
  <cols>
    <col min="1" max="1" width="9" style="158" bestFit="1" customWidth="1"/>
    <col min="2" max="2" width="6.125" style="158" bestFit="1" customWidth="1"/>
    <col min="3" max="3" width="4.75" style="158" bestFit="1" customWidth="1"/>
    <col min="4" max="5" width="6" style="158" bestFit="1" customWidth="1"/>
    <col min="6" max="6" width="6.125" style="158" bestFit="1" customWidth="1"/>
    <col min="7" max="11" width="6.25" style="158" bestFit="1" customWidth="1"/>
    <col min="12" max="12" width="6.125" style="158" bestFit="1" customWidth="1"/>
    <col min="13" max="14" width="6.25" style="158" bestFit="1" customWidth="1"/>
    <col min="15" max="15" width="8" style="158" bestFit="1" customWidth="1"/>
    <col min="16" max="16" width="6.25" style="158" customWidth="1"/>
    <col min="17" max="17" width="7.125" style="299" customWidth="1"/>
    <col min="18" max="18" width="5.8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6.75" customWidth="1"/>
    <col min="35" max="35" width="12.25" style="158" bestFit="1" customWidth="1"/>
    <col min="36" max="36" width="6.25" style="158" bestFit="1" customWidth="1"/>
    <col min="37" max="38" width="6.125" style="158" bestFit="1" customWidth="1"/>
    <col min="39" max="39" width="6.25" style="158" bestFit="1" customWidth="1"/>
    <col min="40" max="40" width="7" style="158" bestFit="1" customWidth="1"/>
    <col min="41" max="44" width="7" bestFit="1" customWidth="1"/>
    <col min="45" max="45" width="7.125" bestFit="1" customWidth="1"/>
    <col min="46" max="46" width="7" bestFit="1" customWidth="1"/>
    <col min="47" max="48" width="7.125" bestFit="1" customWidth="1"/>
    <col min="49" max="49" width="7.375" bestFit="1" customWidth="1"/>
    <col min="50" max="50" width="8.25" bestFit="1" customWidth="1"/>
    <col min="51" max="51" width="6.75" style="710" customWidth="1"/>
    <col min="52" max="52" width="10.625" customWidth="1"/>
    <col min="53" max="55" width="6.875" bestFit="1" customWidth="1"/>
    <col min="56" max="56" width="7.375" bestFit="1" customWidth="1"/>
    <col min="57" max="62" width="6.875" bestFit="1" customWidth="1"/>
    <col min="63" max="63" width="7" bestFit="1" customWidth="1"/>
    <col min="64" max="64" width="6.875" bestFit="1" customWidth="1"/>
    <col min="65" max="66" width="7.25" bestFit="1" customWidth="1"/>
    <col min="67" max="68" width="6.875" bestFit="1" customWidth="1"/>
  </cols>
  <sheetData>
    <row r="1" spans="1:67" ht="27" thickBot="1" x14ac:dyDescent="0.25">
      <c r="A1" s="248">
        <v>1004</v>
      </c>
      <c r="B1" s="817" t="str">
        <f>+VLOOKUP($A$1,data!$A$4:$AH$32,2,0)</f>
        <v>เชียงใหม่(พ)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1004</v>
      </c>
      <c r="T1" s="817" t="str">
        <f>+VLOOKUP($A$1,data!$A$4:$AH$32,2,0)</f>
        <v>เชียงใหม่(พ)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1004</v>
      </c>
      <c r="AJ1" s="817" t="str">
        <f>+VLOOKUP($A$1,data!$A$4:$AH$32,2,0)</f>
        <v>เชียงใหม่(พ)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708"/>
      <c r="AZ1" s="659">
        <f>+A1</f>
        <v>1004</v>
      </c>
      <c r="BA1" s="817" t="str">
        <f>+VLOOKUP($A$1,data!$A$4:$AH$32,2,0)</f>
        <v>เชียงใหม่(พ)</v>
      </c>
      <c r="BB1" s="818"/>
      <c r="BC1" s="818"/>
      <c r="BD1" s="818"/>
      <c r="BE1" s="818"/>
      <c r="BF1" s="818"/>
      <c r="BG1" s="818"/>
      <c r="BH1" s="818"/>
      <c r="BI1" s="818"/>
      <c r="BJ1" s="819"/>
      <c r="BK1" s="817" t="s">
        <v>114</v>
      </c>
      <c r="BL1" s="818"/>
      <c r="BM1" s="818"/>
      <c r="BN1" s="818"/>
      <c r="BO1" s="820"/>
    </row>
    <row r="2" spans="1:67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299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</row>
    <row r="3" spans="1:67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299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</row>
    <row r="4" spans="1:67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299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</row>
    <row r="5" spans="1:67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299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</row>
    <row r="6" spans="1:67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299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</row>
    <row r="7" spans="1:67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299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</row>
    <row r="8" spans="1:67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99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  <c r="BO8" s="158"/>
    </row>
    <row r="9" spans="1:67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299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</row>
    <row r="10" spans="1:67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299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  <c r="BO10" s="158"/>
    </row>
    <row r="11" spans="1:67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299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</row>
    <row r="12" spans="1:67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299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</row>
    <row r="13" spans="1:67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299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</row>
    <row r="14" spans="1:67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299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</row>
    <row r="15" spans="1:67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299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</row>
    <row r="16" spans="1:67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696" t="s">
        <v>90</v>
      </c>
      <c r="AY16" s="687"/>
      <c r="AZ16" s="856" t="s">
        <v>116</v>
      </c>
      <c r="BA16" s="821" t="s">
        <v>74</v>
      </c>
      <c r="BB16" s="821" t="s">
        <v>75</v>
      </c>
      <c r="BC16" s="821" t="s">
        <v>76</v>
      </c>
      <c r="BD16" s="821" t="s">
        <v>77</v>
      </c>
      <c r="BE16" s="821" t="s">
        <v>78</v>
      </c>
      <c r="BF16" s="821" t="s">
        <v>79</v>
      </c>
      <c r="BG16" s="821" t="s">
        <v>80</v>
      </c>
      <c r="BH16" s="821" t="s">
        <v>81</v>
      </c>
      <c r="BI16" s="821" t="s">
        <v>82</v>
      </c>
      <c r="BJ16" s="821" t="s">
        <v>83</v>
      </c>
      <c r="BK16" s="821" t="s">
        <v>84</v>
      </c>
      <c r="BL16" s="821" t="s">
        <v>85</v>
      </c>
      <c r="BM16" s="821" t="s">
        <v>95</v>
      </c>
      <c r="BN16" s="465" t="s">
        <v>89</v>
      </c>
      <c r="BO16" s="465" t="s">
        <v>90</v>
      </c>
    </row>
    <row r="17" spans="1:67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697" t="s">
        <v>91</v>
      </c>
      <c r="AY17" s="687"/>
      <c r="AZ17" s="857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822"/>
      <c r="BN17" s="466" t="str">
        <f>+O17</f>
        <v>12 เดือน</v>
      </c>
      <c r="BO17" s="466" t="s">
        <v>91</v>
      </c>
    </row>
    <row r="18" spans="1:67" s="247" customFormat="1" ht="22.5" thickTop="1" thickBot="1" x14ac:dyDescent="0.4">
      <c r="A18" s="405" t="s">
        <v>92</v>
      </c>
      <c r="B18" s="406">
        <f>+VLOOKUP($A$1,data!$A$37:$AU$67,35)</f>
        <v>293</v>
      </c>
      <c r="C18" s="406">
        <f>+VLOOKUP($A$1,data!$A$37:$AU$67,36)</f>
        <v>516</v>
      </c>
      <c r="D18" s="406">
        <f>+VLOOKUP($A$1,data!$A$37:$AU$67,37)</f>
        <v>482</v>
      </c>
      <c r="E18" s="406">
        <f>+VLOOKUP($A$1,data!$A$37:$AU$67,38)</f>
        <v>301</v>
      </c>
      <c r="F18" s="406">
        <f>+VLOOKUP($A$1,data!$A$37:$AU$67,39)</f>
        <v>434</v>
      </c>
      <c r="G18" s="406">
        <f>+VLOOKUP($A$1,data!$A$37:$AU$67,40)</f>
        <v>492</v>
      </c>
      <c r="H18" s="406">
        <f>+VLOOKUP($A$1,data!$A$37:$AU$67,41)</f>
        <v>539</v>
      </c>
      <c r="I18" s="406">
        <f>+VLOOKUP($A$1,data!$A$37:$AU$67,42)</f>
        <v>621</v>
      </c>
      <c r="J18" s="406">
        <f>+VLOOKUP($A$1,data!$A$37:$AU$67,43)</f>
        <v>764</v>
      </c>
      <c r="K18" s="406">
        <f>+VLOOKUP($A$1,data!$A$37:$AU$67,44)</f>
        <v>612</v>
      </c>
      <c r="L18" s="406">
        <f>+VLOOKUP($A$1,data!$A$37:$AU$67,45)</f>
        <v>732</v>
      </c>
      <c r="M18" s="406">
        <f>+VLOOKUP($A$1,data!$A$37:$AU$67,46)</f>
        <v>803</v>
      </c>
      <c r="N18" s="406">
        <f>SUM(B18:M18)</f>
        <v>6589</v>
      </c>
      <c r="O18" s="406">
        <f>SUM(B18:M18)</f>
        <v>6589</v>
      </c>
      <c r="P18" s="407">
        <f>+O20-O18</f>
        <v>4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2.6210870000000002</v>
      </c>
      <c r="AK18" s="418">
        <f>+VLOOKUP($A$1,data!$A$69:$AU$99,36)</f>
        <v>2.7336420000000001</v>
      </c>
      <c r="AL18" s="418">
        <f>+VLOOKUP($A$1,data!$A$69:$AU$99,37)</f>
        <v>2.6689419999999999</v>
      </c>
      <c r="AM18" s="418">
        <f>+VLOOKUP($A$1,data!$A$69:$AU$99,38)</f>
        <v>2.8164940000000001</v>
      </c>
      <c r="AN18" s="418">
        <f>+VLOOKUP($A$1,data!$A$69:$AU$99,39)</f>
        <v>2.6924519999999998</v>
      </c>
      <c r="AO18" s="418">
        <f>+VLOOKUP($A$1,data!$A$69:$AU$99,40)</f>
        <v>2.6126459999999998</v>
      </c>
      <c r="AP18" s="418">
        <f>+VLOOKUP($A$1,data!$A$69:$AU$99,41)</f>
        <v>3.0476299999999998</v>
      </c>
      <c r="AQ18" s="418">
        <f>+VLOOKUP($A$1,data!$A$69:$AU$99,42)</f>
        <v>3.014691</v>
      </c>
      <c r="AR18" s="418">
        <f>+VLOOKUP($A$1,data!$A$69:$AU$99,43)</f>
        <v>2.9353929999999999</v>
      </c>
      <c r="AS18" s="418">
        <f>+VLOOKUP($A$1,data!$A$69:$AU$99,44)</f>
        <v>2.710118</v>
      </c>
      <c r="AT18" s="418">
        <f>+VLOOKUP($A$1,data!$A$69:$AU$99,45)</f>
        <v>2.6041289999999999</v>
      </c>
      <c r="AU18" s="418">
        <f>+VLOOKUP($A$1,data!$A$69:$AU$99,46)</f>
        <v>2.7947350000000002</v>
      </c>
      <c r="AV18" s="418">
        <f>SUM(AJ18:AU18)</f>
        <v>33.251958999999999</v>
      </c>
      <c r="AW18" s="418">
        <f>SUM(AJ18:AU18)</f>
        <v>33.251958999999999</v>
      </c>
      <c r="AX18" s="698">
        <f>+AW20-AW18</f>
        <v>0.65941999999999723</v>
      </c>
      <c r="AY18" s="431"/>
      <c r="AZ18" s="706" t="s">
        <v>92</v>
      </c>
      <c r="BA18" s="309">
        <f>+VLOOKUP($A$1,data!$A$101:$AU$131,35)</f>
        <v>0.97171176999999997</v>
      </c>
      <c r="BB18" s="309">
        <f>+VLOOKUP($A$1,data!$A$101:$AU$131,36)</f>
        <v>1.2492966600000002</v>
      </c>
      <c r="BC18" s="309">
        <f>+VLOOKUP($A$1,data!$A$101:$AU$131,37)</f>
        <v>1.44824931</v>
      </c>
      <c r="BD18" s="309">
        <f>+VLOOKUP($A$1,data!$A$101:$AU$131,38)</f>
        <v>1.1147174100000001</v>
      </c>
      <c r="BE18" s="309">
        <f>+VLOOKUP($A$1,data!$A$101:$AU$131,39)</f>
        <v>1.156685</v>
      </c>
      <c r="BF18" s="309">
        <f>+VLOOKUP($A$1,data!$A$101:$AU$131,40)</f>
        <v>1.4744012500000001</v>
      </c>
      <c r="BG18" s="309">
        <f>+VLOOKUP($A$1,data!$A$101:$AU$131,41)</f>
        <v>0.7711430600000001</v>
      </c>
      <c r="BH18" s="309">
        <f>+VLOOKUP($A$1,data!$A$101:$AU$131,42)</f>
        <v>0.95097429999999983</v>
      </c>
      <c r="BI18" s="309">
        <f>+VLOOKUP($A$1,data!$A$101:$AU$131,43)</f>
        <v>0.66129466000000015</v>
      </c>
      <c r="BJ18" s="309">
        <f>+VLOOKUP($A$1,data!$A$101:$AU$131,44)</f>
        <v>1.0657272799999997</v>
      </c>
      <c r="BK18" s="309">
        <f>+VLOOKUP($A$1,data!$A$101:$AU$131,45)</f>
        <v>1.3645725699999998</v>
      </c>
      <c r="BL18" s="309">
        <f>+VLOOKUP($A$1,data!$A$101:$AU$131,46)</f>
        <v>0.87953395000000023</v>
      </c>
      <c r="BM18" s="309">
        <f>SUM(AZ18:BK18)</f>
        <v>12.22877327</v>
      </c>
      <c r="BN18" s="309">
        <f>SUM(BA18:BI18)</f>
        <v>9.7984734200000005</v>
      </c>
      <c r="BO18" s="310">
        <f>+BN20-BN18</f>
        <v>0.17745086000000043</v>
      </c>
    </row>
    <row r="19" spans="1:67" s="247" customFormat="1" ht="19.5" customHeight="1" thickBot="1" x14ac:dyDescent="0.35">
      <c r="A19" s="408" t="s">
        <v>94</v>
      </c>
      <c r="B19" s="409">
        <f>+VLOOKUP($A$1,data!$A$37:$AU$67,19)</f>
        <v>431.74921728240452</v>
      </c>
      <c r="C19" s="409">
        <f>+VLOOKUP($A$1,data!$A$37:$AU$67,20)</f>
        <v>518.22959716134426</v>
      </c>
      <c r="D19" s="409">
        <f>+VLOOKUP($A$1,data!$A$37:$AU$67,21)</f>
        <v>470.91014402003759</v>
      </c>
      <c r="E19" s="409">
        <f>+VLOOKUP($A$1,data!$A$37:$AU$67,22)</f>
        <v>387.69317470256732</v>
      </c>
      <c r="F19" s="409">
        <f>+VLOOKUP($A$1,data!$A$37:$AU$67,23)</f>
        <v>529.65153412648715</v>
      </c>
      <c r="G19" s="409">
        <f>+VLOOKUP($A$1,data!$A$37:$AU$67,24)</f>
        <v>544.6632227092465</v>
      </c>
      <c r="H19" s="409">
        <f>+VLOOKUP($A$1,data!$A$37:$AU$67,25)</f>
        <v>486.24817365894381</v>
      </c>
      <c r="I19" s="409">
        <f>+VLOOKUP($A$1,data!$A$37:$AU$67,26)</f>
        <v>528.67251095804636</v>
      </c>
      <c r="J19" s="409">
        <f>+VLOOKUP($A$1,data!$A$37:$AU$67,27)</f>
        <v>582.19244416614481</v>
      </c>
      <c r="K19" s="409">
        <f>+VLOOKUP($A$1,data!$A$37:$AU$67,28)</f>
        <v>543.68419954080571</v>
      </c>
      <c r="L19" s="409">
        <f>+VLOOKUP($A$1,data!$A$37:$AU$67,29)</f>
        <v>620.70068879148403</v>
      </c>
      <c r="M19" s="409">
        <f>+VLOOKUP($A$1,data!$A$37:$AU$67,30)</f>
        <v>609.60509288248795</v>
      </c>
      <c r="N19" s="410">
        <f>SUM(B19:M19)</f>
        <v>6254</v>
      </c>
      <c r="O19" s="411">
        <f t="shared" ref="O19:O20" si="0">SUM(B19:M19)</f>
        <v>6254</v>
      </c>
      <c r="P19" s="412">
        <f>+O20-O19</f>
        <v>339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2.7783169999999999</v>
      </c>
      <c r="AK19" s="423">
        <f>+VLOOKUP($A$1,data!$A$69:$AU$99,20)</f>
        <v>2.906603</v>
      </c>
      <c r="AL19" s="423">
        <f>+VLOOKUP($A$1,data!$A$69:$AU$99,21)</f>
        <v>2.867388</v>
      </c>
      <c r="AM19" s="423">
        <f>+VLOOKUP($A$1,data!$A$69:$AU$99,22)</f>
        <v>2.9779629999999999</v>
      </c>
      <c r="AN19" s="423">
        <f>+VLOOKUP($A$1,data!$A$69:$AU$99,23)</f>
        <v>2.9073370000000001</v>
      </c>
      <c r="AO19" s="423">
        <f>+VLOOKUP($A$1,data!$A$69:$AU$99,24)</f>
        <v>2.825707</v>
      </c>
      <c r="AP19" s="423">
        <f>+VLOOKUP($A$1,data!$A$69:$AU$99,25)</f>
        <v>3.145756</v>
      </c>
      <c r="AQ19" s="423">
        <f>+VLOOKUP($A$1,data!$A$69:$AU$99,26)</f>
        <v>3.2394720000000001</v>
      </c>
      <c r="AR19" s="423">
        <f>+VLOOKUP($A$1,data!$A$69:$AU$99,27)</f>
        <v>3.1596760000000002</v>
      </c>
      <c r="AS19" s="423">
        <f>+VLOOKUP($A$1,data!$A$69:$AU$99,28)</f>
        <v>2.9755029999999998</v>
      </c>
      <c r="AT19" s="423">
        <f>+VLOOKUP($A$1,data!$A$69:$AU$99,29)</f>
        <v>2.924121</v>
      </c>
      <c r="AU19" s="423">
        <f>+VLOOKUP($A$1,data!$A$69:$AU$99,30)</f>
        <v>3.0116969999999998</v>
      </c>
      <c r="AV19" s="423">
        <f>SUM(AJ19:AU19)</f>
        <v>35.719539999999995</v>
      </c>
      <c r="AW19" s="424">
        <f t="shared" ref="AW19:AW20" si="1">SUM(AJ19:AU19)</f>
        <v>35.719539999999995</v>
      </c>
      <c r="AX19" s="699">
        <f>+AW20-AW19</f>
        <v>-1.8081609999999984</v>
      </c>
      <c r="AY19" s="709"/>
      <c r="AZ19" s="707" t="s">
        <v>94</v>
      </c>
      <c r="BA19" s="312">
        <f>+VLOOKUP($A$1,data!$A$101:$AU$131,19)</f>
        <v>1.21696</v>
      </c>
      <c r="BB19" s="312">
        <f>+VLOOKUP($A$1,data!$A$101:$AU$131,20)</f>
        <v>1.262173</v>
      </c>
      <c r="BC19" s="312">
        <f>+VLOOKUP($A$1,data!$A$101:$AU$131,21)</f>
        <v>1.2982830000000001</v>
      </c>
      <c r="BD19" s="312">
        <f>+VLOOKUP($A$1,data!$A$101:$AU$131,22)</f>
        <v>1.0290550000000001</v>
      </c>
      <c r="BE19" s="312">
        <f>+VLOOKUP($A$1,data!$A$101:$AU$131,23)</f>
        <v>1.0371300000000001</v>
      </c>
      <c r="BF19" s="312">
        <f>+VLOOKUP($A$1,data!$A$101:$AU$131,24)</f>
        <v>1.401513</v>
      </c>
      <c r="BG19" s="312">
        <f>+VLOOKUP($A$1,data!$A$101:$AU$131,25)</f>
        <v>0.931029</v>
      </c>
      <c r="BH19" s="312">
        <f>+VLOOKUP($A$1,data!$A$101:$AU$131,26)</f>
        <v>1.026937</v>
      </c>
      <c r="BI19" s="312">
        <f>+VLOOKUP($A$1,data!$A$101:$AU$131,27)</f>
        <v>0.839615</v>
      </c>
      <c r="BJ19" s="312">
        <f>+VLOOKUP($A$1,data!$A$101:$AU$131,28)</f>
        <v>1.1022799999999999</v>
      </c>
      <c r="BK19" s="312">
        <f>+VLOOKUP($A$1,data!$A$101:$AU$131,29)</f>
        <v>1.1775850000000001</v>
      </c>
      <c r="BL19" s="312">
        <f>+VLOOKUP($A$1,data!$A$101:$AU$131,30)</f>
        <v>0.92903199999999997</v>
      </c>
      <c r="BM19" s="312">
        <f t="shared" ref="BM19:BM20" si="2">SUM(AZ19:BK19)</f>
        <v>12.322560000000003</v>
      </c>
      <c r="BN19" s="313">
        <f>SUM(BA19:BI19)</f>
        <v>10.042695000000002</v>
      </c>
      <c r="BO19" s="314">
        <f>+BN20-BN19</f>
        <v>-6.6770720000000949E-2</v>
      </c>
    </row>
    <row r="20" spans="1:67" s="247" customFormat="1" ht="19.5" thickBot="1" x14ac:dyDescent="0.35">
      <c r="A20" s="413" t="s">
        <v>93</v>
      </c>
      <c r="B20" s="414">
        <f>+VLOOKUP($A$1,data!$A$37:$AU$67,3)</f>
        <v>820</v>
      </c>
      <c r="C20" s="414">
        <f>+VLOOKUP($A$1,data!$A$37:$AU$67,4)</f>
        <v>404</v>
      </c>
      <c r="D20" s="414">
        <f>+VLOOKUP($A$1,data!$A$37:$AU$67,5)</f>
        <v>480</v>
      </c>
      <c r="E20" s="414">
        <f>+VLOOKUP($A$1,data!$A$37:$AU$67,6)</f>
        <v>347</v>
      </c>
      <c r="F20" s="414">
        <f>+VLOOKUP($A$1,data!$A$37:$AU$67,7)</f>
        <v>382</v>
      </c>
      <c r="G20" s="414">
        <f>+VLOOKUP($A$1,data!$A$37:$AU$67,8)</f>
        <v>505</v>
      </c>
      <c r="H20" s="414">
        <f>+VLOOKUP($A$1,data!$A$37:$AU$67,9)</f>
        <v>243</v>
      </c>
      <c r="I20" s="414">
        <f>+VLOOKUP($A$1,data!$A$37:$AU$67,10)</f>
        <v>404</v>
      </c>
      <c r="J20" s="414">
        <f>+VLOOKUP($A$1,data!$A$37:$AU$67,11)</f>
        <v>462</v>
      </c>
      <c r="K20" s="414">
        <f>+VLOOKUP($A$1,data!$A$37:$AU$67,12)</f>
        <v>380</v>
      </c>
      <c r="L20" s="414">
        <f>+VLOOKUP($A$1,data!$A$37:$AU$67,13)</f>
        <v>693</v>
      </c>
      <c r="M20" s="414">
        <f>+VLOOKUP($A$1,data!$A$37:$AU$67,14)</f>
        <v>1473</v>
      </c>
      <c r="N20" s="415">
        <f>SUM(B20:M20)</f>
        <v>6593</v>
      </c>
      <c r="O20" s="416">
        <f t="shared" si="0"/>
        <v>6593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2.6004860000000001</v>
      </c>
      <c r="AK20" s="420">
        <f>+VLOOKUP($A$1,data!$A$69:$AU$99,4)</f>
        <v>2.6556259999999998</v>
      </c>
      <c r="AL20" s="420">
        <f>+VLOOKUP($A$1,data!$A$69:$AU$99,5)</f>
        <v>2.715541</v>
      </c>
      <c r="AM20" s="420">
        <f>+VLOOKUP($A$1,data!$A$69:$AU$99,6)</f>
        <v>2.8848199999999999</v>
      </c>
      <c r="AN20" s="420">
        <f>+VLOOKUP($A$1,data!$A$69:$AU$99,7)</f>
        <v>2.7957709999999998</v>
      </c>
      <c r="AO20" s="420">
        <f>+VLOOKUP($A$1,data!$A$69:$AU$99,8)</f>
        <v>2.7811119999999998</v>
      </c>
      <c r="AP20" s="420">
        <f>+VLOOKUP($A$1,data!$A$69:$AU$99,9)</f>
        <v>3.2441399999999998</v>
      </c>
      <c r="AQ20" s="420">
        <f>+VLOOKUP($A$1,data!$A$69:$AU$99,10)</f>
        <v>3.0268969999999999</v>
      </c>
      <c r="AR20" s="420">
        <f>+VLOOKUP($A$1,data!$A$69:$AU$99,11)</f>
        <v>2.862279</v>
      </c>
      <c r="AS20" s="420">
        <f>+VLOOKUP($A$1,data!$A$69:$AU$99,12)</f>
        <v>2.7132170000000002</v>
      </c>
      <c r="AT20" s="420">
        <f>+VLOOKUP($A$1,data!$A$69:$AU$99,13)</f>
        <v>2.802378</v>
      </c>
      <c r="AU20" s="420">
        <f>+VLOOKUP($A$1,data!$A$69:$AU$99,14)</f>
        <v>2.8291119999999998</v>
      </c>
      <c r="AV20" s="420">
        <f>SUM(AJ20:AU20)</f>
        <v>33.911378999999997</v>
      </c>
      <c r="AW20" s="421">
        <f t="shared" si="1"/>
        <v>33.911378999999997</v>
      </c>
      <c r="AX20" s="700"/>
      <c r="AY20" s="433"/>
      <c r="AZ20" s="660" t="s">
        <v>93</v>
      </c>
      <c r="BA20" s="316">
        <f>+VLOOKUP($A$1,data!$A$101:$AU$131,3)</f>
        <v>1.24031906</v>
      </c>
      <c r="BB20" s="316">
        <f>+VLOOKUP($A$1,data!$A$101:$AU$131,4)</f>
        <v>0.99043201999999997</v>
      </c>
      <c r="BC20" s="316">
        <f>+VLOOKUP($A$1,data!$A$101:$AU$131,5)</f>
        <v>1.0016266899999999</v>
      </c>
      <c r="BD20" s="316">
        <f>+VLOOKUP($A$1,data!$A$101:$AU$131,6)</f>
        <v>1.0543877400000001</v>
      </c>
      <c r="BE20" s="316">
        <f>+VLOOKUP($A$1,data!$A$101:$AU$131,7)</f>
        <v>0.88537352999999974</v>
      </c>
      <c r="BF20" s="316">
        <f>+VLOOKUP($A$1,data!$A$101:$AU$131,8)</f>
        <v>1.5293853600000002</v>
      </c>
      <c r="BG20" s="316">
        <f>+VLOOKUP($A$1,data!$A$101:$AU$131,9)</f>
        <v>0.80220866000000013</v>
      </c>
      <c r="BH20" s="316">
        <f>+VLOOKUP($A$1,data!$A$101:$AU$131,10)</f>
        <v>1.15368881</v>
      </c>
      <c r="BI20" s="316">
        <f>+VLOOKUP($A$1,data!$A$101:$AU$131,12)</f>
        <v>1.3185024100000002</v>
      </c>
      <c r="BJ20" s="316">
        <f>+VLOOKUP($A$1,data!$A$101:$AU$131,13)</f>
        <v>0.92312116999999994</v>
      </c>
      <c r="BK20" s="316">
        <f>+VLOOKUP($A$1,data!$A$101:$AU$131,14)</f>
        <v>0.69956370999999995</v>
      </c>
      <c r="BL20" s="316"/>
      <c r="BM20" s="316">
        <f t="shared" si="2"/>
        <v>11.598609160000001</v>
      </c>
      <c r="BN20" s="317">
        <f>SUM(BA20:BI20)</f>
        <v>9.975924280000001</v>
      </c>
      <c r="BO20" s="318"/>
    </row>
    <row r="21" spans="1:67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1379.8889584637864</v>
      </c>
      <c r="W21" s="671">
        <f>+VLOOKUP($A$1,data!$A$261:$AK$291,16)</f>
        <v>1441</v>
      </c>
      <c r="X21" s="671">
        <f>+VLOOKUP($A$1,data!$A$261:$AK$291,36)</f>
        <v>2800.8968900020873</v>
      </c>
      <c r="Y21" s="671">
        <f>+VLOOKUP($A$1,data!$A$261:$AK$291,17)</f>
        <v>2662</v>
      </c>
      <c r="Z21" s="671">
        <f>+VLOOKUP($A$1,data!$A$261:$AK$291,37)</f>
        <v>4330.0100187852222</v>
      </c>
      <c r="AA21" s="671">
        <f>+VLOOKUP($A$1,data!$A$261:$AK$291,18)</f>
        <v>3746</v>
      </c>
      <c r="AB21" s="671">
        <f>+VLOOKUP($A$1,data!$A$261:$AK$291,34)</f>
        <v>5982</v>
      </c>
      <c r="AC21" s="671">
        <f>+VLOOKUP($A$1,data!$A$261:$AK$291,15)</f>
        <v>6278</v>
      </c>
      <c r="AD21" s="671">
        <f>+AA21-Z21</f>
        <v>-584.0100187852222</v>
      </c>
      <c r="AE21" s="684">
        <f>+AC21-AB21</f>
        <v>296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33"/>
      <c r="AZ21" s="427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1"/>
      <c r="BN21" s="432"/>
      <c r="BO21" s="433"/>
    </row>
    <row r="22" spans="1:67" s="434" customFormat="1" ht="18.75" customHeight="1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41</v>
      </c>
      <c r="W22" s="672">
        <f>+VLOOKUP($A$1,data!$A$229:$AK$259,16)</f>
        <v>263</v>
      </c>
      <c r="X22" s="672">
        <f>+VLOOKUP($A$1,data!$A$229:$AK$259,36)</f>
        <v>82</v>
      </c>
      <c r="Y22" s="672">
        <f>+VLOOKUP($A$1,data!$A$229:$AK$259,17)</f>
        <v>276</v>
      </c>
      <c r="Z22" s="672">
        <f>+VLOOKUP($A$1,data!$A$229:$AK$259,37)</f>
        <v>150</v>
      </c>
      <c r="AA22" s="672">
        <f>+VLOOKUP($A$1,data!$A$229:$AK$259,18)</f>
        <v>301</v>
      </c>
      <c r="AB22" s="672">
        <f>+VLOOKUP($A$1,data!$A$229:$AK$259,34)</f>
        <v>272</v>
      </c>
      <c r="AC22" s="765">
        <f>+VLOOKUP($A$1,data!$A$229:$AK$259,15)</f>
        <v>315</v>
      </c>
      <c r="AD22" s="671">
        <f>+AA22-Z22</f>
        <v>151</v>
      </c>
      <c r="AE22" s="685">
        <f>+AC22-AB22</f>
        <v>43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33"/>
      <c r="AZ22" s="427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1"/>
      <c r="BN22" s="432"/>
      <c r="BO22" s="433"/>
    </row>
    <row r="23" spans="1:67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73">
        <f>SUM(V21:V22)</f>
        <v>1420.8889584637864</v>
      </c>
      <c r="W23" s="673">
        <f t="shared" ref="W23:AC23" si="3">SUM(W21:W22)</f>
        <v>1704</v>
      </c>
      <c r="X23" s="673">
        <f t="shared" si="3"/>
        <v>2882.8968900020873</v>
      </c>
      <c r="Y23" s="673">
        <f t="shared" si="3"/>
        <v>2938</v>
      </c>
      <c r="Z23" s="673">
        <f t="shared" si="3"/>
        <v>4480.0100187852222</v>
      </c>
      <c r="AA23" s="673">
        <f t="shared" si="3"/>
        <v>4047</v>
      </c>
      <c r="AB23" s="673">
        <f t="shared" si="3"/>
        <v>6254</v>
      </c>
      <c r="AC23" s="764">
        <f t="shared" si="3"/>
        <v>6593</v>
      </c>
      <c r="AD23" s="673">
        <f>+AA23-Z23</f>
        <v>-433.0100187852222</v>
      </c>
      <c r="AE23" s="686">
        <f>+AC23-AB23</f>
        <v>339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304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  <c r="BO23" s="162"/>
    </row>
    <row r="24" spans="1:67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304"/>
      <c r="AZ24" s="158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  <c r="BO24" s="162"/>
    </row>
    <row r="25" spans="1:67" x14ac:dyDescent="0.35"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6"/>
      <c r="AD25" s="426"/>
      <c r="AE25" s="426"/>
      <c r="AF25" s="426"/>
      <c r="AG25" s="426"/>
      <c r="AH25" s="426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299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</row>
    <row r="26" spans="1:67" x14ac:dyDescent="0.35"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299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</row>
    <row r="27" spans="1:67" x14ac:dyDescent="0.35"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299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</row>
    <row r="28" spans="1:67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299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</row>
    <row r="29" spans="1:67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299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</row>
    <row r="30" spans="1:67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299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</row>
    <row r="31" spans="1:67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299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</row>
    <row r="32" spans="1:67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299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</row>
    <row r="33" spans="1:68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299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</row>
    <row r="34" spans="1:68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299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</row>
    <row r="35" spans="1:68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299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</row>
    <row r="36" spans="1:68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299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</row>
    <row r="37" spans="1:68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299"/>
      <c r="AZ37" s="854" t="s">
        <v>117</v>
      </c>
      <c r="BA37" s="813" t="s">
        <v>74</v>
      </c>
      <c r="BB37" s="813" t="s">
        <v>75</v>
      </c>
      <c r="BC37" s="813" t="s">
        <v>76</v>
      </c>
      <c r="BD37" s="813" t="s">
        <v>118</v>
      </c>
      <c r="BE37" s="813" t="s">
        <v>77</v>
      </c>
      <c r="BF37" s="813" t="s">
        <v>78</v>
      </c>
      <c r="BG37" s="813" t="s">
        <v>79</v>
      </c>
      <c r="BH37" s="813" t="s">
        <v>119</v>
      </c>
      <c r="BI37" s="813" t="s">
        <v>80</v>
      </c>
      <c r="BJ37" s="813" t="s">
        <v>81</v>
      </c>
      <c r="BK37" s="813" t="s">
        <v>82</v>
      </c>
      <c r="BL37" s="813" t="s">
        <v>120</v>
      </c>
      <c r="BM37" s="813" t="s">
        <v>83</v>
      </c>
      <c r="BN37" s="813" t="s">
        <v>84</v>
      </c>
      <c r="BO37" s="813" t="s">
        <v>85</v>
      </c>
      <c r="BP37" s="813" t="s">
        <v>121</v>
      </c>
    </row>
    <row r="38" spans="1:68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299"/>
      <c r="AZ38" s="855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  <c r="BP38" s="814"/>
    </row>
    <row r="39" spans="1:68" ht="22.5" thickTop="1" thickBot="1" x14ac:dyDescent="0.4">
      <c r="A39"/>
      <c r="B39" s="405" t="s">
        <v>92</v>
      </c>
      <c r="C39" s="406">
        <f>+B18</f>
        <v>293</v>
      </c>
      <c r="D39" s="406">
        <f t="shared" ref="D39:N41" si="4">+C39+C18</f>
        <v>809</v>
      </c>
      <c r="E39" s="406">
        <f t="shared" si="4"/>
        <v>1291</v>
      </c>
      <c r="F39" s="406">
        <f t="shared" si="4"/>
        <v>1592</v>
      </c>
      <c r="G39" s="406">
        <f t="shared" si="4"/>
        <v>2026</v>
      </c>
      <c r="H39" s="406">
        <f t="shared" si="4"/>
        <v>2518</v>
      </c>
      <c r="I39" s="406">
        <f t="shared" si="4"/>
        <v>3057</v>
      </c>
      <c r="J39" s="406">
        <f t="shared" si="4"/>
        <v>3678</v>
      </c>
      <c r="K39" s="406">
        <f t="shared" si="4"/>
        <v>4442</v>
      </c>
      <c r="L39" s="406">
        <f t="shared" si="4"/>
        <v>5054</v>
      </c>
      <c r="M39" s="406">
        <f t="shared" si="4"/>
        <v>5786</v>
      </c>
      <c r="N39" s="406">
        <f t="shared" si="4"/>
        <v>6589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2.6210870000000002</v>
      </c>
      <c r="AL39" s="418">
        <f t="shared" ref="AL39:AV41" si="5">+AK39+AK18</f>
        <v>5.3547290000000007</v>
      </c>
      <c r="AM39" s="418">
        <f t="shared" si="5"/>
        <v>8.0236710000000002</v>
      </c>
      <c r="AN39" s="418">
        <f t="shared" si="5"/>
        <v>10.840165000000001</v>
      </c>
      <c r="AO39" s="418">
        <f t="shared" si="5"/>
        <v>13.532617</v>
      </c>
      <c r="AP39" s="418">
        <f t="shared" si="5"/>
        <v>16.145263</v>
      </c>
      <c r="AQ39" s="418">
        <f t="shared" si="5"/>
        <v>19.192892999999998</v>
      </c>
      <c r="AR39" s="418">
        <f t="shared" si="5"/>
        <v>22.207583999999997</v>
      </c>
      <c r="AS39" s="418">
        <f t="shared" si="5"/>
        <v>25.142976999999998</v>
      </c>
      <c r="AT39" s="418">
        <f t="shared" si="5"/>
        <v>27.853095</v>
      </c>
      <c r="AU39" s="418">
        <f t="shared" si="5"/>
        <v>30.457224</v>
      </c>
      <c r="AV39" s="418">
        <f t="shared" si="5"/>
        <v>33.251958999999999</v>
      </c>
      <c r="AW39" s="158"/>
      <c r="AX39" s="158"/>
      <c r="AY39" s="299"/>
      <c r="AZ39" s="706" t="s">
        <v>92</v>
      </c>
      <c r="BA39" s="464">
        <f>+VLOOKUP($A$1,data!$A$133:$BK$163,26)</f>
        <v>27.017662116249962</v>
      </c>
      <c r="BB39" s="464">
        <f>+VLOOKUP($A$1,data!$A$133:$BK$163,27)</f>
        <v>31.349777055136958</v>
      </c>
      <c r="BC39" s="464">
        <f>+VLOOKUP($A$1,data!$A$133:$BK$163,28)</f>
        <v>35.158890622164961</v>
      </c>
      <c r="BD39" s="464">
        <f>+VLOOKUP($A$1,data!$A$133:$BK$163,29)</f>
        <v>31.35913827770484</v>
      </c>
      <c r="BE39" s="464">
        <f>+VLOOKUP($A$1,data!$A$133:$BK$163,30)</f>
        <v>28.334905760050678</v>
      </c>
      <c r="BF39" s="464">
        <f>+VLOOKUP($A$1,data!$A$133:$BK$163,31)</f>
        <v>30.025813137183949</v>
      </c>
      <c r="BG39" s="464">
        <f>+VLOOKUP($A$1,data!$A$133:$BK$163,32)</f>
        <v>36.057629551579467</v>
      </c>
      <c r="BH39" s="464">
        <f>+VLOOKUP($A$1,data!$A$133:$BK$163,33)</f>
        <v>31.45153053459812</v>
      </c>
      <c r="BI39" s="464">
        <f>+VLOOKUP($A$1,data!$A$133:$BK$163,34)</f>
        <v>20.185046254417696</v>
      </c>
      <c r="BJ39" s="464">
        <f>+VLOOKUP($A$1,data!$A$133:$BK$163,35)</f>
        <v>23.963004455349402</v>
      </c>
      <c r="BK39" s="464">
        <f>+VLOOKUP($A$1,data!$A$133:$BK$163,36)</f>
        <v>18.379467819142999</v>
      </c>
      <c r="BL39" s="464">
        <f>+VLOOKUP($A$1,data!$A$133:$BK$163,37)</f>
        <v>28.025232652235115</v>
      </c>
      <c r="BM39" s="464">
        <f>+VLOOKUP($A$1,data!$A$133:$BK$163,38)</f>
        <v>28.218334511745862</v>
      </c>
      <c r="BN39" s="464">
        <f>+VLOOKUP($A$1,data!$A$133:$BK$163,39)</f>
        <v>34.37416082040393</v>
      </c>
      <c r="BO39" s="464">
        <f>+VLOOKUP($A$1,data!$A$133:$BK$163,40)</f>
        <v>23.934153874396046</v>
      </c>
      <c r="BP39" s="464">
        <f>+VLOOKUP($A$1,data!$A$133:$BK$163,41)</f>
        <v>28.260206497387401</v>
      </c>
    </row>
    <row r="40" spans="1:68" ht="21.75" thickBot="1" x14ac:dyDescent="0.4">
      <c r="A40"/>
      <c r="B40" s="408" t="s">
        <v>94</v>
      </c>
      <c r="C40" s="409">
        <f>+B19</f>
        <v>431.74921728240452</v>
      </c>
      <c r="D40" s="409">
        <f t="shared" si="4"/>
        <v>949.97881444374877</v>
      </c>
      <c r="E40" s="409">
        <f t="shared" si="4"/>
        <v>1420.8889584637864</v>
      </c>
      <c r="F40" s="409">
        <f t="shared" si="4"/>
        <v>1808.5821331663537</v>
      </c>
      <c r="G40" s="409">
        <f t="shared" si="4"/>
        <v>2338.2336672928409</v>
      </c>
      <c r="H40" s="409">
        <f t="shared" si="4"/>
        <v>2882.8968900020873</v>
      </c>
      <c r="I40" s="409">
        <f t="shared" si="4"/>
        <v>3369.1450636610311</v>
      </c>
      <c r="J40" s="409">
        <f t="shared" si="4"/>
        <v>3897.8175746190773</v>
      </c>
      <c r="K40" s="409">
        <f t="shared" si="4"/>
        <v>4480.0100187852222</v>
      </c>
      <c r="L40" s="409">
        <f t="shared" si="4"/>
        <v>5023.694218326028</v>
      </c>
      <c r="M40" s="409">
        <f t="shared" si="4"/>
        <v>5644.394907117512</v>
      </c>
      <c r="N40" s="409">
        <f t="shared" si="4"/>
        <v>6254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2.7783169999999999</v>
      </c>
      <c r="AL40" s="423">
        <f t="shared" si="5"/>
        <v>5.68492</v>
      </c>
      <c r="AM40" s="423">
        <f t="shared" si="5"/>
        <v>8.552308</v>
      </c>
      <c r="AN40" s="423">
        <f t="shared" si="5"/>
        <v>11.530270999999999</v>
      </c>
      <c r="AO40" s="423">
        <f t="shared" si="5"/>
        <v>14.437607999999999</v>
      </c>
      <c r="AP40" s="423">
        <f t="shared" si="5"/>
        <v>17.263314999999999</v>
      </c>
      <c r="AQ40" s="423">
        <f t="shared" si="5"/>
        <v>20.409070999999997</v>
      </c>
      <c r="AR40" s="423">
        <f t="shared" si="5"/>
        <v>23.648542999999997</v>
      </c>
      <c r="AS40" s="423">
        <f t="shared" si="5"/>
        <v>26.808218999999998</v>
      </c>
      <c r="AT40" s="423">
        <f t="shared" si="5"/>
        <v>29.783721999999997</v>
      </c>
      <c r="AU40" s="423">
        <f t="shared" si="5"/>
        <v>32.707842999999997</v>
      </c>
      <c r="AV40" s="423">
        <f t="shared" si="5"/>
        <v>35.719539999999995</v>
      </c>
      <c r="AW40" s="158"/>
      <c r="AX40" s="158"/>
      <c r="AY40" s="299"/>
      <c r="AZ40" s="707" t="s">
        <v>94</v>
      </c>
      <c r="BA40" s="458">
        <f>+VLOOKUP($A$1,data!$A$133:$BK$163,22)</f>
        <v>27.060008621406123</v>
      </c>
      <c r="BB40" s="458">
        <f>+$BA$40</f>
        <v>27.060008621406123</v>
      </c>
      <c r="BC40" s="458">
        <f t="shared" ref="BC40:BP40" si="6">+$BA$40</f>
        <v>27.060008621406123</v>
      </c>
      <c r="BD40" s="458">
        <f t="shared" si="6"/>
        <v>27.060008621406123</v>
      </c>
      <c r="BE40" s="458">
        <f t="shared" si="6"/>
        <v>27.060008621406123</v>
      </c>
      <c r="BF40" s="458">
        <f t="shared" si="6"/>
        <v>27.060008621406123</v>
      </c>
      <c r="BG40" s="458">
        <f t="shared" si="6"/>
        <v>27.060008621406123</v>
      </c>
      <c r="BH40" s="458">
        <f t="shared" si="6"/>
        <v>27.060008621406123</v>
      </c>
      <c r="BI40" s="458">
        <f t="shared" si="6"/>
        <v>27.060008621406123</v>
      </c>
      <c r="BJ40" s="458">
        <f t="shared" si="6"/>
        <v>27.060008621406123</v>
      </c>
      <c r="BK40" s="458">
        <f t="shared" si="6"/>
        <v>27.060008621406123</v>
      </c>
      <c r="BL40" s="458">
        <f t="shared" si="6"/>
        <v>27.060008621406123</v>
      </c>
      <c r="BM40" s="458">
        <f t="shared" si="6"/>
        <v>27.060008621406123</v>
      </c>
      <c r="BN40" s="458">
        <f t="shared" si="6"/>
        <v>27.060008621406123</v>
      </c>
      <c r="BO40" s="458">
        <f t="shared" si="6"/>
        <v>27.060008621406123</v>
      </c>
      <c r="BP40" s="458">
        <f t="shared" si="6"/>
        <v>27.060008621406123</v>
      </c>
    </row>
    <row r="41" spans="1:68" ht="21.75" thickBot="1" x14ac:dyDescent="0.4">
      <c r="A41"/>
      <c r="B41" s="413" t="s">
        <v>93</v>
      </c>
      <c r="C41" s="414">
        <f>+B20</f>
        <v>820</v>
      </c>
      <c r="D41" s="414">
        <f t="shared" si="4"/>
        <v>1224</v>
      </c>
      <c r="E41" s="414">
        <f t="shared" si="4"/>
        <v>1704</v>
      </c>
      <c r="F41" s="414">
        <f t="shared" si="4"/>
        <v>2051</v>
      </c>
      <c r="G41" s="414">
        <f t="shared" si="4"/>
        <v>2433</v>
      </c>
      <c r="H41" s="414">
        <f t="shared" si="4"/>
        <v>2938</v>
      </c>
      <c r="I41" s="414">
        <f t="shared" si="4"/>
        <v>3181</v>
      </c>
      <c r="J41" s="414">
        <f t="shared" si="4"/>
        <v>3585</v>
      </c>
      <c r="K41" s="414">
        <f t="shared" si="4"/>
        <v>4047</v>
      </c>
      <c r="L41" s="414">
        <f t="shared" si="4"/>
        <v>4427</v>
      </c>
      <c r="M41" s="414">
        <f t="shared" si="4"/>
        <v>5120</v>
      </c>
      <c r="N41" s="414">
        <f t="shared" si="4"/>
        <v>6593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2.6004860000000001</v>
      </c>
      <c r="AL41" s="420">
        <f t="shared" si="5"/>
        <v>5.2561119999999999</v>
      </c>
      <c r="AM41" s="420">
        <f t="shared" si="5"/>
        <v>7.9716529999999999</v>
      </c>
      <c r="AN41" s="420">
        <f t="shared" si="5"/>
        <v>10.856472999999999</v>
      </c>
      <c r="AO41" s="420">
        <f t="shared" si="5"/>
        <v>13.652244</v>
      </c>
      <c r="AP41" s="420">
        <f t="shared" si="5"/>
        <v>16.433356</v>
      </c>
      <c r="AQ41" s="420">
        <f t="shared" si="5"/>
        <v>19.677495999999998</v>
      </c>
      <c r="AR41" s="420">
        <f t="shared" si="5"/>
        <v>22.704392999999996</v>
      </c>
      <c r="AS41" s="420">
        <f t="shared" si="5"/>
        <v>25.566671999999997</v>
      </c>
      <c r="AT41" s="420">
        <f t="shared" si="5"/>
        <v>28.279888999999997</v>
      </c>
      <c r="AU41" s="420">
        <f t="shared" si="5"/>
        <v>31.082266999999998</v>
      </c>
      <c r="AV41" s="420">
        <f t="shared" si="5"/>
        <v>33.911378999999997</v>
      </c>
      <c r="AW41" s="158"/>
      <c r="AX41" s="158"/>
      <c r="AY41" s="299"/>
      <c r="AZ41" s="660" t="s">
        <v>93</v>
      </c>
      <c r="BA41" s="442">
        <f>+VLOOKUP($A$1,data!$A$133:$BK$163,3)</f>
        <v>32.287034978111087</v>
      </c>
      <c r="BB41" s="442">
        <f>+VLOOKUP($A$1,data!$A$133:$BK$163,4)</f>
        <v>27.158934259301663</v>
      </c>
      <c r="BC41" s="442">
        <f>+VLOOKUP($A$1,data!$A$133:$BK$163,5)</f>
        <v>26.94523246851978</v>
      </c>
      <c r="BD41" s="442">
        <f>+VLOOKUP($A$1,data!$A$133:$BK$163,6)</f>
        <v>28.846072755230836</v>
      </c>
      <c r="BE41" s="442">
        <f>+VLOOKUP($A$1,data!$A$133:$BK$163,7)</f>
        <v>26.765785741039121</v>
      </c>
      <c r="BF41" s="442">
        <f>+VLOOKUP($A$1,data!$A$133:$BK$163,8)</f>
        <v>24.050994925335544</v>
      </c>
      <c r="BG41" s="442">
        <f>+VLOOKUP($A$1,data!$A$133:$BK$163,9)</f>
        <v>35.478320117057031</v>
      </c>
      <c r="BH41" s="442">
        <f>+VLOOKUP($A$1,data!$A$133:$BK$163,10)</f>
        <v>28.964641888462012</v>
      </c>
      <c r="BI41" s="442">
        <f>+VLOOKUP($A$1,data!$A$133:$BK$163,11)</f>
        <v>19.823648238116544</v>
      </c>
      <c r="BJ41" s="442">
        <f>+VLOOKUP($A$1,data!$A$133:$BK$163,12)</f>
        <v>27.595643554505401</v>
      </c>
      <c r="BK41" s="442">
        <f>+VLOOKUP($A$1,data!$A$133:$BK$163,13)</f>
        <v>28.048946518268338</v>
      </c>
      <c r="BL41" s="442">
        <f>+VLOOKUP($A$1,data!$A$133:$BK$163,15)</f>
        <v>32.702693122747327</v>
      </c>
      <c r="BM41" s="442">
        <f>+VLOOKUP($A$1,data!$A$133:$BK$163,16)</f>
        <v>24.777624577199369</v>
      </c>
      <c r="BN41" s="442">
        <f>+VLOOKUP($A$1,data!$A$133:$BK$163,17)</f>
        <v>19.824499529896094</v>
      </c>
      <c r="BO41" s="442"/>
      <c r="BP41" s="442">
        <f>+VLOOKUP($A$1,data!$A$133:$BK$163,18)</f>
        <v>27.267427784864047</v>
      </c>
    </row>
    <row r="42" spans="1:68" ht="38.2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Z42" s="711" t="s">
        <v>152</v>
      </c>
      <c r="BA42" s="827" t="s">
        <v>137</v>
      </c>
      <c r="BB42" s="828"/>
      <c r="BC42" s="471" t="s">
        <v>125</v>
      </c>
      <c r="BD42" s="158"/>
      <c r="BE42" s="158"/>
    </row>
    <row r="43" spans="1:68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Z43" s="706">
        <f>+VLOOKUP($A$1,data!$A$133:$BK$163,55)</f>
        <v>28.260206497387401</v>
      </c>
      <c r="BA43" s="825">
        <f>+VLOOKUP($A$1,data!$A$133:$BK$163,52)</f>
        <v>28.025232652235115</v>
      </c>
      <c r="BB43" s="826">
        <f>+VLOOKUP($A$1,data!$A$133:$BK$163,26)</f>
        <v>27.017662116249962</v>
      </c>
      <c r="BC43" s="473">
        <f>+BA45-BA43</f>
        <v>-0.75780486737106756</v>
      </c>
      <c r="BD43" s="158"/>
      <c r="BE43" s="158"/>
    </row>
    <row r="44" spans="1:68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Z44" s="707" t="s">
        <v>94</v>
      </c>
      <c r="BA44" s="829">
        <f>+BA40</f>
        <v>27.060008621406123</v>
      </c>
      <c r="BB44" s="830"/>
      <c r="BC44" s="472">
        <f>+BA45-BA44</f>
        <v>0.20741916345792433</v>
      </c>
      <c r="BD44" s="158"/>
      <c r="BE44" s="158"/>
    </row>
    <row r="45" spans="1:68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Z45" s="660" t="s">
        <v>93</v>
      </c>
      <c r="BA45" s="831">
        <f>+BP41</f>
        <v>27.267427784864047</v>
      </c>
      <c r="BB45" s="832"/>
      <c r="BC45" s="315"/>
      <c r="BD45" s="158"/>
      <c r="BE45" s="158"/>
    </row>
    <row r="46" spans="1:68" ht="27" thickBot="1" x14ac:dyDescent="0.4">
      <c r="A46" s="248">
        <f>+A1</f>
        <v>1004</v>
      </c>
      <c r="B46" s="817" t="str">
        <f>+VLOOKUP($A$1,data!$A$4:$AH$32,2,0)</f>
        <v>เชียงใหม่(พ)</v>
      </c>
      <c r="C46" s="818"/>
      <c r="D46" s="818"/>
      <c r="E46" s="818"/>
      <c r="F46" s="818"/>
      <c r="G46" s="818"/>
      <c r="H46" s="818"/>
      <c r="I46" s="818"/>
      <c r="J46" s="818"/>
      <c r="K46" s="818"/>
      <c r="L46" s="818"/>
      <c r="M46" s="810" t="s">
        <v>132</v>
      </c>
      <c r="N46" s="811"/>
      <c r="O46" s="811"/>
      <c r="P46" s="812"/>
      <c r="S46" s="248">
        <f>+A1</f>
        <v>1004</v>
      </c>
      <c r="T46" s="817" t="str">
        <f>+VLOOKUP($A$1,data!$A$4:$AH$32,2,0)</f>
        <v>เชียงใหม่(พ)</v>
      </c>
      <c r="U46" s="818"/>
      <c r="V46" s="818"/>
      <c r="W46" s="818"/>
      <c r="X46" s="818"/>
      <c r="Y46" s="818"/>
      <c r="Z46" s="818"/>
      <c r="AA46" s="818"/>
      <c r="AB46" s="818"/>
      <c r="AC46" s="819"/>
      <c r="AD46" s="817" t="s">
        <v>133</v>
      </c>
      <c r="AE46" s="818"/>
      <c r="AF46" s="818"/>
      <c r="AG46" s="818"/>
      <c r="AH46" s="820"/>
      <c r="AI46" s="248">
        <f>+A1</f>
        <v>1004</v>
      </c>
      <c r="AJ46" s="817" t="str">
        <f>+VLOOKUP($A$1,data!$A$4:$AH$32,2,0)</f>
        <v>เชียงใหม่(พ)</v>
      </c>
      <c r="AK46" s="818"/>
      <c r="AL46" s="818"/>
      <c r="AM46" s="818"/>
      <c r="AN46" s="818"/>
      <c r="AO46" s="818"/>
      <c r="AP46" s="818"/>
      <c r="AQ46" s="818"/>
      <c r="AR46" s="818"/>
      <c r="AS46" s="818"/>
      <c r="AT46" s="833" t="s">
        <v>134</v>
      </c>
      <c r="AU46" s="834"/>
      <c r="AV46" s="834"/>
      <c r="AW46" s="834"/>
      <c r="AX46" s="835"/>
      <c r="AY46" s="693"/>
    </row>
    <row r="47" spans="1:68" x14ac:dyDescent="0.35"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299"/>
    </row>
    <row r="48" spans="1:68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299"/>
    </row>
    <row r="49" spans="1:51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299"/>
    </row>
    <row r="50" spans="1:51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299"/>
    </row>
    <row r="51" spans="1:51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299"/>
    </row>
    <row r="52" spans="1:51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299"/>
    </row>
    <row r="53" spans="1:51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299"/>
    </row>
    <row r="54" spans="1:51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299"/>
    </row>
    <row r="55" spans="1:51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299"/>
    </row>
    <row r="56" spans="1:51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299"/>
    </row>
    <row r="57" spans="1:51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299"/>
    </row>
    <row r="58" spans="1:51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299"/>
    </row>
    <row r="59" spans="1:51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299"/>
    </row>
    <row r="60" spans="1:51" ht="21.75" thickBot="1" x14ac:dyDescent="0.4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299"/>
    </row>
    <row r="61" spans="1:51" ht="21" customHeight="1" x14ac:dyDescent="0.35">
      <c r="A61" s="844" t="s">
        <v>126</v>
      </c>
      <c r="B61" s="844" t="s">
        <v>74</v>
      </c>
      <c r="C61" s="844" t="s">
        <v>75</v>
      </c>
      <c r="D61" s="844" t="s">
        <v>76</v>
      </c>
      <c r="E61" s="844" t="s">
        <v>77</v>
      </c>
      <c r="F61" s="844" t="s">
        <v>78</v>
      </c>
      <c r="G61" s="844" t="s">
        <v>79</v>
      </c>
      <c r="H61" s="844" t="s">
        <v>80</v>
      </c>
      <c r="I61" s="844" t="s">
        <v>81</v>
      </c>
      <c r="J61" s="844" t="s">
        <v>82</v>
      </c>
      <c r="K61" s="844" t="s">
        <v>83</v>
      </c>
      <c r="L61" s="844" t="s">
        <v>84</v>
      </c>
      <c r="M61" s="844" t="s">
        <v>85</v>
      </c>
      <c r="N61" s="844" t="s">
        <v>95</v>
      </c>
      <c r="O61" s="536" t="s">
        <v>89</v>
      </c>
      <c r="P61" s="536" t="s">
        <v>90</v>
      </c>
      <c r="S61" s="846" t="s">
        <v>129</v>
      </c>
      <c r="T61" s="846" t="s">
        <v>74</v>
      </c>
      <c r="U61" s="846" t="s">
        <v>75</v>
      </c>
      <c r="V61" s="846" t="s">
        <v>76</v>
      </c>
      <c r="W61" s="846" t="s">
        <v>77</v>
      </c>
      <c r="X61" s="846" t="s">
        <v>78</v>
      </c>
      <c r="Y61" s="846" t="s">
        <v>79</v>
      </c>
      <c r="Z61" s="846" t="s">
        <v>80</v>
      </c>
      <c r="AA61" s="846" t="s">
        <v>81</v>
      </c>
      <c r="AB61" s="846" t="s">
        <v>82</v>
      </c>
      <c r="AC61" s="846" t="s">
        <v>83</v>
      </c>
      <c r="AD61" s="846" t="s">
        <v>84</v>
      </c>
      <c r="AE61" s="846" t="s">
        <v>85</v>
      </c>
      <c r="AF61" s="846" t="s">
        <v>95</v>
      </c>
      <c r="AG61" s="599" t="s">
        <v>89</v>
      </c>
      <c r="AH61" s="599" t="s">
        <v>90</v>
      </c>
      <c r="AI61" s="850" t="s">
        <v>136</v>
      </c>
      <c r="AJ61" s="852" t="s">
        <v>74</v>
      </c>
      <c r="AK61" s="852" t="s">
        <v>75</v>
      </c>
      <c r="AL61" s="852" t="s">
        <v>76</v>
      </c>
      <c r="AM61" s="852" t="s">
        <v>77</v>
      </c>
      <c r="AN61" s="852" t="s">
        <v>78</v>
      </c>
      <c r="AO61" s="852" t="s">
        <v>79</v>
      </c>
      <c r="AP61" s="852" t="s">
        <v>80</v>
      </c>
      <c r="AQ61" s="852" t="s">
        <v>81</v>
      </c>
      <c r="AR61" s="852" t="s">
        <v>82</v>
      </c>
      <c r="AS61" s="852" t="s">
        <v>83</v>
      </c>
      <c r="AT61" s="852" t="s">
        <v>84</v>
      </c>
      <c r="AU61" s="852" t="s">
        <v>85</v>
      </c>
      <c r="AV61" s="852" t="s">
        <v>95</v>
      </c>
      <c r="AW61" s="615" t="s">
        <v>89</v>
      </c>
      <c r="AX61" s="701" t="s">
        <v>90</v>
      </c>
      <c r="AY61" s="687"/>
    </row>
    <row r="62" spans="1:51" ht="21.75" thickBot="1" x14ac:dyDescent="0.4">
      <c r="A62" s="845"/>
      <c r="B62" s="845"/>
      <c r="C62" s="845"/>
      <c r="D62" s="845"/>
      <c r="E62" s="845"/>
      <c r="F62" s="845"/>
      <c r="G62" s="845"/>
      <c r="H62" s="845"/>
      <c r="I62" s="845"/>
      <c r="J62" s="845"/>
      <c r="K62" s="845"/>
      <c r="L62" s="845"/>
      <c r="M62" s="845"/>
      <c r="N62" s="845"/>
      <c r="O62" s="537" t="s">
        <v>138</v>
      </c>
      <c r="P62" s="537" t="s">
        <v>91</v>
      </c>
      <c r="S62" s="847"/>
      <c r="T62" s="847"/>
      <c r="U62" s="847"/>
      <c r="V62" s="847"/>
      <c r="W62" s="847"/>
      <c r="X62" s="847"/>
      <c r="Y62" s="847"/>
      <c r="Z62" s="847"/>
      <c r="AA62" s="847"/>
      <c r="AB62" s="847"/>
      <c r="AC62" s="847"/>
      <c r="AD62" s="847"/>
      <c r="AE62" s="847"/>
      <c r="AF62" s="847"/>
      <c r="AG62" s="600" t="s">
        <v>138</v>
      </c>
      <c r="AH62" s="600" t="s">
        <v>91</v>
      </c>
      <c r="AI62" s="851"/>
      <c r="AJ62" s="853"/>
      <c r="AK62" s="853"/>
      <c r="AL62" s="853"/>
      <c r="AM62" s="853"/>
      <c r="AN62" s="853"/>
      <c r="AO62" s="853"/>
      <c r="AP62" s="853"/>
      <c r="AQ62" s="853"/>
      <c r="AR62" s="853"/>
      <c r="AS62" s="853"/>
      <c r="AT62" s="853"/>
      <c r="AU62" s="853"/>
      <c r="AV62" s="853"/>
      <c r="AW62" s="616" t="s">
        <v>138</v>
      </c>
      <c r="AX62" s="702" t="s">
        <v>91</v>
      </c>
      <c r="AY62" s="687"/>
    </row>
    <row r="63" spans="1:51" ht="22.5" thickTop="1" thickBot="1" x14ac:dyDescent="0.4">
      <c r="A63" s="543" t="s">
        <v>92</v>
      </c>
      <c r="B63" s="544">
        <f>+VLOOKUP($A$1,data!$A$165:$AU$195,35)</f>
        <v>59.055283570000007</v>
      </c>
      <c r="C63" s="544">
        <f>+VLOOKUP($A$1,data!$A$165:$AU$195,36)</f>
        <v>60.275003820000002</v>
      </c>
      <c r="D63" s="544">
        <f>+VLOOKUP($A$1,data!$A$165:$AU$195,37)</f>
        <v>59.445871980000007</v>
      </c>
      <c r="E63" s="544">
        <f>+VLOOKUP($A$1,data!$A$165:$AU$195,38)</f>
        <v>61.875669330000008</v>
      </c>
      <c r="F63" s="544">
        <f>+VLOOKUP($A$1,data!$A$165:$AU$195,39)</f>
        <v>58.790066820000007</v>
      </c>
      <c r="G63" s="544">
        <f>+VLOOKUP($A$1,data!$A$165:$AU$195,40)</f>
        <v>57.492511749999991</v>
      </c>
      <c r="H63" s="544">
        <f>+VLOOKUP($A$1,data!$A$165:$AU$195,41)</f>
        <v>66.100349910000006</v>
      </c>
      <c r="I63" s="544">
        <f>+VLOOKUP($A$1,data!$A$165:$AU$195,42)</f>
        <v>65.775888190000003</v>
      </c>
      <c r="J63" s="544">
        <f>+VLOOKUP($A$1,data!$A$165:$AU$195,43)</f>
        <v>63.98817871</v>
      </c>
      <c r="K63" s="544">
        <f>+VLOOKUP($A$1,data!$A$165:$AU$195,44)</f>
        <v>58.608815799999995</v>
      </c>
      <c r="L63" s="544">
        <f>+VLOOKUP($A$1,data!$A$165:$AU$195,45)</f>
        <v>56.715575080000001</v>
      </c>
      <c r="M63" s="544">
        <f>+VLOOKUP($A$1,data!$A$165:$AU$195,46)</f>
        <v>61.461736430000009</v>
      </c>
      <c r="N63" s="544">
        <f>SUM(B63:M63)</f>
        <v>729.58495139000001</v>
      </c>
      <c r="O63" s="544" t="s">
        <v>154</v>
      </c>
      <c r="P63" s="545" t="e">
        <f>+O65-O63</f>
        <v>#VALUE!</v>
      </c>
      <c r="S63" s="605" t="s">
        <v>92</v>
      </c>
      <c r="T63" s="606">
        <f>+VLOOKUP($A$1,data!$A$197:$AU$227,35)</f>
        <v>13.660655689999997</v>
      </c>
      <c r="U63" s="606">
        <f>+VLOOKUP($A$1,data!$A$197:$AU$227,36)</f>
        <v>14.204273490000002</v>
      </c>
      <c r="V63" s="606">
        <f>+VLOOKUP($A$1,data!$A$197:$AU$227,37)</f>
        <v>17.06504734</v>
      </c>
      <c r="W63" s="606">
        <f>+VLOOKUP($A$1,data!$A$197:$AU$227,38)</f>
        <v>13.687753359999999</v>
      </c>
      <c r="X63" s="606">
        <f>+VLOOKUP($A$1,data!$A$197:$AU$227,39)</f>
        <v>15.332990579999999</v>
      </c>
      <c r="Y63" s="606">
        <f>+VLOOKUP($A$1,data!$A$197:$AU$227,40)</f>
        <v>16.680630230000002</v>
      </c>
      <c r="Z63" s="606">
        <f>+VLOOKUP($A$1,data!$A$197:$AU$227,41)</f>
        <v>15.27945594</v>
      </c>
      <c r="AA63" s="606">
        <f>+VLOOKUP($A$1,data!$A$197:$AU$227,42)</f>
        <v>15.117459050000001</v>
      </c>
      <c r="AB63" s="606">
        <f>+VLOOKUP($A$1,data!$A$197:$AU$227,43)</f>
        <v>18.711151300000004</v>
      </c>
      <c r="AC63" s="606">
        <f>+VLOOKUP($A$1,data!$A$197:$AU$227,44)</f>
        <v>14.928711220000002</v>
      </c>
      <c r="AD63" s="606">
        <f>+VLOOKUP($A$1,data!$A$197:$AU$227,45)</f>
        <v>17.163995829999998</v>
      </c>
      <c r="AE63" s="606">
        <f>+VLOOKUP($A$1,data!$A$197:$AU$227,46)</f>
        <v>17.340539060000001</v>
      </c>
      <c r="AF63" s="606">
        <f>SUM(T63:AE63)</f>
        <v>189.17266309000001</v>
      </c>
      <c r="AG63" s="606" t="s">
        <v>154</v>
      </c>
      <c r="AH63" s="607" t="e">
        <f>+AG65-AG63</f>
        <v>#VALUE!</v>
      </c>
      <c r="AI63" s="621" t="s">
        <v>92</v>
      </c>
      <c r="AJ63" s="622">
        <f>+B63-T63</f>
        <v>45.394627880000009</v>
      </c>
      <c r="AK63" s="622">
        <f t="shared" ref="AK63:AU65" si="7">+C63-U63</f>
        <v>46.070730330000004</v>
      </c>
      <c r="AL63" s="622">
        <f t="shared" si="7"/>
        <v>42.380824640000007</v>
      </c>
      <c r="AM63" s="622">
        <f t="shared" si="7"/>
        <v>48.187915970000006</v>
      </c>
      <c r="AN63" s="622">
        <f t="shared" si="7"/>
        <v>43.457076240000006</v>
      </c>
      <c r="AO63" s="622">
        <f t="shared" si="7"/>
        <v>40.811881519999986</v>
      </c>
      <c r="AP63" s="622">
        <f t="shared" si="7"/>
        <v>50.820893970000007</v>
      </c>
      <c r="AQ63" s="622">
        <f t="shared" si="7"/>
        <v>50.658429140000003</v>
      </c>
      <c r="AR63" s="622">
        <f t="shared" si="7"/>
        <v>45.277027409999995</v>
      </c>
      <c r="AS63" s="622">
        <f t="shared" si="7"/>
        <v>43.680104579999991</v>
      </c>
      <c r="AT63" s="622">
        <f t="shared" si="7"/>
        <v>39.551579250000003</v>
      </c>
      <c r="AU63" s="622">
        <f t="shared" si="7"/>
        <v>44.121197370000004</v>
      </c>
      <c r="AV63" s="622">
        <f>SUM(AJ63:AU63)</f>
        <v>540.4122883</v>
      </c>
      <c r="AW63" s="622" t="s">
        <v>154</v>
      </c>
      <c r="AX63" s="703" t="e">
        <f>+AW65-AW63</f>
        <v>#VALUE!</v>
      </c>
      <c r="AY63" s="428"/>
    </row>
    <row r="64" spans="1:51" ht="21.75" thickBot="1" x14ac:dyDescent="0.4">
      <c r="A64" s="538" t="s">
        <v>94</v>
      </c>
      <c r="B64" s="539">
        <f>+VLOOKUP($A$1,data!$A$165:$AU$195,19)</f>
        <v>62.361190000000001</v>
      </c>
      <c r="C64" s="539">
        <f>+VLOOKUP($A$1,data!$A$165:$AU$195,20)</f>
        <v>63.717212000000004</v>
      </c>
      <c r="D64" s="539">
        <f>+VLOOKUP($A$1,data!$A$165:$AU$195,21)</f>
        <v>63.184066999999999</v>
      </c>
      <c r="E64" s="539">
        <f>+VLOOKUP($A$1,data!$A$165:$AU$195,22)</f>
        <v>65.684599000000006</v>
      </c>
      <c r="F64" s="539">
        <f>+VLOOKUP($A$1,data!$A$165:$AU$195,23)</f>
        <v>64.462760000000003</v>
      </c>
      <c r="G64" s="539">
        <f>+VLOOKUP($A$1,data!$A$165:$AU$195,24)</f>
        <v>62.998054000000003</v>
      </c>
      <c r="H64" s="539">
        <f>+VLOOKUP($A$1,data!$A$165:$AU$195,25)</f>
        <v>68.917754000000002</v>
      </c>
      <c r="I64" s="539">
        <f>+VLOOKUP($A$1,data!$A$165:$AU$195,26)</f>
        <v>70.581945000000005</v>
      </c>
      <c r="J64" s="539">
        <f>+VLOOKUP($A$1,data!$A$165:$AU$195,27)</f>
        <v>69.337795</v>
      </c>
      <c r="K64" s="539">
        <f>+VLOOKUP($A$1,data!$A$165:$AU$195,28)</f>
        <v>64.881573000000003</v>
      </c>
      <c r="L64" s="539">
        <f>+VLOOKUP($A$1,data!$A$165:$AU$195,29)</f>
        <v>64.526850999999994</v>
      </c>
      <c r="M64" s="539">
        <f>+VLOOKUP($A$1,data!$A$165:$AU$195,30)</f>
        <v>67.335757999999998</v>
      </c>
      <c r="N64" s="540">
        <f>SUM(B64:M64)</f>
        <v>787.98955799999999</v>
      </c>
      <c r="O64" s="541">
        <f>SUM(B64:M64)</f>
        <v>787.98955799999999</v>
      </c>
      <c r="P64" s="542">
        <f>+O65-O64</f>
        <v>-225.79238949000001</v>
      </c>
      <c r="S64" s="601" t="s">
        <v>94</v>
      </c>
      <c r="T64" s="602">
        <f>+VLOOKUP($A$1,data!$A$197:$AU$227,19)</f>
        <v>16.807950000000002</v>
      </c>
      <c r="U64" s="602">
        <f>+VLOOKUP($A$1,data!$A$197:$AU$227,20)</f>
        <v>14.8302</v>
      </c>
      <c r="V64" s="602">
        <f>+VLOOKUP($A$1,data!$A$197:$AU$227,21)</f>
        <v>13.822838000000001</v>
      </c>
      <c r="W64" s="602">
        <f>+VLOOKUP($A$1,data!$A$197:$AU$227,22)</f>
        <v>14.711186</v>
      </c>
      <c r="X64" s="602">
        <f>+VLOOKUP($A$1,data!$A$197:$AU$227,23)</f>
        <v>14.698128000000001</v>
      </c>
      <c r="Y64" s="602">
        <f>+VLOOKUP($A$1,data!$A$197:$AU$227,24)</f>
        <v>16.071891999999998</v>
      </c>
      <c r="Z64" s="602">
        <f>+VLOOKUP($A$1,data!$A$197:$AU$227,25)</f>
        <v>15.57152</v>
      </c>
      <c r="AA64" s="602">
        <f>+VLOOKUP($A$1,data!$A$197:$AU$227,26)</f>
        <v>15.661652999999999</v>
      </c>
      <c r="AB64" s="602">
        <f>+VLOOKUP($A$1,data!$A$197:$AU$227,27)</f>
        <v>16.426074</v>
      </c>
      <c r="AC64" s="602">
        <f>+VLOOKUP($A$1,data!$A$197:$AU$227,28)</f>
        <v>16.090738999999999</v>
      </c>
      <c r="AD64" s="602">
        <f>+VLOOKUP($A$1,data!$A$197:$AU$227,29)</f>
        <v>16.464739999999999</v>
      </c>
      <c r="AE64" s="602">
        <f>+VLOOKUP($A$1,data!$A$197:$AU$227,30)</f>
        <v>17.571155999999998</v>
      </c>
      <c r="AF64" s="602">
        <f>SUM(T64:AE64)</f>
        <v>188.72807600000002</v>
      </c>
      <c r="AG64" s="603">
        <f>SUM(T64:AE64)</f>
        <v>188.72807600000002</v>
      </c>
      <c r="AH64" s="604">
        <f>+AG65-AG64</f>
        <v>-37.438567450000022</v>
      </c>
      <c r="AI64" s="617" t="s">
        <v>94</v>
      </c>
      <c r="AJ64" s="618">
        <f>+B64-T64</f>
        <v>45.553240000000002</v>
      </c>
      <c r="AK64" s="618">
        <f t="shared" si="7"/>
        <v>48.887012000000006</v>
      </c>
      <c r="AL64" s="618">
        <f t="shared" si="7"/>
        <v>49.361228999999994</v>
      </c>
      <c r="AM64" s="618">
        <f t="shared" si="7"/>
        <v>50.973413000000008</v>
      </c>
      <c r="AN64" s="618">
        <f t="shared" si="7"/>
        <v>49.764632000000006</v>
      </c>
      <c r="AO64" s="618">
        <f t="shared" si="7"/>
        <v>46.926162000000005</v>
      </c>
      <c r="AP64" s="618">
        <f t="shared" si="7"/>
        <v>53.346234000000003</v>
      </c>
      <c r="AQ64" s="618">
        <f t="shared" si="7"/>
        <v>54.920292000000003</v>
      </c>
      <c r="AR64" s="618">
        <f t="shared" si="7"/>
        <v>52.911721</v>
      </c>
      <c r="AS64" s="618">
        <f t="shared" si="7"/>
        <v>48.790834000000004</v>
      </c>
      <c r="AT64" s="618">
        <f t="shared" si="7"/>
        <v>48.062110999999994</v>
      </c>
      <c r="AU64" s="618">
        <f t="shared" si="7"/>
        <v>49.764601999999996</v>
      </c>
      <c r="AV64" s="618">
        <f>SUM(AJ64:AU64)</f>
        <v>599.261482</v>
      </c>
      <c r="AW64" s="619">
        <f>SUM(AJ64:AU64)</f>
        <v>599.261482</v>
      </c>
      <c r="AX64" s="704">
        <f>+AW65-AW64</f>
        <v>-188.35382203999995</v>
      </c>
      <c r="AY64" s="694"/>
    </row>
    <row r="65" spans="1:51" ht="21.75" thickBot="1" x14ac:dyDescent="0.4">
      <c r="A65" s="546" t="s">
        <v>93</v>
      </c>
      <c r="B65" s="547">
        <f>+VLOOKUP($A$1,data!$A$165:$AU$195,3)</f>
        <v>56.988654709999999</v>
      </c>
      <c r="C65" s="547">
        <f>+VLOOKUP($A$1,data!$A$165:$AU$195,4)</f>
        <v>59.688688999999997</v>
      </c>
      <c r="D65" s="547">
        <f>+VLOOKUP($A$1,data!$A$165:$AU$195,5)</f>
        <v>60.10699825999999</v>
      </c>
      <c r="E65" s="547">
        <f>+VLOOKUP($A$1,data!$A$165:$AU$195,6)</f>
        <v>64.271872439999996</v>
      </c>
      <c r="F65" s="547">
        <f>+VLOOKUP($A$1,data!$A$165:$AU$195,7)</f>
        <v>61.713215699999992</v>
      </c>
      <c r="G65" s="547">
        <f>+VLOOKUP($A$1,data!$A$165:$AU$195,8)</f>
        <v>60.570544090000006</v>
      </c>
      <c r="H65" s="547">
        <f>+VLOOKUP($A$1,data!$A$165:$AU$195,9)</f>
        <v>70.411096920000006</v>
      </c>
      <c r="I65" s="547">
        <f>+VLOOKUP($A$1,data!$A$165:$AU$195,10)</f>
        <v>66.361202419999998</v>
      </c>
      <c r="J65" s="547">
        <f>+VLOOKUP($A$1,data!$A$165:$AU$195,11)</f>
        <v>62.084894970000008</v>
      </c>
      <c r="K65" s="547"/>
      <c r="L65" s="547"/>
      <c r="M65" s="547"/>
      <c r="N65" s="548">
        <f>SUM(B65:M65)</f>
        <v>562.19716850999998</v>
      </c>
      <c r="O65" s="549">
        <f t="shared" ref="O65:O66" si="8">SUM(B65:M65)</f>
        <v>562.19716850999998</v>
      </c>
      <c r="P65" s="550"/>
      <c r="S65" s="608" t="s">
        <v>93</v>
      </c>
      <c r="T65" s="609">
        <f>+VLOOKUP($A$1,data!$A$197:$AU$227,3)</f>
        <v>15.907794939999997</v>
      </c>
      <c r="U65" s="609">
        <f>+VLOOKUP($A$1,data!$A$197:$AU$227,4)</f>
        <v>16.720712429999999</v>
      </c>
      <c r="V65" s="609">
        <f>+VLOOKUP($A$1,data!$A$197:$AU$227,5)</f>
        <v>16.179007349999999</v>
      </c>
      <c r="W65" s="609">
        <f>+VLOOKUP($A$1,data!$A$197:$AU$227,6)</f>
        <v>14.9006124</v>
      </c>
      <c r="X65" s="609">
        <f>+VLOOKUP($A$1,data!$A$197:$AU$227,7)</f>
        <v>15.695040839999999</v>
      </c>
      <c r="Y65" s="609">
        <f>+VLOOKUP($A$1,data!$A$197:$AU$227,8)</f>
        <v>17.560883739999998</v>
      </c>
      <c r="Z65" s="609">
        <f>+VLOOKUP($A$1,data!$A$197:$AU$227,9)</f>
        <v>18.600374229999996</v>
      </c>
      <c r="AA65" s="609">
        <f>+VLOOKUP($A$1,data!$A$197:$AU$227,10)</f>
        <v>17.160971989999997</v>
      </c>
      <c r="AB65" s="609">
        <f>+VLOOKUP($A$1,data!$A$197:$AU$227,11)</f>
        <v>18.564110630000002</v>
      </c>
      <c r="AC65" s="609"/>
      <c r="AD65" s="609"/>
      <c r="AE65" s="609"/>
      <c r="AF65" s="609">
        <f>SUM(T65:AE65)</f>
        <v>151.28950854999999</v>
      </c>
      <c r="AG65" s="610">
        <f t="shared" ref="AG65:AG66" si="9">SUM(T65:AE65)</f>
        <v>151.28950854999999</v>
      </c>
      <c r="AH65" s="611"/>
      <c r="AI65" s="624" t="s">
        <v>93</v>
      </c>
      <c r="AJ65" s="625">
        <f>+B65-T65</f>
        <v>41.080859770000004</v>
      </c>
      <c r="AK65" s="625">
        <f t="shared" si="7"/>
        <v>42.967976569999998</v>
      </c>
      <c r="AL65" s="625">
        <f t="shared" si="7"/>
        <v>43.927990909999991</v>
      </c>
      <c r="AM65" s="625">
        <f t="shared" si="7"/>
        <v>49.371260039999996</v>
      </c>
      <c r="AN65" s="625">
        <f t="shared" si="7"/>
        <v>46.018174859999995</v>
      </c>
      <c r="AO65" s="625">
        <f t="shared" si="7"/>
        <v>43.009660350000004</v>
      </c>
      <c r="AP65" s="625">
        <f t="shared" si="7"/>
        <v>51.810722690000006</v>
      </c>
      <c r="AQ65" s="625">
        <f t="shared" si="7"/>
        <v>49.200230430000005</v>
      </c>
      <c r="AR65" s="625">
        <f t="shared" si="7"/>
        <v>43.520784340000006</v>
      </c>
      <c r="AS65" s="625"/>
      <c r="AT65" s="625"/>
      <c r="AU65" s="625"/>
      <c r="AV65" s="625">
        <f>SUM(AJ65:AU65)</f>
        <v>410.90765996000005</v>
      </c>
      <c r="AW65" s="626">
        <f t="shared" ref="AW65:AW66" si="10">SUM(AJ65:AU65)</f>
        <v>410.90765996000005</v>
      </c>
      <c r="AX65" s="705"/>
      <c r="AY65" s="695"/>
    </row>
    <row r="66" spans="1:51" x14ac:dyDescent="0.35">
      <c r="A66" s="427"/>
      <c r="B66" s="428"/>
      <c r="C66" s="428"/>
      <c r="D66" s="428"/>
      <c r="E66" s="428"/>
      <c r="F66" s="428"/>
      <c r="G66" s="428"/>
      <c r="H66" s="428"/>
      <c r="I66" s="428"/>
      <c r="J66" s="428"/>
      <c r="K66" s="428">
        <f>+VLOOKUP($A$1,data!$A$165:$AU$195,12)</f>
        <v>59.143416660000014</v>
      </c>
      <c r="L66" s="428">
        <f>+VLOOKUP($A$1,data!$A$165:$AU$195,13)</f>
        <v>61.300377789999992</v>
      </c>
      <c r="M66" s="428">
        <f>+VLOOKUP($A$1,data!$A$165:$AU$195,14)</f>
        <v>62.668690869999992</v>
      </c>
      <c r="N66" s="429"/>
      <c r="O66" s="430">
        <f t="shared" si="8"/>
        <v>183.11248532000002</v>
      </c>
      <c r="P66" s="426"/>
      <c r="S66" s="657" t="s">
        <v>135</v>
      </c>
      <c r="T66" s="428"/>
      <c r="U66" s="428"/>
      <c r="V66" s="428"/>
      <c r="W66" s="428"/>
      <c r="X66" s="428"/>
      <c r="Y66" s="428"/>
      <c r="Z66" s="428"/>
      <c r="AA66" s="428"/>
      <c r="AB66" s="428"/>
      <c r="AC66" s="428">
        <f>+VLOOKUP($A$1,data!$A$197:$AU$227,12)</f>
        <v>16.904590210000006</v>
      </c>
      <c r="AD66" s="428">
        <f>+VLOOKUP($A$1,data!$A$197:$AU$227,13)</f>
        <v>16.582067989999999</v>
      </c>
      <c r="AE66" s="428">
        <f>+VLOOKUP($A$1,data!$A$197:$AU$227,14)</f>
        <v>17.45608043</v>
      </c>
      <c r="AF66" s="429"/>
      <c r="AG66" s="430">
        <f t="shared" si="9"/>
        <v>50.942738630000008</v>
      </c>
      <c r="AH66" s="426"/>
      <c r="AI66" s="427"/>
      <c r="AJ66" s="428"/>
      <c r="AK66" s="428"/>
      <c r="AL66" s="428"/>
      <c r="AM66" s="428"/>
      <c r="AN66" s="428"/>
      <c r="AO66" s="428"/>
      <c r="AP66" s="428"/>
      <c r="AQ66" s="428"/>
      <c r="AR66" s="428"/>
      <c r="AS66" s="428"/>
      <c r="AT66" s="428"/>
      <c r="AU66" s="428"/>
      <c r="AV66" s="429"/>
      <c r="AW66" s="430">
        <f t="shared" si="10"/>
        <v>0</v>
      </c>
      <c r="AX66" s="426"/>
      <c r="AY66" s="426"/>
    </row>
    <row r="67" spans="1:51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427"/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  <c r="AY67" s="426"/>
    </row>
    <row r="68" spans="1:51" x14ac:dyDescent="0.35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304"/>
    </row>
    <row r="69" spans="1:51" x14ac:dyDescent="0.35"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  <c r="AY69" s="304"/>
    </row>
    <row r="70" spans="1:51" x14ac:dyDescent="0.35"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299"/>
    </row>
    <row r="71" spans="1:51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299"/>
    </row>
    <row r="72" spans="1:51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299"/>
    </row>
    <row r="73" spans="1:51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299"/>
    </row>
    <row r="74" spans="1:51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299"/>
    </row>
    <row r="75" spans="1:51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299"/>
    </row>
    <row r="76" spans="1:51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299"/>
    </row>
    <row r="77" spans="1:51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299"/>
    </row>
    <row r="78" spans="1:51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299"/>
    </row>
    <row r="79" spans="1:51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  <c r="AY79" s="299"/>
    </row>
    <row r="80" spans="1:51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299"/>
    </row>
    <row r="81" spans="1:51" ht="21.75" thickBot="1" x14ac:dyDescent="0.4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  <c r="AY81" s="299"/>
    </row>
    <row r="82" spans="1:51" x14ac:dyDescent="0.35">
      <c r="A82"/>
      <c r="B82" s="848" t="s">
        <v>89</v>
      </c>
      <c r="C82" s="848" t="s">
        <v>96</v>
      </c>
      <c r="D82" s="848" t="s">
        <v>97</v>
      </c>
      <c r="E82" s="848" t="s">
        <v>98</v>
      </c>
      <c r="F82" s="848" t="s">
        <v>99</v>
      </c>
      <c r="G82" s="848" t="s">
        <v>100</v>
      </c>
      <c r="H82" s="848" t="s">
        <v>16</v>
      </c>
      <c r="I82" s="848" t="s">
        <v>101</v>
      </c>
      <c r="J82" s="848" t="s">
        <v>102</v>
      </c>
      <c r="K82" s="848" t="s">
        <v>103</v>
      </c>
      <c r="L82" s="848" t="s">
        <v>104</v>
      </c>
      <c r="M82" s="848" t="s">
        <v>105</v>
      </c>
      <c r="N82" s="848" t="s">
        <v>106</v>
      </c>
      <c r="S82"/>
      <c r="T82" s="846" t="s">
        <v>89</v>
      </c>
      <c r="U82" s="846" t="s">
        <v>96</v>
      </c>
      <c r="V82" s="846" t="s">
        <v>97</v>
      </c>
      <c r="W82" s="846" t="s">
        <v>98</v>
      </c>
      <c r="X82" s="846" t="s">
        <v>99</v>
      </c>
      <c r="Y82" s="846" t="s">
        <v>100</v>
      </c>
      <c r="Z82" s="846" t="s">
        <v>16</v>
      </c>
      <c r="AA82" s="846" t="s">
        <v>101</v>
      </c>
      <c r="AB82" s="846" t="s">
        <v>102</v>
      </c>
      <c r="AC82" s="846" t="s">
        <v>103</v>
      </c>
      <c r="AD82" s="846" t="s">
        <v>104</v>
      </c>
      <c r="AE82" s="846" t="s">
        <v>105</v>
      </c>
      <c r="AF82" s="846" t="s">
        <v>106</v>
      </c>
      <c r="AG82" s="158"/>
      <c r="AH82" s="158"/>
      <c r="AI82"/>
      <c r="AJ82" s="852" t="s">
        <v>89</v>
      </c>
      <c r="AK82" s="852" t="s">
        <v>96</v>
      </c>
      <c r="AL82" s="852" t="s">
        <v>97</v>
      </c>
      <c r="AM82" s="852" t="s">
        <v>98</v>
      </c>
      <c r="AN82" s="852" t="s">
        <v>99</v>
      </c>
      <c r="AO82" s="852" t="s">
        <v>100</v>
      </c>
      <c r="AP82" s="852" t="s">
        <v>16</v>
      </c>
      <c r="AQ82" s="852" t="s">
        <v>101</v>
      </c>
      <c r="AR82" s="852" t="s">
        <v>102</v>
      </c>
      <c r="AS82" s="852" t="s">
        <v>103</v>
      </c>
      <c r="AT82" s="852" t="s">
        <v>104</v>
      </c>
      <c r="AU82" s="852" t="s">
        <v>105</v>
      </c>
      <c r="AV82" s="852" t="s">
        <v>106</v>
      </c>
      <c r="AW82" s="158"/>
      <c r="AX82" s="158"/>
      <c r="AY82" s="299"/>
    </row>
    <row r="83" spans="1:51" ht="21.75" thickBot="1" x14ac:dyDescent="0.4">
      <c r="A83"/>
      <c r="B83" s="849"/>
      <c r="C83" s="849"/>
      <c r="D83" s="849"/>
      <c r="E83" s="849"/>
      <c r="F83" s="849"/>
      <c r="G83" s="849"/>
      <c r="H83" s="849"/>
      <c r="I83" s="849"/>
      <c r="J83" s="849"/>
      <c r="K83" s="849"/>
      <c r="L83" s="849"/>
      <c r="M83" s="849"/>
      <c r="N83" s="849"/>
      <c r="S83"/>
      <c r="T83" s="847"/>
      <c r="U83" s="847"/>
      <c r="V83" s="847"/>
      <c r="W83" s="847"/>
      <c r="X83" s="847"/>
      <c r="Y83" s="847"/>
      <c r="Z83" s="847"/>
      <c r="AA83" s="847"/>
      <c r="AB83" s="847"/>
      <c r="AC83" s="847"/>
      <c r="AD83" s="847"/>
      <c r="AE83" s="847"/>
      <c r="AF83" s="847"/>
      <c r="AG83" s="158"/>
      <c r="AH83" s="158"/>
      <c r="AI83"/>
      <c r="AJ83" s="853"/>
      <c r="AK83" s="853"/>
      <c r="AL83" s="853"/>
      <c r="AM83" s="853"/>
      <c r="AN83" s="853"/>
      <c r="AO83" s="853"/>
      <c r="AP83" s="853"/>
      <c r="AQ83" s="853"/>
      <c r="AR83" s="853"/>
      <c r="AS83" s="853"/>
      <c r="AT83" s="853"/>
      <c r="AU83" s="853"/>
      <c r="AV83" s="853"/>
      <c r="AW83" s="158"/>
      <c r="AX83" s="158"/>
      <c r="AY83" s="299"/>
    </row>
    <row r="84" spans="1:51" ht="22.5" thickTop="1" thickBot="1" x14ac:dyDescent="0.4">
      <c r="A84"/>
      <c r="B84" s="405" t="s">
        <v>92</v>
      </c>
      <c r="C84" s="406">
        <f>+B63</f>
        <v>59.055283570000007</v>
      </c>
      <c r="D84" s="406">
        <f t="shared" ref="D84:N86" si="11">+C84+C63</f>
        <v>119.33028739000001</v>
      </c>
      <c r="E84" s="406">
        <f t="shared" si="11"/>
        <v>178.77615937000002</v>
      </c>
      <c r="F84" s="406">
        <f t="shared" si="11"/>
        <v>240.65182870000001</v>
      </c>
      <c r="G84" s="406">
        <f t="shared" si="11"/>
        <v>299.44189552</v>
      </c>
      <c r="H84" s="406">
        <f t="shared" si="11"/>
        <v>356.93440727000001</v>
      </c>
      <c r="I84" s="406">
        <f t="shared" si="11"/>
        <v>423.03475718000004</v>
      </c>
      <c r="J84" s="406">
        <f t="shared" si="11"/>
        <v>488.81064537000003</v>
      </c>
      <c r="K84" s="406">
        <f t="shared" si="11"/>
        <v>552.79882408000003</v>
      </c>
      <c r="L84" s="406">
        <f t="shared" si="11"/>
        <v>611.40763988000003</v>
      </c>
      <c r="M84" s="406">
        <f t="shared" si="11"/>
        <v>668.12321496000004</v>
      </c>
      <c r="N84" s="406">
        <f t="shared" si="11"/>
        <v>729.58495139000001</v>
      </c>
      <c r="S84"/>
      <c r="T84" s="605" t="s">
        <v>92</v>
      </c>
      <c r="U84" s="613">
        <f>+T63</f>
        <v>13.660655689999997</v>
      </c>
      <c r="V84" s="613">
        <f t="shared" ref="V84:AF86" si="12">+U84+U63</f>
        <v>27.864929179999997</v>
      </c>
      <c r="W84" s="613">
        <f t="shared" si="12"/>
        <v>44.929976519999997</v>
      </c>
      <c r="X84" s="613">
        <f t="shared" si="12"/>
        <v>58.617729879999999</v>
      </c>
      <c r="Y84" s="613">
        <f t="shared" si="12"/>
        <v>73.950720459999999</v>
      </c>
      <c r="Z84" s="613">
        <f t="shared" si="12"/>
        <v>90.631350690000005</v>
      </c>
      <c r="AA84" s="613">
        <f t="shared" si="12"/>
        <v>105.91080663000001</v>
      </c>
      <c r="AB84" s="613">
        <f t="shared" si="12"/>
        <v>121.02826568</v>
      </c>
      <c r="AC84" s="613">
        <f t="shared" si="12"/>
        <v>139.73941698000002</v>
      </c>
      <c r="AD84" s="613">
        <f t="shared" si="12"/>
        <v>154.66812820000001</v>
      </c>
      <c r="AE84" s="613">
        <f t="shared" si="12"/>
        <v>171.83212403000002</v>
      </c>
      <c r="AF84" s="613">
        <f t="shared" si="12"/>
        <v>189.17266309000001</v>
      </c>
      <c r="AG84" s="158"/>
      <c r="AH84" s="158"/>
      <c r="AI84"/>
      <c r="AJ84" s="621" t="s">
        <v>92</v>
      </c>
      <c r="AK84" s="622">
        <f>+AJ63</f>
        <v>45.394627880000009</v>
      </c>
      <c r="AL84" s="622">
        <f t="shared" ref="AL84:AV86" si="13">+AK84+AK63</f>
        <v>91.465358210000005</v>
      </c>
      <c r="AM84" s="622">
        <f t="shared" si="13"/>
        <v>133.84618285000002</v>
      </c>
      <c r="AN84" s="622">
        <f t="shared" si="13"/>
        <v>182.03409882000003</v>
      </c>
      <c r="AO84" s="622">
        <f t="shared" si="13"/>
        <v>225.49117506000005</v>
      </c>
      <c r="AP84" s="622">
        <f t="shared" si="13"/>
        <v>266.30305658000003</v>
      </c>
      <c r="AQ84" s="622">
        <f t="shared" si="13"/>
        <v>317.12395055000002</v>
      </c>
      <c r="AR84" s="622">
        <f t="shared" si="13"/>
        <v>367.78237969000003</v>
      </c>
      <c r="AS84" s="622">
        <f t="shared" si="13"/>
        <v>413.05940710000004</v>
      </c>
      <c r="AT84" s="622">
        <f t="shared" si="13"/>
        <v>456.73951168000002</v>
      </c>
      <c r="AU84" s="622">
        <f t="shared" si="13"/>
        <v>496.29109093</v>
      </c>
      <c r="AV84" s="622">
        <f t="shared" si="13"/>
        <v>540.4122883</v>
      </c>
      <c r="AW84" s="158"/>
      <c r="AX84" s="158"/>
      <c r="AY84" s="299"/>
    </row>
    <row r="85" spans="1:51" ht="21.75" thickBot="1" x14ac:dyDescent="0.4">
      <c r="A85"/>
      <c r="B85" s="538" t="s">
        <v>94</v>
      </c>
      <c r="C85" s="539">
        <f>+B64</f>
        <v>62.361190000000001</v>
      </c>
      <c r="D85" s="539">
        <f t="shared" si="11"/>
        <v>126.07840200000001</v>
      </c>
      <c r="E85" s="539">
        <f t="shared" si="11"/>
        <v>189.26246900000001</v>
      </c>
      <c r="F85" s="539">
        <f t="shared" si="11"/>
        <v>254.947068</v>
      </c>
      <c r="G85" s="539">
        <f t="shared" si="11"/>
        <v>319.409828</v>
      </c>
      <c r="H85" s="539">
        <f t="shared" si="11"/>
        <v>382.40788200000003</v>
      </c>
      <c r="I85" s="539">
        <f t="shared" si="11"/>
        <v>451.32563600000003</v>
      </c>
      <c r="J85" s="539">
        <f t="shared" si="11"/>
        <v>521.90758100000005</v>
      </c>
      <c r="K85" s="539">
        <f t="shared" si="11"/>
        <v>591.24537600000008</v>
      </c>
      <c r="L85" s="539">
        <f t="shared" si="11"/>
        <v>656.12694900000008</v>
      </c>
      <c r="M85" s="539">
        <f t="shared" si="11"/>
        <v>720.65380000000005</v>
      </c>
      <c r="N85" s="539">
        <f t="shared" si="11"/>
        <v>787.98955799999999</v>
      </c>
      <c r="S85"/>
      <c r="T85" s="601" t="s">
        <v>94</v>
      </c>
      <c r="U85" s="612">
        <f>+T64</f>
        <v>16.807950000000002</v>
      </c>
      <c r="V85" s="612">
        <f t="shared" si="12"/>
        <v>31.638150000000003</v>
      </c>
      <c r="W85" s="612">
        <f t="shared" si="12"/>
        <v>45.460988</v>
      </c>
      <c r="X85" s="612">
        <f t="shared" si="12"/>
        <v>60.172173999999998</v>
      </c>
      <c r="Y85" s="612">
        <f t="shared" si="12"/>
        <v>74.870301999999995</v>
      </c>
      <c r="Z85" s="612">
        <f t="shared" si="12"/>
        <v>90.942194000000001</v>
      </c>
      <c r="AA85" s="612">
        <f t="shared" si="12"/>
        <v>106.51371399999999</v>
      </c>
      <c r="AB85" s="612">
        <f t="shared" si="12"/>
        <v>122.17536699999999</v>
      </c>
      <c r="AC85" s="612">
        <f t="shared" si="12"/>
        <v>138.60144099999999</v>
      </c>
      <c r="AD85" s="612">
        <f t="shared" si="12"/>
        <v>154.69218000000001</v>
      </c>
      <c r="AE85" s="612">
        <f t="shared" si="12"/>
        <v>171.15692000000001</v>
      </c>
      <c r="AF85" s="612">
        <f t="shared" si="12"/>
        <v>188.72807600000002</v>
      </c>
      <c r="AG85" s="158"/>
      <c r="AH85" s="158"/>
      <c r="AI85"/>
      <c r="AJ85" s="617" t="s">
        <v>94</v>
      </c>
      <c r="AK85" s="618">
        <f>+AJ64</f>
        <v>45.553240000000002</v>
      </c>
      <c r="AL85" s="618">
        <f t="shared" si="13"/>
        <v>94.440252000000015</v>
      </c>
      <c r="AM85" s="618">
        <f t="shared" si="13"/>
        <v>143.80148100000002</v>
      </c>
      <c r="AN85" s="618">
        <f t="shared" si="13"/>
        <v>194.77489400000002</v>
      </c>
      <c r="AO85" s="618">
        <f t="shared" si="13"/>
        <v>244.53952600000002</v>
      </c>
      <c r="AP85" s="618">
        <f t="shared" si="13"/>
        <v>291.465688</v>
      </c>
      <c r="AQ85" s="618">
        <f t="shared" si="13"/>
        <v>344.81192199999998</v>
      </c>
      <c r="AR85" s="618">
        <f t="shared" si="13"/>
        <v>399.732214</v>
      </c>
      <c r="AS85" s="618">
        <f t="shared" si="13"/>
        <v>452.643935</v>
      </c>
      <c r="AT85" s="618">
        <f t="shared" si="13"/>
        <v>501.43476900000002</v>
      </c>
      <c r="AU85" s="618">
        <f t="shared" si="13"/>
        <v>549.49688000000003</v>
      </c>
      <c r="AV85" s="618">
        <f t="shared" si="13"/>
        <v>599.261482</v>
      </c>
      <c r="AW85" s="158"/>
      <c r="AX85" s="158"/>
      <c r="AY85" s="299"/>
    </row>
    <row r="86" spans="1:51" ht="21.75" thickBot="1" x14ac:dyDescent="0.4">
      <c r="A86"/>
      <c r="B86" s="413" t="s">
        <v>93</v>
      </c>
      <c r="C86" s="414">
        <f>+B65</f>
        <v>56.988654709999999</v>
      </c>
      <c r="D86" s="414">
        <f t="shared" si="11"/>
        <v>116.67734371</v>
      </c>
      <c r="E86" s="414">
        <f t="shared" si="11"/>
        <v>176.78434196999999</v>
      </c>
      <c r="F86" s="414">
        <f t="shared" si="11"/>
        <v>241.05621441</v>
      </c>
      <c r="G86" s="414">
        <f t="shared" si="11"/>
        <v>302.76943010999997</v>
      </c>
      <c r="H86" s="414">
        <f t="shared" si="11"/>
        <v>363.33997419999997</v>
      </c>
      <c r="I86" s="414">
        <f t="shared" si="11"/>
        <v>433.75107112000001</v>
      </c>
      <c r="J86" s="414">
        <f t="shared" si="11"/>
        <v>500.11227353999999</v>
      </c>
      <c r="K86" s="414">
        <f t="shared" si="11"/>
        <v>562.19716850999998</v>
      </c>
      <c r="L86" s="414">
        <f t="shared" si="11"/>
        <v>562.19716850999998</v>
      </c>
      <c r="M86" s="414">
        <f t="shared" si="11"/>
        <v>562.19716850999998</v>
      </c>
      <c r="N86" s="414">
        <f t="shared" si="11"/>
        <v>562.19716850999998</v>
      </c>
      <c r="S86"/>
      <c r="T86" s="608" t="s">
        <v>93</v>
      </c>
      <c r="U86" s="614">
        <f>+T65</f>
        <v>15.907794939999997</v>
      </c>
      <c r="V86" s="614">
        <f t="shared" si="12"/>
        <v>32.628507369999994</v>
      </c>
      <c r="W86" s="614">
        <f t="shared" si="12"/>
        <v>48.807514719999993</v>
      </c>
      <c r="X86" s="614">
        <f t="shared" si="12"/>
        <v>63.708127119999993</v>
      </c>
      <c r="Y86" s="614">
        <f t="shared" si="12"/>
        <v>79.40316795999999</v>
      </c>
      <c r="Z86" s="614">
        <f t="shared" si="12"/>
        <v>96.964051699999985</v>
      </c>
      <c r="AA86" s="614">
        <f t="shared" si="12"/>
        <v>115.56442592999998</v>
      </c>
      <c r="AB86" s="614">
        <f t="shared" si="12"/>
        <v>132.72539791999998</v>
      </c>
      <c r="AC86" s="614">
        <f t="shared" si="12"/>
        <v>151.28950854999999</v>
      </c>
      <c r="AD86" s="614">
        <f t="shared" si="12"/>
        <v>151.28950854999999</v>
      </c>
      <c r="AE86" s="614">
        <f t="shared" si="12"/>
        <v>151.28950854999999</v>
      </c>
      <c r="AF86" s="614">
        <f t="shared" si="12"/>
        <v>151.28950854999999</v>
      </c>
      <c r="AG86" s="158"/>
      <c r="AH86" s="158"/>
      <c r="AI86"/>
      <c r="AJ86" s="624" t="s">
        <v>93</v>
      </c>
      <c r="AK86" s="625">
        <f>+AJ65</f>
        <v>41.080859770000004</v>
      </c>
      <c r="AL86" s="625">
        <f t="shared" si="13"/>
        <v>84.048836340000008</v>
      </c>
      <c r="AM86" s="625">
        <f t="shared" si="13"/>
        <v>127.97682725</v>
      </c>
      <c r="AN86" s="625">
        <f t="shared" si="13"/>
        <v>177.34808729</v>
      </c>
      <c r="AO86" s="625">
        <f t="shared" si="13"/>
        <v>223.36626214999998</v>
      </c>
      <c r="AP86" s="625">
        <f t="shared" si="13"/>
        <v>266.3759225</v>
      </c>
      <c r="AQ86" s="625">
        <f t="shared" si="13"/>
        <v>318.18664519000004</v>
      </c>
      <c r="AR86" s="625">
        <f t="shared" si="13"/>
        <v>367.38687562000007</v>
      </c>
      <c r="AS86" s="625">
        <f t="shared" si="13"/>
        <v>410.90765996000005</v>
      </c>
      <c r="AT86" s="625">
        <f t="shared" si="13"/>
        <v>410.90765996000005</v>
      </c>
      <c r="AU86" s="625">
        <f t="shared" si="13"/>
        <v>410.90765996000005</v>
      </c>
      <c r="AV86" s="625">
        <f t="shared" si="13"/>
        <v>410.90765996000005</v>
      </c>
      <c r="AW86" s="158"/>
      <c r="AX86" s="158"/>
      <c r="AY86" s="299"/>
    </row>
    <row r="87" spans="1:51" x14ac:dyDescent="0.35">
      <c r="Y87" s="158"/>
      <c r="Z87" s="158"/>
      <c r="AA87" s="158"/>
      <c r="AB87" s="158"/>
      <c r="AC87" s="158"/>
      <c r="AD87" s="158"/>
      <c r="AE87" s="158"/>
      <c r="AF87" s="158"/>
      <c r="AG87" s="158"/>
      <c r="AH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299"/>
    </row>
  </sheetData>
  <mergeCells count="193">
    <mergeCell ref="AT1:AX1"/>
    <mergeCell ref="B1:L1"/>
    <mergeCell ref="AR16:AR17"/>
    <mergeCell ref="M16:M17"/>
    <mergeCell ref="N16:N17"/>
    <mergeCell ref="AN16:AN17"/>
    <mergeCell ref="BK16:BK17"/>
    <mergeCell ref="BL16:BL17"/>
    <mergeCell ref="BM16:BM17"/>
    <mergeCell ref="M1:P1"/>
    <mergeCell ref="AJ1:AS1"/>
    <mergeCell ref="AJ16:AJ17"/>
    <mergeCell ref="AK16:AK17"/>
    <mergeCell ref="AL16:AL17"/>
    <mergeCell ref="BA1:BJ1"/>
    <mergeCell ref="BK1:BO1"/>
    <mergeCell ref="BH16:BH17"/>
    <mergeCell ref="BI16:BI17"/>
    <mergeCell ref="BJ16:BJ17"/>
    <mergeCell ref="AS16:AS17"/>
    <mergeCell ref="AT16:AT17"/>
    <mergeCell ref="AU16:AU17"/>
    <mergeCell ref="AV16:AV17"/>
    <mergeCell ref="AZ16:AZ17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G37:G38"/>
    <mergeCell ref="AM16:AM17"/>
    <mergeCell ref="AM37:AM38"/>
    <mergeCell ref="J16:J17"/>
    <mergeCell ref="K16:K17"/>
    <mergeCell ref="BA16:BA17"/>
    <mergeCell ref="BB16:BB17"/>
    <mergeCell ref="BD16:BD17"/>
    <mergeCell ref="BE16:BE17"/>
    <mergeCell ref="BF16:BF17"/>
    <mergeCell ref="BG16:BG17"/>
    <mergeCell ref="BC16:BC17"/>
    <mergeCell ref="AN37:AN38"/>
    <mergeCell ref="H37:H38"/>
    <mergeCell ref="I37:I38"/>
    <mergeCell ref="J37:J38"/>
    <mergeCell ref="K37:K38"/>
    <mergeCell ref="L37:L38"/>
    <mergeCell ref="M37:M38"/>
    <mergeCell ref="N37:N38"/>
    <mergeCell ref="AJ37:AJ38"/>
    <mergeCell ref="AK37:AK38"/>
    <mergeCell ref="BH37:BH38"/>
    <mergeCell ref="BI37:BI38"/>
    <mergeCell ref="BB37:BB38"/>
    <mergeCell ref="BC37:BC38"/>
    <mergeCell ref="AO37:AO38"/>
    <mergeCell ref="AP37:AP38"/>
    <mergeCell ref="AQ37:AQ38"/>
    <mergeCell ref="AR37:AR38"/>
    <mergeCell ref="AS37:AS38"/>
    <mergeCell ref="AT37:AT38"/>
    <mergeCell ref="BP37:BP38"/>
    <mergeCell ref="BA42:BB42"/>
    <mergeCell ref="BA43:BB43"/>
    <mergeCell ref="BA44:BB44"/>
    <mergeCell ref="BA45:BB45"/>
    <mergeCell ref="B46:L46"/>
    <mergeCell ref="M46:P46"/>
    <mergeCell ref="T46:AC46"/>
    <mergeCell ref="AD46:AH46"/>
    <mergeCell ref="AJ46:AS46"/>
    <mergeCell ref="BJ37:BJ38"/>
    <mergeCell ref="BK37:BK38"/>
    <mergeCell ref="BL37:BL38"/>
    <mergeCell ref="BM37:BM38"/>
    <mergeCell ref="AU37:AU38"/>
    <mergeCell ref="AV37:AV38"/>
    <mergeCell ref="AZ37:AZ38"/>
    <mergeCell ref="BA37:BA38"/>
    <mergeCell ref="BN37:BN38"/>
    <mergeCell ref="BO37:BO38"/>
    <mergeCell ref="BD37:BD38"/>
    <mergeCell ref="BE37:BE38"/>
    <mergeCell ref="BF37:BF38"/>
    <mergeCell ref="BG37:BG38"/>
    <mergeCell ref="AT46:AX46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S61:S62"/>
    <mergeCell ref="T61:T62"/>
    <mergeCell ref="AU61:AU62"/>
    <mergeCell ref="AV61:AV62"/>
    <mergeCell ref="Z61:Z62"/>
    <mergeCell ref="AA61:AA62"/>
    <mergeCell ref="AB61:AB62"/>
    <mergeCell ref="B82:B83"/>
    <mergeCell ref="C82:C83"/>
    <mergeCell ref="D82:D83"/>
    <mergeCell ref="E82:E83"/>
    <mergeCell ref="F82:F83"/>
    <mergeCell ref="G82:G83"/>
    <mergeCell ref="H82:H83"/>
    <mergeCell ref="I82:I83"/>
    <mergeCell ref="AT61:AT62"/>
    <mergeCell ref="AP61:AP62"/>
    <mergeCell ref="AQ61:AQ62"/>
    <mergeCell ref="AR61:AR62"/>
    <mergeCell ref="AS61:AS62"/>
    <mergeCell ref="W61:W62"/>
    <mergeCell ref="X61:X62"/>
    <mergeCell ref="Y61:Y62"/>
    <mergeCell ref="AN61:AN62"/>
    <mergeCell ref="AO61:AO62"/>
    <mergeCell ref="AF61:AF62"/>
    <mergeCell ref="AI61:AI62"/>
    <mergeCell ref="AJ61:AJ62"/>
    <mergeCell ref="AK61:AK62"/>
    <mergeCell ref="AL61:AL62"/>
    <mergeCell ref="AM61:AM62"/>
    <mergeCell ref="J82:J83"/>
    <mergeCell ref="K82:K83"/>
    <mergeCell ref="L82:L83"/>
    <mergeCell ref="M82:M83"/>
    <mergeCell ref="N82:N83"/>
    <mergeCell ref="AB82:AB83"/>
    <mergeCell ref="Z82:Z83"/>
    <mergeCell ref="AA82:AA83"/>
    <mergeCell ref="T82:T83"/>
    <mergeCell ref="U82:U83"/>
    <mergeCell ref="V82:V83"/>
    <mergeCell ref="W82:W83"/>
    <mergeCell ref="X82:X83"/>
    <mergeCell ref="Y82:Y83"/>
    <mergeCell ref="AU82:AU83"/>
    <mergeCell ref="AV82:AV83"/>
    <mergeCell ref="AO82:AO83"/>
    <mergeCell ref="AP82:AP83"/>
    <mergeCell ref="AQ82:AQ83"/>
    <mergeCell ref="AR82:AR83"/>
    <mergeCell ref="AS82:AS83"/>
    <mergeCell ref="AT82:AT83"/>
    <mergeCell ref="AC61:AC62"/>
    <mergeCell ref="AD61:AD62"/>
    <mergeCell ref="AE61:AE62"/>
    <mergeCell ref="AC82:AC83"/>
    <mergeCell ref="AD82:AD83"/>
    <mergeCell ref="AE82:AE83"/>
    <mergeCell ref="AF82:AF83"/>
    <mergeCell ref="AL82:AL83"/>
    <mergeCell ref="AM82:AM83"/>
    <mergeCell ref="AN82:AN83"/>
    <mergeCell ref="T21:U21"/>
    <mergeCell ref="T22:U22"/>
    <mergeCell ref="T23:U23"/>
    <mergeCell ref="T1:AD1"/>
    <mergeCell ref="AE1:AH1"/>
    <mergeCell ref="T19:U20"/>
    <mergeCell ref="V19:W19"/>
    <mergeCell ref="X19:Y19"/>
    <mergeCell ref="Z19:AA19"/>
    <mergeCell ref="AB19:AC19"/>
    <mergeCell ref="AD19:AE19"/>
    <mergeCell ref="AJ82:AJ83"/>
    <mergeCell ref="AK82:AK83"/>
    <mergeCell ref="U61:U62"/>
    <mergeCell ref="V61:V62"/>
  </mergeCells>
  <conditionalFormatting sqref="P21:R22 Q18:R20">
    <cfRule type="cellIs" dxfId="407" priority="15" operator="lessThan">
      <formula>0</formula>
    </cfRule>
  </conditionalFormatting>
  <conditionalFormatting sqref="O41">
    <cfRule type="cellIs" dxfId="406" priority="14" operator="lessThan">
      <formula>0</formula>
    </cfRule>
  </conditionalFormatting>
  <conditionalFormatting sqref="AX18:AY22">
    <cfRule type="cellIs" dxfId="405" priority="13" operator="lessThan">
      <formula>0</formula>
    </cfRule>
  </conditionalFormatting>
  <conditionalFormatting sqref="BO21:BO22">
    <cfRule type="cellIs" dxfId="404" priority="12" operator="lessThan">
      <formula>0</formula>
    </cfRule>
  </conditionalFormatting>
  <conditionalFormatting sqref="BC43:BC45">
    <cfRule type="cellIs" dxfId="403" priority="11" operator="greaterThan">
      <formula>0</formula>
    </cfRule>
  </conditionalFormatting>
  <conditionalFormatting sqref="AX18:AY20">
    <cfRule type="cellIs" dxfId="402" priority="10" operator="lessThan">
      <formula>0</formula>
    </cfRule>
  </conditionalFormatting>
  <conditionalFormatting sqref="BO18:BO20">
    <cfRule type="cellIs" dxfId="401" priority="9" operator="greaterThan">
      <formula>0</formula>
    </cfRule>
  </conditionalFormatting>
  <conditionalFormatting sqref="P18:P20">
    <cfRule type="cellIs" dxfId="400" priority="8" operator="lessThan">
      <formula>0</formula>
    </cfRule>
  </conditionalFormatting>
  <conditionalFormatting sqref="P66:P67">
    <cfRule type="cellIs" dxfId="399" priority="7" operator="lessThan">
      <formula>0</formula>
    </cfRule>
  </conditionalFormatting>
  <conditionalFormatting sqref="P63:P65">
    <cfRule type="cellIs" dxfId="398" priority="6" operator="lessThan">
      <formula>0</formula>
    </cfRule>
  </conditionalFormatting>
  <conditionalFormatting sqref="AH66:AH67">
    <cfRule type="cellIs" dxfId="397" priority="5" operator="lessThan">
      <formula>0</formula>
    </cfRule>
  </conditionalFormatting>
  <conditionalFormatting sqref="AH63:AH65">
    <cfRule type="cellIs" dxfId="396" priority="4" operator="greaterThan">
      <formula>0</formula>
    </cfRule>
  </conditionalFormatting>
  <conditionalFormatting sqref="AX66:AY67">
    <cfRule type="cellIs" dxfId="395" priority="3" operator="lessThan">
      <formula>0</formula>
    </cfRule>
  </conditionalFormatting>
  <conditionalFormatting sqref="AX63:AY65">
    <cfRule type="cellIs" dxfId="394" priority="2" operator="lessThan">
      <formula>0</formula>
    </cfRule>
  </conditionalFormatting>
  <conditionalFormatting sqref="S24:AH25 S21:T23 V21:AH23">
    <cfRule type="cellIs" dxfId="393" priority="1" operator="lessThan">
      <formula>0</formula>
    </cfRule>
  </conditionalFormatting>
  <pageMargins left="0.39370078740157483" right="0.19685039370078741" top="0.74803149606299213" bottom="0.37" header="0.31496062992125984" footer="0.31496062992125984"/>
  <pageSetup paperSize="9" scale="80" pageOrder="overThenDown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34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1005</v>
      </c>
      <c r="B3" s="807" t="str">
        <f>+VLOOKUP($A3,data!$A$4:$AH$32,2,0)</f>
        <v>ฮอด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2434</v>
      </c>
      <c r="C9" s="180">
        <f>+VLOOKUP($A$3,data!$A$4:$AH$32,8,0)/10^6</f>
        <v>0.40529900000000002</v>
      </c>
      <c r="D9" s="181">
        <f>+VLOOKUP($A$3,data!$A$4:$AH$32,9,0)</f>
        <v>0.47031267224823475</v>
      </c>
      <c r="E9" s="180">
        <f>+VLOOKUP($A$3,data!$A$4:$AH$32,10,0)/10^6</f>
        <v>5.6170566800000001</v>
      </c>
      <c r="F9" s="182">
        <f>+E9/C9</f>
        <v>13.859044014418984</v>
      </c>
      <c r="G9" s="179">
        <f>+VLOOKUP($A$3,data!$A$4:$AH$32,23,0)</f>
        <v>2522</v>
      </c>
      <c r="H9" s="180">
        <f>+VLOOKUP($A$3,data!$A$4:$AH$32,24,0)/10^6</f>
        <v>0.39755200000000002</v>
      </c>
      <c r="I9" s="181">
        <f>+VLOOKUP($A$3,data!$A$4:$AH$32,25,0)</f>
        <v>0.43954138887967542</v>
      </c>
      <c r="J9" s="180">
        <f>+VLOOKUP($A$3,data!$A$4:$AH$32,26,0)/10^6</f>
        <v>5.4244572900000003</v>
      </c>
      <c r="K9" s="182">
        <f>+J9/H9</f>
        <v>13.644648473658792</v>
      </c>
    </row>
    <row r="10" spans="1:12" ht="26.25" x14ac:dyDescent="0.4">
      <c r="A10" s="187" t="s">
        <v>4</v>
      </c>
      <c r="B10" s="189">
        <f>+B9/B20</f>
        <v>0.82313155224890089</v>
      </c>
      <c r="C10" s="190"/>
      <c r="D10" s="190"/>
      <c r="E10" s="190"/>
      <c r="F10" s="191"/>
      <c r="G10" s="189">
        <f>+G9/G20</f>
        <v>0.81697440881114347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398</v>
      </c>
      <c r="C13" s="180">
        <f>+VLOOKUP($A$3,data!$A$4:$AH$32,12,0)/10^6</f>
        <v>0.15151100000000001</v>
      </c>
      <c r="D13" s="181">
        <f>+VLOOKUP($A$3,data!$A$4:$AH$32,13,0)</f>
        <v>1.0508826079417375</v>
      </c>
      <c r="E13" s="180">
        <f>+VLOOKUP($A$3,data!$A$4:$AH$32,14,0)/10^6</f>
        <v>3.1212566500000003</v>
      </c>
      <c r="F13" s="182">
        <f>+E13/C13</f>
        <v>20.600858353518888</v>
      </c>
      <c r="G13" s="179">
        <f>+VLOOKUP($A$3,data!$A$4:$AH$32,27,0)</f>
        <v>437</v>
      </c>
      <c r="H13" s="180">
        <f>+VLOOKUP($A$3,data!$A$4:$AH$32,28,0)/10^6</f>
        <v>0.15604599999999999</v>
      </c>
      <c r="I13" s="181">
        <f>+VLOOKUP($A$3,data!$A$4:$AH$32,29,0)</f>
        <v>1.0240078746616357</v>
      </c>
      <c r="J13" s="180">
        <f>+VLOOKUP($A$3,data!$A$4:$AH$32,30,0)/10^6</f>
        <v>3.2122278999999998</v>
      </c>
      <c r="K13" s="182">
        <f>+J13/H13</f>
        <v>20.585134511618367</v>
      </c>
    </row>
    <row r="14" spans="1:12" ht="26.25" x14ac:dyDescent="0.4">
      <c r="A14" s="187" t="s">
        <v>29</v>
      </c>
      <c r="B14" s="189">
        <f>+B13/B20</f>
        <v>0.13459587419682109</v>
      </c>
      <c r="C14" s="190"/>
      <c r="D14" s="190"/>
      <c r="E14" s="190"/>
      <c r="F14" s="191"/>
      <c r="G14" s="189">
        <f>+G13/G20</f>
        <v>0.14156138645934566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125</v>
      </c>
      <c r="C17" s="180">
        <f>+VLOOKUP($A$3,data!$A$4:$AH$32,16,0)/10^6</f>
        <v>5.6134999999999997E-2</v>
      </c>
      <c r="D17" s="181">
        <f>+VLOOKUP($A$3,data!$A$4:$AH$32,17,0)</f>
        <v>1.2816210045662102</v>
      </c>
      <c r="E17" s="180">
        <f>+VLOOKUP($A$3,data!$A$4:$AH$32,18,0)/10^6</f>
        <v>1.4340548999999998</v>
      </c>
      <c r="F17" s="182">
        <f>+E17/C17</f>
        <v>25.546537810635073</v>
      </c>
      <c r="G17" s="179">
        <f>+VLOOKUP($A$3,data!$A$4:$AH$32,31,0)</f>
        <v>128</v>
      </c>
      <c r="H17" s="180">
        <f>+VLOOKUP($A$3,data!$A$4:$AH$32,32,0)/10^6</f>
        <v>5.8171E-2</v>
      </c>
      <c r="I17" s="181">
        <f>+VLOOKUP($A$3,data!$A$4:$AH$32,33,0)</f>
        <v>1.2598624722507987</v>
      </c>
      <c r="J17" s="180">
        <f>+VLOOKUP($A$3,data!$A$4:$AH$32,34,0)/10^6</f>
        <v>1.4670675500000001</v>
      </c>
      <c r="K17" s="182">
        <f>+J17/H17</f>
        <v>25.219912843169279</v>
      </c>
    </row>
    <row r="18" spans="1:11" ht="26.25" x14ac:dyDescent="0.4">
      <c r="A18" s="187" t="s">
        <v>30</v>
      </c>
      <c r="B18" s="189">
        <f>+B17/B20</f>
        <v>4.2272573554277985E-2</v>
      </c>
      <c r="C18" s="190"/>
      <c r="D18" s="190"/>
      <c r="E18" s="190"/>
      <c r="F18" s="191"/>
      <c r="G18" s="189">
        <f>+G17/G20</f>
        <v>4.1464204729510852E-2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2957</v>
      </c>
      <c r="C20" s="180">
        <f>+VLOOKUP($A$3,data!$A$4:$AH$32,4,0)/10^6</f>
        <v>0.61294499999999996</v>
      </c>
      <c r="D20" s="181">
        <f>+VLOOKUP($A$3,data!$A$4:$AH$32,5,0)</f>
        <v>0.58390172804694496</v>
      </c>
      <c r="E20" s="180">
        <f>+VLOOKUP($A$3,data!$A$4:$AH$32,6,0)/10^6</f>
        <v>10.172368229999998</v>
      </c>
      <c r="F20" s="182">
        <f>+E20/C20</f>
        <v>16.595890707975428</v>
      </c>
      <c r="G20" s="179">
        <f>+VLOOKUP($A$3,data!$A$4:$AH$32,19,0)</f>
        <v>3087</v>
      </c>
      <c r="H20" s="180">
        <f>+VLOOKUP($A$3,data!$A$4:$AH$32,20,0)/10^6</f>
        <v>0.61176900000000001</v>
      </c>
      <c r="I20" s="181">
        <f>+VLOOKUP($A$3,data!$A$4:$AH$32,21,0)</f>
        <v>0.5546258941279929</v>
      </c>
      <c r="J20" s="180">
        <f>+VLOOKUP($A$3,data!$A$4:$AH$32,22,0)/10^6</f>
        <v>10.103752739999999</v>
      </c>
      <c r="K20" s="182">
        <f>+J20/H20</f>
        <v>16.515633744109294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ฮอด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O88"/>
  <sheetViews>
    <sheetView showGridLines="0" view="pageLayout" zoomScale="70" zoomScaleNormal="100" zoomScalePageLayoutView="70" workbookViewId="0">
      <selection activeCell="AW65" sqref="AW65:AW66"/>
    </sheetView>
  </sheetViews>
  <sheetFormatPr defaultRowHeight="21" x14ac:dyDescent="0.35"/>
  <cols>
    <col min="1" max="1" width="9" style="158" bestFit="1" customWidth="1"/>
    <col min="2" max="2" width="6.75" style="158" bestFit="1" customWidth="1"/>
    <col min="3" max="4" width="5.75" style="158" bestFit="1" customWidth="1"/>
    <col min="5" max="5" width="5.625" style="158" bestFit="1" customWidth="1"/>
    <col min="6" max="6" width="5.75" style="158" bestFit="1" customWidth="1"/>
    <col min="7" max="7" width="6" style="158" bestFit="1" customWidth="1"/>
    <col min="8" max="9" width="5.75" style="158" bestFit="1" customWidth="1"/>
    <col min="10" max="12" width="6" style="158" bestFit="1" customWidth="1"/>
    <col min="13" max="14" width="6.75" style="158" bestFit="1" customWidth="1"/>
    <col min="15" max="15" width="8" style="158" bestFit="1" customWidth="1"/>
    <col min="16" max="16" width="6.25" style="158" customWidth="1"/>
    <col min="17" max="17" width="7.625" style="299" customWidth="1"/>
    <col min="18" max="18" width="7.375" style="299" customWidth="1"/>
    <col min="19" max="19" width="9.125" style="158" bestFit="1" customWidth="1"/>
    <col min="20" max="20" width="6.375" style="158" bestFit="1" customWidth="1"/>
    <col min="21" max="21" width="6.125" style="158" bestFit="1" customWidth="1"/>
    <col min="22" max="23" width="7.125" style="158" bestFit="1" customWidth="1"/>
    <col min="24" max="24" width="7.375" style="158" bestFit="1" customWidth="1"/>
    <col min="25" max="30" width="7.125" bestFit="1" customWidth="1"/>
    <col min="31" max="31" width="7.25" bestFit="1" customWidth="1"/>
    <col min="32" max="32" width="7.125" bestFit="1" customWidth="1"/>
    <col min="33" max="33" width="7.375" bestFit="1" customWidth="1"/>
    <col min="34" max="34" width="9.375" customWidth="1"/>
    <col min="35" max="35" width="9" style="158" bestFit="1" customWidth="1"/>
    <col min="36" max="40" width="7.375" style="158" customWidth="1"/>
    <col min="41" max="46" width="7.375" customWidth="1"/>
    <col min="47" max="48" width="6.75" bestFit="1" customWidth="1"/>
    <col min="49" max="49" width="8.25" bestFit="1" customWidth="1"/>
    <col min="50" max="50" width="6.875" bestFit="1" customWidth="1"/>
    <col min="51" max="51" width="12.25" bestFit="1" customWidth="1"/>
    <col min="52" max="67" width="6.875" bestFit="1" customWidth="1"/>
  </cols>
  <sheetData>
    <row r="1" spans="1:66" ht="27" thickBot="1" x14ac:dyDescent="0.25">
      <c r="A1" s="248">
        <v>1005</v>
      </c>
      <c r="B1" s="817" t="str">
        <f>+VLOOKUP($A$1,data!$A$4:$AH$32,2,0)</f>
        <v>ฮอด</v>
      </c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0" t="s">
        <v>107</v>
      </c>
      <c r="N1" s="811"/>
      <c r="O1" s="811"/>
      <c r="P1" s="812"/>
      <c r="Q1" s="298"/>
      <c r="R1" s="298"/>
      <c r="S1" s="248">
        <v>1005</v>
      </c>
      <c r="T1" s="817" t="str">
        <f>+VLOOKUP($A$1,data!$A$4:$AH$32,2,0)</f>
        <v>ฮอด</v>
      </c>
      <c r="U1" s="818"/>
      <c r="V1" s="818"/>
      <c r="W1" s="818"/>
      <c r="X1" s="818"/>
      <c r="Y1" s="818"/>
      <c r="Z1" s="818"/>
      <c r="AA1" s="818"/>
      <c r="AB1" s="818"/>
      <c r="AC1" s="818"/>
      <c r="AD1" s="818"/>
      <c r="AE1" s="810" t="s">
        <v>107</v>
      </c>
      <c r="AF1" s="811"/>
      <c r="AG1" s="811"/>
      <c r="AH1" s="812"/>
      <c r="AI1" s="248">
        <f>+A1</f>
        <v>1005</v>
      </c>
      <c r="AJ1" s="817" t="str">
        <f>+VLOOKUP($A$1,data!$A$4:$AH$32,2,0)</f>
        <v>ฮอด</v>
      </c>
      <c r="AK1" s="818"/>
      <c r="AL1" s="818"/>
      <c r="AM1" s="818"/>
      <c r="AN1" s="818"/>
      <c r="AO1" s="818"/>
      <c r="AP1" s="818"/>
      <c r="AQ1" s="818"/>
      <c r="AR1" s="818"/>
      <c r="AS1" s="819"/>
      <c r="AT1" s="817" t="s">
        <v>109</v>
      </c>
      <c r="AU1" s="818"/>
      <c r="AV1" s="818"/>
      <c r="AW1" s="818"/>
      <c r="AX1" s="820"/>
      <c r="AY1" s="248">
        <f>+A1</f>
        <v>1005</v>
      </c>
      <c r="AZ1" s="817" t="str">
        <f>+VLOOKUP($A$1,data!$A$4:$AH$32,2,0)</f>
        <v>ฮอด</v>
      </c>
      <c r="BA1" s="818"/>
      <c r="BB1" s="818"/>
      <c r="BC1" s="818"/>
      <c r="BD1" s="818"/>
      <c r="BE1" s="818"/>
      <c r="BF1" s="818"/>
      <c r="BG1" s="818"/>
      <c r="BH1" s="818"/>
      <c r="BI1" s="819"/>
      <c r="BJ1" s="817" t="s">
        <v>114</v>
      </c>
      <c r="BK1" s="818"/>
      <c r="BL1" s="818"/>
      <c r="BM1" s="818"/>
      <c r="BN1" s="820"/>
    </row>
    <row r="2" spans="1:66" x14ac:dyDescent="0.35"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</row>
    <row r="3" spans="1:66" x14ac:dyDescent="0.35"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</row>
    <row r="4" spans="1:66" x14ac:dyDescent="0.35"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</row>
    <row r="5" spans="1:66" x14ac:dyDescent="0.35"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</row>
    <row r="6" spans="1:66" x14ac:dyDescent="0.35"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</row>
    <row r="7" spans="1:66" x14ac:dyDescent="0.35"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</row>
    <row r="8" spans="1:66" x14ac:dyDescent="0.35"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  <c r="AG8" s="299"/>
      <c r="AH8" s="299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  <c r="BF8" s="158"/>
      <c r="BG8" s="158"/>
      <c r="BH8" s="158"/>
      <c r="BI8" s="158"/>
      <c r="BJ8" s="158"/>
      <c r="BK8" s="158"/>
      <c r="BL8" s="158"/>
      <c r="BM8" s="158"/>
      <c r="BN8" s="158"/>
    </row>
    <row r="9" spans="1:66" x14ac:dyDescent="0.35"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  <c r="AG9" s="299"/>
      <c r="AH9" s="299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</row>
    <row r="10" spans="1:66" x14ac:dyDescent="0.35"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  <c r="BF10" s="158"/>
      <c r="BG10" s="158"/>
      <c r="BH10" s="158"/>
      <c r="BI10" s="158"/>
      <c r="BJ10" s="158"/>
      <c r="BK10" s="158"/>
      <c r="BL10" s="158"/>
      <c r="BM10" s="158"/>
      <c r="BN10" s="158"/>
    </row>
    <row r="11" spans="1:66" x14ac:dyDescent="0.35"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  <c r="AG11" s="299"/>
      <c r="AH11" s="299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</row>
    <row r="12" spans="1:66" x14ac:dyDescent="0.35"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</row>
    <row r="13" spans="1:66" x14ac:dyDescent="0.35"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</row>
    <row r="14" spans="1:66" x14ac:dyDescent="0.35"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  <c r="AG14" s="299"/>
      <c r="AH14" s="299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</row>
    <row r="15" spans="1:66" ht="21.75" thickBot="1" x14ac:dyDescent="0.4"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  <c r="AG15" s="299"/>
      <c r="AH15" s="299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</row>
    <row r="16" spans="1:66" x14ac:dyDescent="0.35">
      <c r="A16" s="823" t="s">
        <v>108</v>
      </c>
      <c r="B16" s="823" t="s">
        <v>74</v>
      </c>
      <c r="C16" s="823" t="s">
        <v>75</v>
      </c>
      <c r="D16" s="823" t="s">
        <v>76</v>
      </c>
      <c r="E16" s="823" t="s">
        <v>77</v>
      </c>
      <c r="F16" s="823" t="s">
        <v>78</v>
      </c>
      <c r="G16" s="823" t="s">
        <v>79</v>
      </c>
      <c r="H16" s="823" t="s">
        <v>80</v>
      </c>
      <c r="I16" s="823" t="s">
        <v>81</v>
      </c>
      <c r="J16" s="823" t="s">
        <v>82</v>
      </c>
      <c r="K16" s="823" t="s">
        <v>83</v>
      </c>
      <c r="L16" s="823" t="s">
        <v>84</v>
      </c>
      <c r="M16" s="823" t="s">
        <v>85</v>
      </c>
      <c r="N16" s="823" t="s">
        <v>95</v>
      </c>
      <c r="O16" s="469" t="s">
        <v>89</v>
      </c>
      <c r="P16" s="469" t="s">
        <v>90</v>
      </c>
      <c r="Q16" s="300"/>
      <c r="R16" s="300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  <c r="AG16" s="299"/>
      <c r="AH16" s="299"/>
      <c r="AI16" s="815" t="s">
        <v>115</v>
      </c>
      <c r="AJ16" s="815" t="s">
        <v>74</v>
      </c>
      <c r="AK16" s="815" t="s">
        <v>75</v>
      </c>
      <c r="AL16" s="815" t="s">
        <v>76</v>
      </c>
      <c r="AM16" s="815" t="s">
        <v>77</v>
      </c>
      <c r="AN16" s="815" t="s">
        <v>78</v>
      </c>
      <c r="AO16" s="815" t="s">
        <v>79</v>
      </c>
      <c r="AP16" s="815" t="s">
        <v>80</v>
      </c>
      <c r="AQ16" s="815" t="s">
        <v>81</v>
      </c>
      <c r="AR16" s="815" t="s">
        <v>82</v>
      </c>
      <c r="AS16" s="815" t="s">
        <v>83</v>
      </c>
      <c r="AT16" s="815" t="s">
        <v>84</v>
      </c>
      <c r="AU16" s="815" t="s">
        <v>85</v>
      </c>
      <c r="AV16" s="815" t="s">
        <v>95</v>
      </c>
      <c r="AW16" s="467" t="s">
        <v>89</v>
      </c>
      <c r="AX16" s="467" t="s">
        <v>90</v>
      </c>
      <c r="AY16" s="821" t="s">
        <v>116</v>
      </c>
      <c r="AZ16" s="821" t="s">
        <v>74</v>
      </c>
      <c r="BA16" s="821" t="s">
        <v>75</v>
      </c>
      <c r="BB16" s="821" t="s">
        <v>76</v>
      </c>
      <c r="BC16" s="821" t="s">
        <v>77</v>
      </c>
      <c r="BD16" s="821" t="s">
        <v>78</v>
      </c>
      <c r="BE16" s="821" t="s">
        <v>79</v>
      </c>
      <c r="BF16" s="821" t="s">
        <v>80</v>
      </c>
      <c r="BG16" s="821" t="s">
        <v>81</v>
      </c>
      <c r="BH16" s="821" t="s">
        <v>82</v>
      </c>
      <c r="BI16" s="821" t="s">
        <v>83</v>
      </c>
      <c r="BJ16" s="821" t="s">
        <v>84</v>
      </c>
      <c r="BK16" s="821" t="s">
        <v>85</v>
      </c>
      <c r="BL16" s="821" t="s">
        <v>95</v>
      </c>
      <c r="BM16" s="465" t="s">
        <v>89</v>
      </c>
      <c r="BN16" s="465" t="s">
        <v>90</v>
      </c>
    </row>
    <row r="17" spans="1:66" ht="21.75" thickBot="1" x14ac:dyDescent="0.4">
      <c r="A17" s="824"/>
      <c r="B17" s="824"/>
      <c r="C17" s="824"/>
      <c r="D17" s="824"/>
      <c r="E17" s="824"/>
      <c r="F17" s="824"/>
      <c r="G17" s="824"/>
      <c r="H17" s="824"/>
      <c r="I17" s="824"/>
      <c r="J17" s="824"/>
      <c r="K17" s="824"/>
      <c r="L17" s="824"/>
      <c r="M17" s="824"/>
      <c r="N17" s="824"/>
      <c r="O17" s="470" t="s">
        <v>154</v>
      </c>
      <c r="P17" s="470" t="s">
        <v>91</v>
      </c>
      <c r="Q17" s="300"/>
      <c r="R17" s="300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  <c r="AG17" s="299"/>
      <c r="AH17" s="299"/>
      <c r="AI17" s="816"/>
      <c r="AJ17" s="816"/>
      <c r="AK17" s="816"/>
      <c r="AL17" s="816"/>
      <c r="AM17" s="816"/>
      <c r="AN17" s="816"/>
      <c r="AO17" s="816"/>
      <c r="AP17" s="816"/>
      <c r="AQ17" s="816"/>
      <c r="AR17" s="816"/>
      <c r="AS17" s="816"/>
      <c r="AT17" s="816"/>
      <c r="AU17" s="816"/>
      <c r="AV17" s="816"/>
      <c r="AW17" s="468" t="str">
        <f>+O17</f>
        <v>12 เดือน</v>
      </c>
      <c r="AX17" s="468" t="s">
        <v>91</v>
      </c>
      <c r="AY17" s="822"/>
      <c r="AZ17" s="822"/>
      <c r="BA17" s="822"/>
      <c r="BB17" s="822"/>
      <c r="BC17" s="822"/>
      <c r="BD17" s="822"/>
      <c r="BE17" s="822"/>
      <c r="BF17" s="822"/>
      <c r="BG17" s="822"/>
      <c r="BH17" s="822"/>
      <c r="BI17" s="822"/>
      <c r="BJ17" s="822"/>
      <c r="BK17" s="822"/>
      <c r="BL17" s="822"/>
      <c r="BM17" s="466" t="str">
        <f>+O17</f>
        <v>12 เดือน</v>
      </c>
      <c r="BN17" s="466" t="s">
        <v>91</v>
      </c>
    </row>
    <row r="18" spans="1:66" s="247" customFormat="1" ht="22.5" thickTop="1" thickBot="1" x14ac:dyDescent="0.4">
      <c r="A18" s="405" t="s">
        <v>92</v>
      </c>
      <c r="B18" s="406">
        <f>+VLOOKUP($A$1,data!$A$37:$AU$67,35)</f>
        <v>7</v>
      </c>
      <c r="C18" s="406">
        <f>+VLOOKUP($A$1,data!$A$37:$AU$67,36)</f>
        <v>3</v>
      </c>
      <c r="D18" s="406">
        <f>+VLOOKUP($A$1,data!$A$37:$AU$67,37)</f>
        <v>6</v>
      </c>
      <c r="E18" s="406">
        <f>+VLOOKUP($A$1,data!$A$37:$AU$67,38)</f>
        <v>5</v>
      </c>
      <c r="F18" s="406">
        <f>+VLOOKUP($A$1,data!$A$37:$AU$67,39)</f>
        <v>28</v>
      </c>
      <c r="G18" s="406">
        <f>+VLOOKUP($A$1,data!$A$37:$AU$67,40)</f>
        <v>32</v>
      </c>
      <c r="H18" s="406">
        <f>+VLOOKUP($A$1,data!$A$37:$AU$67,41)</f>
        <v>25</v>
      </c>
      <c r="I18" s="406">
        <f>+VLOOKUP($A$1,data!$A$37:$AU$67,42)</f>
        <v>25</v>
      </c>
      <c r="J18" s="406">
        <f>+VLOOKUP($A$1,data!$A$37:$AU$67,43)</f>
        <v>15</v>
      </c>
      <c r="K18" s="406">
        <f>+VLOOKUP($A$1,data!$A$37:$AU$67,44)</f>
        <v>4</v>
      </c>
      <c r="L18" s="406">
        <f>+VLOOKUP($A$1,data!$A$37:$AU$67,45)</f>
        <v>10</v>
      </c>
      <c r="M18" s="406">
        <f>+VLOOKUP($A$1,data!$A$37:$AU$67,46)</f>
        <v>10</v>
      </c>
      <c r="N18" s="406">
        <f>SUM(B18:M18)</f>
        <v>170</v>
      </c>
      <c r="O18" s="406">
        <f>SUM(B18:M18)</f>
        <v>170</v>
      </c>
      <c r="P18" s="407">
        <f>+O20-O18</f>
        <v>-37</v>
      </c>
      <c r="Q18" s="301"/>
      <c r="R18" s="301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  <c r="AG18" s="299"/>
      <c r="AH18" s="299"/>
      <c r="AI18" s="305" t="s">
        <v>92</v>
      </c>
      <c r="AJ18" s="418">
        <f>+VLOOKUP($A$1,data!$A$69:$AU$99,35)</f>
        <v>4.7135000000000003E-2</v>
      </c>
      <c r="AK18" s="418">
        <f>+VLOOKUP($A$1,data!$A$69:$AU$99,36)</f>
        <v>4.5524000000000002E-2</v>
      </c>
      <c r="AL18" s="418">
        <f>+VLOOKUP($A$1,data!$A$69:$AU$99,37)</f>
        <v>4.6587000000000003E-2</v>
      </c>
      <c r="AM18" s="418">
        <f>+VLOOKUP($A$1,data!$A$69:$AU$99,38)</f>
        <v>5.1525000000000001E-2</v>
      </c>
      <c r="AN18" s="418">
        <f>+VLOOKUP($A$1,data!$A$69:$AU$99,39)</f>
        <v>4.6344000000000003E-2</v>
      </c>
      <c r="AO18" s="418">
        <f>+VLOOKUP($A$1,data!$A$69:$AU$99,40)</f>
        <v>4.4357000000000001E-2</v>
      </c>
      <c r="AP18" s="418">
        <f>+VLOOKUP($A$1,data!$A$69:$AU$99,41)</f>
        <v>6.0720000000000003E-2</v>
      </c>
      <c r="AQ18" s="418">
        <f>+VLOOKUP($A$1,data!$A$69:$AU$99,42)</f>
        <v>6.4146999999999996E-2</v>
      </c>
      <c r="AR18" s="418">
        <f>+VLOOKUP($A$1,data!$A$69:$AU$99,43)</f>
        <v>5.8352000000000001E-2</v>
      </c>
      <c r="AS18" s="418">
        <f>+VLOOKUP($A$1,data!$A$69:$AU$99,44)</f>
        <v>5.0027000000000002E-2</v>
      </c>
      <c r="AT18" s="418">
        <f>+VLOOKUP($A$1,data!$A$69:$AU$99,45)</f>
        <v>4.9033E-2</v>
      </c>
      <c r="AU18" s="418">
        <f>+VLOOKUP($A$1,data!$A$69:$AU$99,46)</f>
        <v>5.1714999999999997E-2</v>
      </c>
      <c r="AV18" s="418">
        <f>SUM(AJ18:AU18)</f>
        <v>0.61546599999999996</v>
      </c>
      <c r="AW18" s="418">
        <f>SUM(AJ18:AU18)</f>
        <v>0.61546599999999996</v>
      </c>
      <c r="AX18" s="419">
        <f>+AW20-AW18</f>
        <v>-1.0249999999998316E-3</v>
      </c>
      <c r="AY18" s="308" t="s">
        <v>92</v>
      </c>
      <c r="AZ18" s="309">
        <f>+VLOOKUP($A$1,data!$A$101:$AU$131,35)</f>
        <v>8.7325100000000024E-3</v>
      </c>
      <c r="BA18" s="309">
        <f>+VLOOKUP($A$1,data!$A$101:$AU$131,36)</f>
        <v>9.4959499999999978E-3</v>
      </c>
      <c r="BB18" s="309">
        <f>+VLOOKUP($A$1,data!$A$101:$AU$131,37)</f>
        <v>1.0260010000000002E-2</v>
      </c>
      <c r="BC18" s="309">
        <f>+VLOOKUP($A$1,data!$A$101:$AU$131,38)</f>
        <v>8.0536699999999989E-3</v>
      </c>
      <c r="BD18" s="309">
        <f>+VLOOKUP($A$1,data!$A$101:$AU$131,39)</f>
        <v>6.7806999999999971E-3</v>
      </c>
      <c r="BE18" s="309">
        <f>+VLOOKUP($A$1,data!$A$101:$AU$131,40)</f>
        <v>7.4080700000000001E-3</v>
      </c>
      <c r="BF18" s="309">
        <f>+VLOOKUP($A$1,data!$A$101:$AU$131,41)</f>
        <v>9.6133500000000066E-3</v>
      </c>
      <c r="BG18" s="309">
        <f>+VLOOKUP($A$1,data!$A$101:$AU$131,42)</f>
        <v>1.2612070000000006E-2</v>
      </c>
      <c r="BH18" s="309">
        <f>+VLOOKUP($A$1,data!$A$101:$AU$131,43)</f>
        <v>8.9833999999999938E-3</v>
      </c>
      <c r="BI18" s="309">
        <f>+VLOOKUP($A$1,data!$A$101:$AU$131,44)</f>
        <v>8.1843000000000037E-3</v>
      </c>
      <c r="BJ18" s="309">
        <f>+VLOOKUP($A$1,data!$A$101:$AU$131,45)</f>
        <v>8.1746999999999966E-3</v>
      </c>
      <c r="BK18" s="309">
        <f>+VLOOKUP($A$1,data!$A$101:$AU$131,46)</f>
        <v>6.3871200000000022E-3</v>
      </c>
      <c r="BL18" s="309">
        <f>SUM(AZ18:BK18)</f>
        <v>0.10468585</v>
      </c>
      <c r="BM18" s="309">
        <f>SUM(AZ18:BK18)</f>
        <v>0.10468585</v>
      </c>
      <c r="BN18" s="310">
        <f>+BM20-BM18</f>
        <v>-7.9522999999999955E-3</v>
      </c>
    </row>
    <row r="19" spans="1:66" s="247" customFormat="1" ht="19.5" customHeight="1" thickBot="1" x14ac:dyDescent="0.35">
      <c r="A19" s="408" t="s">
        <v>94</v>
      </c>
      <c r="B19" s="409">
        <f>+VLOOKUP($A$1,data!$A$37:$AU$67,19)</f>
        <v>6.9387755102040822</v>
      </c>
      <c r="C19" s="409">
        <f>+VLOOKUP($A$1,data!$A$37:$AU$67,20)</f>
        <v>4.8571428571428577</v>
      </c>
      <c r="D19" s="409">
        <f>+VLOOKUP($A$1,data!$A$37:$AU$67,21)</f>
        <v>7.2857142857142865</v>
      </c>
      <c r="E19" s="409">
        <f>+VLOOKUP($A$1,data!$A$37:$AU$67,22)</f>
        <v>10.061224489795917</v>
      </c>
      <c r="F19" s="409">
        <f>+VLOOKUP($A$1,data!$A$37:$AU$67,23)</f>
        <v>15.26530612244898</v>
      </c>
      <c r="G19" s="409">
        <f>+VLOOKUP($A$1,data!$A$37:$AU$67,24)</f>
        <v>18.387755102040821</v>
      </c>
      <c r="H19" s="409">
        <f>+VLOOKUP($A$1,data!$A$37:$AU$67,25)</f>
        <v>12.489795918367347</v>
      </c>
      <c r="I19" s="409">
        <f>+VLOOKUP($A$1,data!$A$37:$AU$67,26)</f>
        <v>13.530612244897959</v>
      </c>
      <c r="J19" s="409">
        <f>+VLOOKUP($A$1,data!$A$37:$AU$67,27)</f>
        <v>8.3265306122448983</v>
      </c>
      <c r="K19" s="409">
        <f>+VLOOKUP($A$1,data!$A$37:$AU$67,28)</f>
        <v>4.8571428571428577</v>
      </c>
      <c r="L19" s="409">
        <f>+VLOOKUP($A$1,data!$A$37:$AU$67,29)</f>
        <v>7.2857142857142865</v>
      </c>
      <c r="M19" s="409">
        <f>+VLOOKUP($A$1,data!$A$37:$AU$67,30)</f>
        <v>9.7142857142857153</v>
      </c>
      <c r="N19" s="409">
        <f>SUM(B19:M19)</f>
        <v>119.00000000000003</v>
      </c>
      <c r="O19" s="630">
        <f t="shared" ref="O19:O20" si="0">SUM(B19:M19)</f>
        <v>119.00000000000003</v>
      </c>
      <c r="P19" s="412">
        <f>+O20-O19</f>
        <v>13.999999999999972</v>
      </c>
      <c r="Q19" s="302"/>
      <c r="R19" s="302"/>
      <c r="S19" s="687"/>
      <c r="T19" s="838" t="s">
        <v>108</v>
      </c>
      <c r="U19" s="839"/>
      <c r="V19" s="836" t="s">
        <v>139</v>
      </c>
      <c r="W19" s="836"/>
      <c r="X19" s="836" t="s">
        <v>141</v>
      </c>
      <c r="Y19" s="836"/>
      <c r="Z19" s="836" t="s">
        <v>142</v>
      </c>
      <c r="AA19" s="836"/>
      <c r="AB19" s="836" t="s">
        <v>143</v>
      </c>
      <c r="AC19" s="836"/>
      <c r="AD19" s="836" t="s">
        <v>125</v>
      </c>
      <c r="AE19" s="836"/>
      <c r="AF19" s="664"/>
      <c r="AG19" s="300"/>
      <c r="AH19" s="300"/>
      <c r="AI19" s="306" t="s">
        <v>94</v>
      </c>
      <c r="AJ19" s="423">
        <f>+VLOOKUP($A$1,data!$A$69:$AU$99,19)</f>
        <v>4.5719000000000003E-2</v>
      </c>
      <c r="AK19" s="423">
        <f>+VLOOKUP($A$1,data!$A$69:$AU$99,20)</f>
        <v>4.53E-2</v>
      </c>
      <c r="AL19" s="423">
        <f>+VLOOKUP($A$1,data!$A$69:$AU$99,21)</f>
        <v>4.4488E-2</v>
      </c>
      <c r="AM19" s="423">
        <f>+VLOOKUP($A$1,data!$A$69:$AU$99,22)</f>
        <v>4.8732999999999999E-2</v>
      </c>
      <c r="AN19" s="423">
        <f>+VLOOKUP($A$1,data!$A$69:$AU$99,23)</f>
        <v>4.6297999999999999E-2</v>
      </c>
      <c r="AO19" s="423">
        <f>+VLOOKUP($A$1,data!$A$69:$AU$99,24)</f>
        <v>4.4847999999999999E-2</v>
      </c>
      <c r="AP19" s="423">
        <f>+VLOOKUP($A$1,data!$A$69:$AU$99,25)</f>
        <v>5.5821999999999997E-2</v>
      </c>
      <c r="AQ19" s="423">
        <f>+VLOOKUP($A$1,data!$A$69:$AU$99,26)</f>
        <v>5.7673000000000002E-2</v>
      </c>
      <c r="AR19" s="423">
        <f>+VLOOKUP($A$1,data!$A$69:$AU$99,27)</f>
        <v>5.3949999999999998E-2</v>
      </c>
      <c r="AS19" s="423">
        <f>+VLOOKUP($A$1,data!$A$69:$AU$99,28)</f>
        <v>4.8895000000000001E-2</v>
      </c>
      <c r="AT19" s="423">
        <f>+VLOOKUP($A$1,data!$A$69:$AU$99,29)</f>
        <v>4.9123E-2</v>
      </c>
      <c r="AU19" s="423">
        <f>+VLOOKUP($A$1,data!$A$69:$AU$99,30)</f>
        <v>4.9771999999999997E-2</v>
      </c>
      <c r="AV19" s="423">
        <f>SUM(AJ19:AU19)</f>
        <v>0.59062100000000006</v>
      </c>
      <c r="AW19" s="424">
        <f t="shared" ref="AW19:AW20" si="1">SUM(AJ19:AU19)</f>
        <v>0.59062100000000006</v>
      </c>
      <c r="AX19" s="425">
        <f>+AW20-AW19</f>
        <v>2.3820000000000063E-2</v>
      </c>
      <c r="AY19" s="311" t="s">
        <v>94</v>
      </c>
      <c r="AZ19" s="312">
        <f>+VLOOKUP($A$1,data!$A$101:$AU$131,19)</f>
        <v>9.2079999999999992E-3</v>
      </c>
      <c r="BA19" s="312">
        <f>+VLOOKUP($A$1,data!$A$101:$AU$131,20)</f>
        <v>9.2860000000000009E-3</v>
      </c>
      <c r="BB19" s="312">
        <f>+VLOOKUP($A$1,data!$A$101:$AU$131,21)</f>
        <v>1.0097999999999999E-2</v>
      </c>
      <c r="BC19" s="312">
        <f>+VLOOKUP($A$1,data!$A$101:$AU$131,22)</f>
        <v>8.8970000000000004E-3</v>
      </c>
      <c r="BD19" s="312">
        <f>+VLOOKUP($A$1,data!$A$101:$AU$131,23)</f>
        <v>6.8230000000000001E-3</v>
      </c>
      <c r="BE19" s="312">
        <f>+VLOOKUP($A$1,data!$A$101:$AU$131,24)</f>
        <v>9.5569999999999995E-3</v>
      </c>
      <c r="BF19" s="312">
        <f>+VLOOKUP($A$1,data!$A$101:$AU$131,25)</f>
        <v>1.001E-2</v>
      </c>
      <c r="BG19" s="312">
        <f>+VLOOKUP($A$1,data!$A$101:$AU$131,26)</f>
        <v>1.0272E-2</v>
      </c>
      <c r="BH19" s="312">
        <f>+VLOOKUP($A$1,data!$A$101:$AU$131,27)</f>
        <v>7.9930000000000001E-3</v>
      </c>
      <c r="BI19" s="312">
        <f>+VLOOKUP($A$1,data!$A$101:$AU$131,28)</f>
        <v>7.6610000000000003E-3</v>
      </c>
      <c r="BJ19" s="312">
        <f>+VLOOKUP($A$1,data!$A$101:$AU$131,29)</f>
        <v>7.6519999999999999E-3</v>
      </c>
      <c r="BK19" s="312">
        <f>+VLOOKUP($A$1,data!$A$101:$AU$131,30)</f>
        <v>6.7710000000000001E-3</v>
      </c>
      <c r="BL19" s="312">
        <f>SUM(AZ19:BK19)</f>
        <v>0.10422800000000002</v>
      </c>
      <c r="BM19" s="313">
        <f t="shared" ref="BM19:BM20" si="2">SUM(AZ19:BK19)</f>
        <v>0.10422800000000002</v>
      </c>
      <c r="BN19" s="314">
        <f>+BM20-BM19</f>
        <v>-7.4944500000000136E-3</v>
      </c>
    </row>
    <row r="20" spans="1:66" s="247" customFormat="1" ht="19.5" thickBot="1" x14ac:dyDescent="0.35">
      <c r="A20" s="413" t="s">
        <v>93</v>
      </c>
      <c r="B20" s="414">
        <f>+VLOOKUP($A$1,data!$A$37:$AU$67,3)</f>
        <v>7</v>
      </c>
      <c r="C20" s="414">
        <f>+VLOOKUP($A$1,data!$A$37:$AU$67,4)</f>
        <v>11</v>
      </c>
      <c r="D20" s="414">
        <f>+VLOOKUP($A$1,data!$A$37:$AU$67,5)</f>
        <v>16</v>
      </c>
      <c r="E20" s="414">
        <f>+VLOOKUP($A$1,data!$A$37:$AU$67,6)</f>
        <v>9</v>
      </c>
      <c r="F20" s="414">
        <f>+VLOOKUP($A$1,data!$A$37:$AU$67,7)</f>
        <v>24</v>
      </c>
      <c r="G20" s="414">
        <f>+VLOOKUP($A$1,data!$A$37:$AU$67,8)</f>
        <v>22</v>
      </c>
      <c r="H20" s="414">
        <f>+VLOOKUP($A$1,data!$A$37:$AU$67,9)</f>
        <v>8</v>
      </c>
      <c r="I20" s="414">
        <f>+VLOOKUP($A$1,data!$A$37:$AU$67,10)</f>
        <v>11</v>
      </c>
      <c r="J20" s="414">
        <f>+VLOOKUP($A$1,data!$A$37:$AU$67,11)</f>
        <v>2</v>
      </c>
      <c r="K20" s="414">
        <f>+VLOOKUP($A$1,data!$A$37:$AU$67,12)</f>
        <v>16</v>
      </c>
      <c r="L20" s="414">
        <f>+VLOOKUP($A$1,data!$A$37:$AU$67,13)</f>
        <v>3</v>
      </c>
      <c r="M20" s="414">
        <f>+VLOOKUP($A$1,data!$A$37:$AU$67,14)</f>
        <v>4</v>
      </c>
      <c r="N20" s="414">
        <f>SUM(B20:M20)</f>
        <v>133</v>
      </c>
      <c r="O20" s="631">
        <f t="shared" si="0"/>
        <v>133</v>
      </c>
      <c r="P20" s="417"/>
      <c r="Q20" s="303"/>
      <c r="R20" s="303"/>
      <c r="S20" s="687"/>
      <c r="T20" s="840"/>
      <c r="U20" s="841"/>
      <c r="V20" s="670" t="s">
        <v>140</v>
      </c>
      <c r="W20" s="670" t="s">
        <v>118</v>
      </c>
      <c r="X20" s="670" t="s">
        <v>140</v>
      </c>
      <c r="Y20" s="670" t="s">
        <v>119</v>
      </c>
      <c r="Z20" s="670" t="s">
        <v>140</v>
      </c>
      <c r="AA20" s="670" t="s">
        <v>120</v>
      </c>
      <c r="AB20" s="670" t="s">
        <v>140</v>
      </c>
      <c r="AC20" s="670" t="s">
        <v>121</v>
      </c>
      <c r="AD20" s="670" t="s">
        <v>120</v>
      </c>
      <c r="AE20" s="670" t="s">
        <v>95</v>
      </c>
      <c r="AF20" s="662"/>
      <c r="AG20" s="300"/>
      <c r="AH20" s="300"/>
      <c r="AI20" s="307" t="s">
        <v>93</v>
      </c>
      <c r="AJ20" s="420">
        <f>+VLOOKUP($A$1,data!$A$69:$AU$99,3)</f>
        <v>4.4784999999999998E-2</v>
      </c>
      <c r="AK20" s="420">
        <f>+VLOOKUP($A$1,data!$A$69:$AU$99,4)</f>
        <v>4.9244000000000003E-2</v>
      </c>
      <c r="AL20" s="420">
        <f>+VLOOKUP($A$1,data!$A$69:$AU$99,5)</f>
        <v>4.7400999999999999E-2</v>
      </c>
      <c r="AM20" s="420">
        <f>+VLOOKUP($A$1,data!$A$69:$AU$99,6)</f>
        <v>5.1159000000000003E-2</v>
      </c>
      <c r="AN20" s="420">
        <f>+VLOOKUP($A$1,data!$A$69:$AU$99,7)</f>
        <v>5.0021999999999997E-2</v>
      </c>
      <c r="AO20" s="420">
        <f>+VLOOKUP($A$1,data!$A$69:$AU$99,8)</f>
        <v>4.9096000000000001E-2</v>
      </c>
      <c r="AP20" s="420">
        <f>+VLOOKUP($A$1,data!$A$69:$AU$99,9)</f>
        <v>6.0921000000000003E-2</v>
      </c>
      <c r="AQ20" s="420">
        <f>+VLOOKUP($A$1,data!$A$69:$AU$99,10)</f>
        <v>5.6508000000000003E-2</v>
      </c>
      <c r="AR20" s="420">
        <f>+VLOOKUP($A$1,data!$A$69:$AU$99,11)</f>
        <v>5.2275000000000002E-2</v>
      </c>
      <c r="AS20" s="420">
        <f>+VLOOKUP($A$1,data!$A$69:$AU$99,12)</f>
        <v>5.0915000000000002E-2</v>
      </c>
      <c r="AT20" s="420">
        <f>+VLOOKUP($A$1,data!$A$69:$AU$99,13)</f>
        <v>5.0818000000000002E-2</v>
      </c>
      <c r="AU20" s="420">
        <f>+VLOOKUP($A$1,data!$A$69:$AU$99,14)</f>
        <v>5.1297000000000002E-2</v>
      </c>
      <c r="AV20" s="420">
        <f>SUM(AJ20:AU20)</f>
        <v>0.61444100000000013</v>
      </c>
      <c r="AW20" s="421">
        <f t="shared" si="1"/>
        <v>0.61444100000000013</v>
      </c>
      <c r="AX20" s="422"/>
      <c r="AY20" s="315" t="s">
        <v>93</v>
      </c>
      <c r="AZ20" s="316">
        <f>+VLOOKUP($A$1,data!$A$101:$AU$131,3)</f>
        <v>7.7038600000000007E-3</v>
      </c>
      <c r="BA20" s="316">
        <f>+VLOOKUP($A$1,data!$A$101:$AU$131,4)</f>
        <v>6.9360899999999963E-3</v>
      </c>
      <c r="BB20" s="316">
        <f>+VLOOKUP($A$1,data!$A$101:$AU$131,5)</f>
        <v>7.5262399999999983E-3</v>
      </c>
      <c r="BC20" s="316">
        <f>+VLOOKUP($A$1,data!$A$101:$AU$131,6)</f>
        <v>8.3718000000000022E-3</v>
      </c>
      <c r="BD20" s="316">
        <f>+VLOOKUP($A$1,data!$A$101:$AU$131,7)</f>
        <v>6.4688399999999965E-3</v>
      </c>
      <c r="BE20" s="316">
        <f>+VLOOKUP($A$1,data!$A$101:$AU$131,8)</f>
        <v>8.2585299999999983E-3</v>
      </c>
      <c r="BF20" s="316">
        <f>+VLOOKUP($A$1,data!$A$101:$AU$131,9)</f>
        <v>8.9964600000000065E-3</v>
      </c>
      <c r="BG20" s="316">
        <f>+VLOOKUP($A$1,data!$A$101:$AU$131,10)</f>
        <v>7.8767900000000016E-3</v>
      </c>
      <c r="BH20" s="316">
        <f>+VLOOKUP($A$1,data!$A$101:$AU$131,11)</f>
        <v>8.5549899999999984E-3</v>
      </c>
      <c r="BI20" s="316">
        <f>+VLOOKUP($A$1,data!$A$101:$AU$131,12)</f>
        <v>8.6927699999999972E-3</v>
      </c>
      <c r="BJ20" s="316">
        <f>+VLOOKUP($A$1,data!$A$101:$AU$131,13)</f>
        <v>8.8574000000000014E-3</v>
      </c>
      <c r="BK20" s="316">
        <f>+VLOOKUP($A$1,data!$A$101:$AU$131,14)</f>
        <v>8.4897799999999989E-3</v>
      </c>
      <c r="BL20" s="316">
        <f>SUM(AZ20:BK20)</f>
        <v>9.6733550000000001E-2</v>
      </c>
      <c r="BM20" s="317">
        <f t="shared" si="2"/>
        <v>9.6733550000000001E-2</v>
      </c>
      <c r="BN20" s="318"/>
    </row>
    <row r="21" spans="1:66" s="434" customFormat="1" ht="18.75" x14ac:dyDescent="0.3">
      <c r="A21" s="427"/>
      <c r="B21" s="428"/>
      <c r="C21" s="428"/>
      <c r="D21" s="428"/>
      <c r="E21" s="428"/>
      <c r="F21" s="428"/>
      <c r="G21" s="428"/>
      <c r="H21" s="428"/>
      <c r="I21" s="428"/>
      <c r="J21" s="428"/>
      <c r="K21" s="428"/>
      <c r="L21" s="428"/>
      <c r="M21" s="428"/>
      <c r="N21" s="429"/>
      <c r="O21" s="430"/>
      <c r="P21" s="426"/>
      <c r="Q21" s="426"/>
      <c r="R21" s="426"/>
      <c r="S21" s="429"/>
      <c r="T21" s="842" t="s">
        <v>144</v>
      </c>
      <c r="U21" s="842"/>
      <c r="V21" s="671">
        <f>+VLOOKUP($A$1,data!$A$261:$AK$291,35)</f>
        <v>16.081632653061227</v>
      </c>
      <c r="W21" s="671">
        <f>+VLOOKUP($A$1,data!$A$261:$AK$291,16)</f>
        <v>34</v>
      </c>
      <c r="X21" s="671">
        <f>+VLOOKUP($A$1,data!$A$261:$AK$291,36)</f>
        <v>57.79591836734695</v>
      </c>
      <c r="Y21" s="671">
        <f>+VLOOKUP($A$1,data!$A$261:$AK$291,17)</f>
        <v>83</v>
      </c>
      <c r="Z21" s="671">
        <f>+VLOOKUP($A$1,data!$A$261:$AK$291,37)</f>
        <v>87.142857142857153</v>
      </c>
      <c r="AA21" s="671">
        <f>+VLOOKUP($A$1,data!$A$261:$AK$291,18)</f>
        <v>100</v>
      </c>
      <c r="AB21" s="671">
        <f>+VLOOKUP($A$1,data!$A$261:$AK$291,34)</f>
        <v>101.00000000000003</v>
      </c>
      <c r="AC21" s="671">
        <f>+VLOOKUP($A$1,data!$A$261:$AK$291,15)</f>
        <v>122</v>
      </c>
      <c r="AD21" s="671">
        <f>+AA21-Z21</f>
        <v>12.857142857142847</v>
      </c>
      <c r="AE21" s="684">
        <f>+AC21-AB21</f>
        <v>20.999999999999972</v>
      </c>
      <c r="AF21" s="668"/>
      <c r="AG21" s="301"/>
      <c r="AH21" s="301"/>
      <c r="AI21" s="427"/>
      <c r="AJ21" s="431"/>
      <c r="AK21" s="431"/>
      <c r="AL21" s="431"/>
      <c r="AM21" s="431"/>
      <c r="AN21" s="431"/>
      <c r="AO21" s="431"/>
      <c r="AP21" s="431"/>
      <c r="AQ21" s="431"/>
      <c r="AR21" s="431"/>
      <c r="AS21" s="431"/>
      <c r="AT21" s="431"/>
      <c r="AU21" s="431"/>
      <c r="AV21" s="431"/>
      <c r="AW21" s="432"/>
      <c r="AX21" s="433"/>
      <c r="AY21" s="427"/>
      <c r="AZ21" s="431"/>
      <c r="BA21" s="431"/>
      <c r="BB21" s="431"/>
      <c r="BC21" s="431"/>
      <c r="BD21" s="431"/>
      <c r="BE21" s="431"/>
      <c r="BF21" s="431"/>
      <c r="BG21" s="431"/>
      <c r="BH21" s="431"/>
      <c r="BI21" s="431"/>
      <c r="BJ21" s="431"/>
      <c r="BK21" s="431"/>
      <c r="BL21" s="431"/>
      <c r="BM21" s="432"/>
      <c r="BN21" s="433"/>
    </row>
    <row r="22" spans="1:66" s="434" customFormat="1" ht="18.75" x14ac:dyDescent="0.3">
      <c r="A22" s="427"/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9"/>
      <c r="O22" s="430"/>
      <c r="P22" s="426"/>
      <c r="Q22" s="426"/>
      <c r="R22" s="426"/>
      <c r="S22" s="688"/>
      <c r="T22" s="843" t="s">
        <v>145</v>
      </c>
      <c r="U22" s="843"/>
      <c r="V22" s="672">
        <f>+VLOOKUP($A$1,data!$A$229:$AK$259,35)</f>
        <v>3</v>
      </c>
      <c r="W22" s="672">
        <f>+VLOOKUP($A$1,data!$A$229:$AK$259,16)</f>
        <v>0</v>
      </c>
      <c r="X22" s="672">
        <f>+VLOOKUP($A$1,data!$A$229:$AK$259,36)</f>
        <v>5</v>
      </c>
      <c r="Y22" s="672">
        <f>+VLOOKUP($A$1,data!$A$229:$AK$259,17)</f>
        <v>6</v>
      </c>
      <c r="Z22" s="672">
        <f>+VLOOKUP($A$1,data!$A$229:$AK$259,37)</f>
        <v>10</v>
      </c>
      <c r="AA22" s="672">
        <f>+VLOOKUP($A$1,data!$A$229:$AK$259,18)</f>
        <v>10</v>
      </c>
      <c r="AB22" s="672">
        <f>+VLOOKUP($A$1,data!$A$229:$AK$259,34)</f>
        <v>18</v>
      </c>
      <c r="AC22" s="765">
        <f>+VLOOKUP($A$1,data!$A$229:$AK$259,15)</f>
        <v>11</v>
      </c>
      <c r="AD22" s="671">
        <f>+AA22-Z22</f>
        <v>0</v>
      </c>
      <c r="AE22" s="685">
        <f>+AC22-AB22</f>
        <v>-7</v>
      </c>
      <c r="AF22" s="665"/>
      <c r="AG22" s="302"/>
      <c r="AH22" s="302"/>
      <c r="AI22" s="427"/>
      <c r="AJ22" s="431"/>
      <c r="AK22" s="431"/>
      <c r="AL22" s="431"/>
      <c r="AM22" s="431"/>
      <c r="AN22" s="431"/>
      <c r="AO22" s="431"/>
      <c r="AP22" s="431"/>
      <c r="AQ22" s="431"/>
      <c r="AR22" s="431"/>
      <c r="AS22" s="431"/>
      <c r="AT22" s="431"/>
      <c r="AU22" s="431"/>
      <c r="AV22" s="431"/>
      <c r="AW22" s="432"/>
      <c r="AX22" s="433"/>
      <c r="AY22" s="427"/>
      <c r="AZ22" s="431"/>
      <c r="BA22" s="431"/>
      <c r="BB22" s="431"/>
      <c r="BC22" s="431"/>
      <c r="BD22" s="431"/>
      <c r="BE22" s="431"/>
      <c r="BF22" s="431"/>
      <c r="BG22" s="431"/>
      <c r="BH22" s="431"/>
      <c r="BI22" s="431"/>
      <c r="BJ22" s="431"/>
      <c r="BK22" s="431"/>
      <c r="BL22" s="431"/>
      <c r="BM22" s="432"/>
      <c r="BN22" s="433"/>
    </row>
    <row r="23" spans="1:66" x14ac:dyDescent="0.35">
      <c r="A23" s="162"/>
      <c r="B23" s="162"/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Q23" s="304"/>
      <c r="R23" s="304"/>
      <c r="S23" s="426"/>
      <c r="T23" s="837" t="s">
        <v>21</v>
      </c>
      <c r="U23" s="837"/>
      <c r="V23" s="673">
        <f>SUM(V21:V22)</f>
        <v>19.081632653061227</v>
      </c>
      <c r="W23" s="673">
        <f t="shared" ref="W23:AC23" si="3">SUM(W21:W22)</f>
        <v>34</v>
      </c>
      <c r="X23" s="673">
        <f t="shared" si="3"/>
        <v>62.79591836734695</v>
      </c>
      <c r="Y23" s="673">
        <f t="shared" si="3"/>
        <v>89</v>
      </c>
      <c r="Z23" s="673">
        <f t="shared" si="3"/>
        <v>97.142857142857153</v>
      </c>
      <c r="AA23" s="673">
        <f t="shared" si="3"/>
        <v>110</v>
      </c>
      <c r="AB23" s="673">
        <f t="shared" si="3"/>
        <v>119.00000000000003</v>
      </c>
      <c r="AC23" s="764">
        <f t="shared" si="3"/>
        <v>133</v>
      </c>
      <c r="AD23" s="673">
        <f>+AA23-Z23</f>
        <v>12.857142857142847</v>
      </c>
      <c r="AE23" s="686">
        <f>+AC23-AB23</f>
        <v>13.999999999999972</v>
      </c>
      <c r="AF23" s="669"/>
      <c r="AG23" s="303"/>
      <c r="AH23" s="303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2"/>
      <c r="BC23" s="162"/>
      <c r="BD23" s="162"/>
      <c r="BE23" s="162"/>
      <c r="BF23" s="162"/>
      <c r="BG23" s="162"/>
      <c r="BH23" s="162"/>
      <c r="BI23" s="162"/>
      <c r="BJ23" s="162"/>
      <c r="BK23" s="162"/>
      <c r="BL23" s="162"/>
      <c r="BM23" s="162"/>
      <c r="BN23" s="162"/>
    </row>
    <row r="24" spans="1:66" x14ac:dyDescent="0.35"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  <c r="P24" s="162"/>
      <c r="Q24" s="304"/>
      <c r="R24" s="304"/>
      <c r="S24" s="426"/>
      <c r="T24" s="426"/>
      <c r="U24" s="426"/>
      <c r="V24" s="426"/>
      <c r="W24" s="426"/>
      <c r="X24" s="426"/>
      <c r="Y24" s="426"/>
      <c r="Z24" s="426"/>
      <c r="AA24" s="426"/>
      <c r="AB24" s="426"/>
      <c r="AC24" s="426"/>
      <c r="AD24" s="426"/>
      <c r="AE24" s="426"/>
      <c r="AF24" s="426"/>
      <c r="AG24" s="426"/>
      <c r="AH24" s="426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58"/>
      <c r="AZ24" s="162"/>
      <c r="BA24" s="162"/>
      <c r="BB24" s="162"/>
      <c r="BC24" s="162"/>
      <c r="BD24" s="162"/>
      <c r="BE24" s="162"/>
      <c r="BF24" s="162"/>
      <c r="BG24" s="162"/>
      <c r="BH24" s="162"/>
      <c r="BI24" s="162"/>
      <c r="BJ24" s="162"/>
      <c r="BK24" s="162"/>
      <c r="BL24" s="162"/>
      <c r="BM24" s="162"/>
      <c r="BN24" s="162"/>
    </row>
    <row r="25" spans="1:66" x14ac:dyDescent="0.35"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6"/>
      <c r="AD25" s="426"/>
      <c r="AE25" s="426"/>
      <c r="AF25" s="426"/>
      <c r="AG25" s="426"/>
      <c r="AH25" s="426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</row>
    <row r="26" spans="1:66" x14ac:dyDescent="0.35"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</row>
    <row r="27" spans="1:66" x14ac:dyDescent="0.35">
      <c r="S27" s="304"/>
      <c r="T27" s="304"/>
      <c r="U27" s="304"/>
      <c r="V27" s="304"/>
      <c r="W27" s="304"/>
      <c r="X27" s="304"/>
      <c r="Y27" s="304"/>
      <c r="Z27" s="304"/>
      <c r="AA27" s="304"/>
      <c r="AB27" s="304"/>
      <c r="AC27" s="304"/>
      <c r="AD27" s="304"/>
      <c r="AE27" s="304"/>
      <c r="AF27" s="304"/>
      <c r="AG27" s="304"/>
      <c r="AH27" s="304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</row>
    <row r="28" spans="1:66" x14ac:dyDescent="0.35"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  <c r="AG28" s="299"/>
      <c r="AH28" s="299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</row>
    <row r="29" spans="1:66" x14ac:dyDescent="0.35"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  <c r="AG29" s="299"/>
      <c r="AH29" s="299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</row>
    <row r="30" spans="1:66" x14ac:dyDescent="0.35"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  <c r="AG30" s="299"/>
      <c r="AH30" s="299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</row>
    <row r="31" spans="1:66" x14ac:dyDescent="0.35"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  <c r="AG31" s="299"/>
      <c r="AH31" s="299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</row>
    <row r="32" spans="1:66" x14ac:dyDescent="0.35"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  <c r="AG32" s="299"/>
      <c r="AH32" s="299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</row>
    <row r="33" spans="1:67" x14ac:dyDescent="0.35"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  <c r="AG33" s="299"/>
      <c r="AH33" s="299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</row>
    <row r="34" spans="1:67" x14ac:dyDescent="0.35"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</row>
    <row r="35" spans="1:67" x14ac:dyDescent="0.35"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  <c r="AG35" s="299"/>
      <c r="AH35" s="299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</row>
    <row r="36" spans="1:67" ht="21.75" thickBot="1" x14ac:dyDescent="0.4"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  <c r="AG36" s="299"/>
      <c r="AH36" s="299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</row>
    <row r="37" spans="1:67" ht="21" customHeight="1" x14ac:dyDescent="0.35">
      <c r="A37"/>
      <c r="B37" s="823" t="s">
        <v>89</v>
      </c>
      <c r="C37" s="823" t="s">
        <v>96</v>
      </c>
      <c r="D37" s="823" t="s">
        <v>97</v>
      </c>
      <c r="E37" s="823" t="s">
        <v>98</v>
      </c>
      <c r="F37" s="823" t="s">
        <v>99</v>
      </c>
      <c r="G37" s="823" t="s">
        <v>100</v>
      </c>
      <c r="H37" s="823" t="s">
        <v>16</v>
      </c>
      <c r="I37" s="823" t="s">
        <v>101</v>
      </c>
      <c r="J37" s="823" t="s">
        <v>102</v>
      </c>
      <c r="K37" s="823" t="s">
        <v>103</v>
      </c>
      <c r="L37" s="823" t="s">
        <v>104</v>
      </c>
      <c r="M37" s="823" t="s">
        <v>105</v>
      </c>
      <c r="N37" s="823" t="s">
        <v>106</v>
      </c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  <c r="AG37" s="299"/>
      <c r="AH37" s="299"/>
      <c r="AI37"/>
      <c r="AJ37" s="815" t="s">
        <v>89</v>
      </c>
      <c r="AK37" s="815" t="s">
        <v>96</v>
      </c>
      <c r="AL37" s="815" t="s">
        <v>97</v>
      </c>
      <c r="AM37" s="815" t="s">
        <v>98</v>
      </c>
      <c r="AN37" s="815" t="s">
        <v>99</v>
      </c>
      <c r="AO37" s="815" t="s">
        <v>100</v>
      </c>
      <c r="AP37" s="815" t="s">
        <v>16</v>
      </c>
      <c r="AQ37" s="815" t="s">
        <v>101</v>
      </c>
      <c r="AR37" s="815" t="s">
        <v>102</v>
      </c>
      <c r="AS37" s="815" t="s">
        <v>103</v>
      </c>
      <c r="AT37" s="815" t="s">
        <v>104</v>
      </c>
      <c r="AU37" s="815" t="s">
        <v>105</v>
      </c>
      <c r="AV37" s="815" t="s">
        <v>106</v>
      </c>
      <c r="AW37" s="158"/>
      <c r="AX37" s="158"/>
      <c r="AY37" s="813" t="s">
        <v>117</v>
      </c>
      <c r="AZ37" s="813" t="s">
        <v>74</v>
      </c>
      <c r="BA37" s="813" t="s">
        <v>75</v>
      </c>
      <c r="BB37" s="813" t="s">
        <v>76</v>
      </c>
      <c r="BC37" s="813" t="s">
        <v>118</v>
      </c>
      <c r="BD37" s="813" t="s">
        <v>77</v>
      </c>
      <c r="BE37" s="813" t="s">
        <v>78</v>
      </c>
      <c r="BF37" s="813" t="s">
        <v>79</v>
      </c>
      <c r="BG37" s="813" t="s">
        <v>119</v>
      </c>
      <c r="BH37" s="813" t="s">
        <v>80</v>
      </c>
      <c r="BI37" s="813" t="s">
        <v>81</v>
      </c>
      <c r="BJ37" s="813" t="s">
        <v>82</v>
      </c>
      <c r="BK37" s="813" t="s">
        <v>120</v>
      </c>
      <c r="BL37" s="813" t="s">
        <v>83</v>
      </c>
      <c r="BM37" s="813" t="s">
        <v>84</v>
      </c>
      <c r="BN37" s="813" t="s">
        <v>85</v>
      </c>
      <c r="BO37" s="813" t="s">
        <v>121</v>
      </c>
    </row>
    <row r="38" spans="1:67" ht="21.75" thickBot="1" x14ac:dyDescent="0.4">
      <c r="A38"/>
      <c r="B38" s="824"/>
      <c r="C38" s="824"/>
      <c r="D38" s="824"/>
      <c r="E38" s="824"/>
      <c r="F38" s="824"/>
      <c r="G38" s="824"/>
      <c r="H38" s="824"/>
      <c r="I38" s="824"/>
      <c r="J38" s="824"/>
      <c r="K38" s="824"/>
      <c r="L38" s="824"/>
      <c r="M38" s="824"/>
      <c r="N38" s="824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  <c r="AG38" s="299"/>
      <c r="AH38" s="299"/>
      <c r="AI38"/>
      <c r="AJ38" s="816"/>
      <c r="AK38" s="816"/>
      <c r="AL38" s="816"/>
      <c r="AM38" s="816"/>
      <c r="AN38" s="816"/>
      <c r="AO38" s="816"/>
      <c r="AP38" s="816"/>
      <c r="AQ38" s="816"/>
      <c r="AR38" s="816"/>
      <c r="AS38" s="816"/>
      <c r="AT38" s="816"/>
      <c r="AU38" s="816"/>
      <c r="AV38" s="816"/>
      <c r="AW38" s="158"/>
      <c r="AX38" s="158"/>
      <c r="AY38" s="814"/>
      <c r="AZ38" s="814"/>
      <c r="BA38" s="814"/>
      <c r="BB38" s="814"/>
      <c r="BC38" s="814"/>
      <c r="BD38" s="814"/>
      <c r="BE38" s="814"/>
      <c r="BF38" s="814"/>
      <c r="BG38" s="814"/>
      <c r="BH38" s="814"/>
      <c r="BI38" s="814"/>
      <c r="BJ38" s="814"/>
      <c r="BK38" s="814"/>
      <c r="BL38" s="814"/>
      <c r="BM38" s="814"/>
      <c r="BN38" s="814"/>
      <c r="BO38" s="814"/>
    </row>
    <row r="39" spans="1:67" ht="22.5" thickTop="1" thickBot="1" x14ac:dyDescent="0.4">
      <c r="A39"/>
      <c r="B39" s="405" t="s">
        <v>92</v>
      </c>
      <c r="C39" s="406">
        <f>+B18</f>
        <v>7</v>
      </c>
      <c r="D39" s="406">
        <f t="shared" ref="D39:N41" si="4">+C39+C18</f>
        <v>10</v>
      </c>
      <c r="E39" s="406">
        <f t="shared" si="4"/>
        <v>16</v>
      </c>
      <c r="F39" s="406">
        <f t="shared" si="4"/>
        <v>21</v>
      </c>
      <c r="G39" s="406">
        <f t="shared" si="4"/>
        <v>49</v>
      </c>
      <c r="H39" s="406">
        <f t="shared" si="4"/>
        <v>81</v>
      </c>
      <c r="I39" s="406">
        <f t="shared" si="4"/>
        <v>106</v>
      </c>
      <c r="J39" s="406">
        <f t="shared" si="4"/>
        <v>131</v>
      </c>
      <c r="K39" s="406">
        <f t="shared" si="4"/>
        <v>146</v>
      </c>
      <c r="L39" s="406">
        <f t="shared" si="4"/>
        <v>150</v>
      </c>
      <c r="M39" s="406">
        <f t="shared" si="4"/>
        <v>160</v>
      </c>
      <c r="N39" s="406">
        <f t="shared" si="4"/>
        <v>170</v>
      </c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  <c r="AG39" s="299"/>
      <c r="AH39" s="299"/>
      <c r="AI39"/>
      <c r="AJ39" s="305" t="s">
        <v>92</v>
      </c>
      <c r="AK39" s="418">
        <f>+AJ18</f>
        <v>4.7135000000000003E-2</v>
      </c>
      <c r="AL39" s="418">
        <f t="shared" ref="AL39:AV41" si="5">+AK39+AK18</f>
        <v>9.2659000000000005E-2</v>
      </c>
      <c r="AM39" s="418">
        <f t="shared" si="5"/>
        <v>0.13924600000000001</v>
      </c>
      <c r="AN39" s="418">
        <f t="shared" si="5"/>
        <v>0.19077100000000002</v>
      </c>
      <c r="AO39" s="418">
        <f t="shared" si="5"/>
        <v>0.23711500000000002</v>
      </c>
      <c r="AP39" s="418">
        <f t="shared" si="5"/>
        <v>0.281472</v>
      </c>
      <c r="AQ39" s="418">
        <f t="shared" si="5"/>
        <v>0.342192</v>
      </c>
      <c r="AR39" s="418">
        <f t="shared" si="5"/>
        <v>0.40633900000000001</v>
      </c>
      <c r="AS39" s="418">
        <f t="shared" si="5"/>
        <v>0.46469100000000002</v>
      </c>
      <c r="AT39" s="418">
        <f t="shared" si="5"/>
        <v>0.51471800000000001</v>
      </c>
      <c r="AU39" s="418">
        <f t="shared" si="5"/>
        <v>0.563751</v>
      </c>
      <c r="AV39" s="418">
        <f t="shared" si="5"/>
        <v>0.61546599999999996</v>
      </c>
      <c r="AW39" s="158"/>
      <c r="AX39" s="158"/>
      <c r="AY39" s="308" t="s">
        <v>92</v>
      </c>
      <c r="AZ39" s="464">
        <f>+VLOOKUP($A$1,data!$A$133:$BK$163,26)</f>
        <v>15.630748533449946</v>
      </c>
      <c r="BA39" s="464">
        <f>+VLOOKUP($A$1,data!$A$133:$BK$163,27)</f>
        <v>17.251891477473496</v>
      </c>
      <c r="BB39" s="464">
        <f>+VLOOKUP($A$1,data!$A$133:$BK$163,28)</f>
        <v>18.038940513926455</v>
      </c>
      <c r="BC39" s="464">
        <f>+VLOOKUP($A$1,data!$A$133:$BK$163,29)</f>
        <v>16.978901940651468</v>
      </c>
      <c r="BD39" s="464">
        <f>+VLOOKUP($A$1,data!$A$133:$BK$163,30)</f>
        <v>13.512037094360126</v>
      </c>
      <c r="BE39" s="464">
        <f>+VLOOKUP($A$1,data!$A$133:$BK$163,31)</f>
        <v>12.763742665840933</v>
      </c>
      <c r="BF39" s="464">
        <f>+VLOOKUP($A$1,data!$A$133:$BK$163,32)</f>
        <v>14.305969113071123</v>
      </c>
      <c r="BG39" s="464">
        <f>+VLOOKUP($A$1,data!$A$133:$BK$163,33)</f>
        <v>15.266649535504051</v>
      </c>
      <c r="BH39" s="464">
        <f>+VLOOKUP($A$1,data!$A$133:$BK$163,34)</f>
        <v>13.650217567714366</v>
      </c>
      <c r="BI39" s="464">
        <f>+VLOOKUP($A$1,data!$A$133:$BK$163,35)</f>
        <v>16.387171145849567</v>
      </c>
      <c r="BJ39" s="464">
        <f>+VLOOKUP($A$1,data!$A$133:$BK$163,36)</f>
        <v>13.341273683679008</v>
      </c>
      <c r="BK39" s="464">
        <f>+VLOOKUP($A$1,data!$A$133:$BK$163,37)</f>
        <v>14.979191122110915</v>
      </c>
      <c r="BL39" s="464">
        <f>+VLOOKUP($A$1,data!$A$133:$BK$163,38)</f>
        <v>14.056743606082106</v>
      </c>
      <c r="BM39" s="464">
        <f>+VLOOKUP($A$1,data!$A$133:$BK$163,39)</f>
        <v>14.285764215949259</v>
      </c>
      <c r="BN39" s="464">
        <f>+VLOOKUP($A$1,data!$A$133:$BK$163,40)</f>
        <v>10.992920740241496</v>
      </c>
      <c r="BO39" s="464">
        <f>+VLOOKUP($A$1,data!$A$133:$BK$163,41)</f>
        <v>14.528162597525837</v>
      </c>
    </row>
    <row r="40" spans="1:67" ht="21.75" thickBot="1" x14ac:dyDescent="0.4">
      <c r="A40"/>
      <c r="B40" s="408" t="s">
        <v>94</v>
      </c>
      <c r="C40" s="409">
        <f>+B19</f>
        <v>6.9387755102040822</v>
      </c>
      <c r="D40" s="409">
        <f t="shared" si="4"/>
        <v>11.795918367346939</v>
      </c>
      <c r="E40" s="409">
        <f t="shared" si="4"/>
        <v>19.081632653061227</v>
      </c>
      <c r="F40" s="409">
        <f t="shared" si="4"/>
        <v>29.142857142857146</v>
      </c>
      <c r="G40" s="409">
        <f t="shared" si="4"/>
        <v>44.408163265306129</v>
      </c>
      <c r="H40" s="409">
        <f t="shared" si="4"/>
        <v>62.79591836734695</v>
      </c>
      <c r="I40" s="409">
        <f t="shared" si="4"/>
        <v>75.285714285714292</v>
      </c>
      <c r="J40" s="409">
        <f t="shared" si="4"/>
        <v>88.816326530612258</v>
      </c>
      <c r="K40" s="409">
        <f t="shared" si="4"/>
        <v>97.142857142857153</v>
      </c>
      <c r="L40" s="409">
        <f t="shared" si="4"/>
        <v>102.00000000000001</v>
      </c>
      <c r="M40" s="409">
        <f t="shared" si="4"/>
        <v>109.28571428571431</v>
      </c>
      <c r="N40" s="409">
        <f t="shared" si="4"/>
        <v>119.00000000000003</v>
      </c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  <c r="AG40" s="299"/>
      <c r="AH40" s="299"/>
      <c r="AI40"/>
      <c r="AJ40" s="306" t="s">
        <v>94</v>
      </c>
      <c r="AK40" s="423">
        <f>+AJ19</f>
        <v>4.5719000000000003E-2</v>
      </c>
      <c r="AL40" s="423">
        <f t="shared" si="5"/>
        <v>9.1019000000000003E-2</v>
      </c>
      <c r="AM40" s="423">
        <f t="shared" si="5"/>
        <v>0.13550699999999999</v>
      </c>
      <c r="AN40" s="423">
        <f t="shared" si="5"/>
        <v>0.18423999999999999</v>
      </c>
      <c r="AO40" s="423">
        <f t="shared" si="5"/>
        <v>0.23053799999999999</v>
      </c>
      <c r="AP40" s="423">
        <f t="shared" si="5"/>
        <v>0.27538600000000002</v>
      </c>
      <c r="AQ40" s="423">
        <f t="shared" si="5"/>
        <v>0.331208</v>
      </c>
      <c r="AR40" s="423">
        <f t="shared" si="5"/>
        <v>0.38888100000000003</v>
      </c>
      <c r="AS40" s="423">
        <f t="shared" si="5"/>
        <v>0.44283100000000003</v>
      </c>
      <c r="AT40" s="423">
        <f t="shared" si="5"/>
        <v>0.49172600000000005</v>
      </c>
      <c r="AU40" s="423">
        <f t="shared" si="5"/>
        <v>0.54084900000000002</v>
      </c>
      <c r="AV40" s="423">
        <f t="shared" si="5"/>
        <v>0.59062100000000006</v>
      </c>
      <c r="AW40" s="158"/>
      <c r="AX40" s="158"/>
      <c r="AY40" s="311" t="s">
        <v>94</v>
      </c>
      <c r="AZ40" s="458">
        <f>+VLOOKUP($A$1,data!$A$133:$BK$163,22)</f>
        <v>15.000071957976541</v>
      </c>
      <c r="BA40" s="458">
        <f>+$AZ$40</f>
        <v>15.000071957976541</v>
      </c>
      <c r="BB40" s="458">
        <f t="shared" ref="BB40:BO40" si="6">+$AZ$40</f>
        <v>15.000071957976541</v>
      </c>
      <c r="BC40" s="458">
        <f t="shared" si="6"/>
        <v>15.000071957976541</v>
      </c>
      <c r="BD40" s="458">
        <f t="shared" si="6"/>
        <v>15.000071957976541</v>
      </c>
      <c r="BE40" s="458">
        <f t="shared" si="6"/>
        <v>15.000071957976541</v>
      </c>
      <c r="BF40" s="458">
        <f t="shared" si="6"/>
        <v>15.000071957976541</v>
      </c>
      <c r="BG40" s="458">
        <f t="shared" si="6"/>
        <v>15.000071957976541</v>
      </c>
      <c r="BH40" s="458">
        <f t="shared" si="6"/>
        <v>15.000071957976541</v>
      </c>
      <c r="BI40" s="458">
        <f t="shared" si="6"/>
        <v>15.000071957976541</v>
      </c>
      <c r="BJ40" s="458">
        <f t="shared" si="6"/>
        <v>15.000071957976541</v>
      </c>
      <c r="BK40" s="458">
        <f t="shared" si="6"/>
        <v>15.000071957976541</v>
      </c>
      <c r="BL40" s="458">
        <f t="shared" si="6"/>
        <v>15.000071957976541</v>
      </c>
      <c r="BM40" s="458">
        <f t="shared" si="6"/>
        <v>15.000071957976541</v>
      </c>
      <c r="BN40" s="458">
        <f t="shared" si="6"/>
        <v>15.000071957976541</v>
      </c>
      <c r="BO40" s="458">
        <f t="shared" si="6"/>
        <v>15.000071957976541</v>
      </c>
    </row>
    <row r="41" spans="1:67" ht="21.75" thickBot="1" x14ac:dyDescent="0.4">
      <c r="A41"/>
      <c r="B41" s="413" t="s">
        <v>93</v>
      </c>
      <c r="C41" s="414">
        <f>+B20</f>
        <v>7</v>
      </c>
      <c r="D41" s="414">
        <f t="shared" si="4"/>
        <v>18</v>
      </c>
      <c r="E41" s="414">
        <f t="shared" si="4"/>
        <v>34</v>
      </c>
      <c r="F41" s="414">
        <f t="shared" si="4"/>
        <v>43</v>
      </c>
      <c r="G41" s="414">
        <f t="shared" si="4"/>
        <v>67</v>
      </c>
      <c r="H41" s="414">
        <f t="shared" si="4"/>
        <v>89</v>
      </c>
      <c r="I41" s="414">
        <f t="shared" si="4"/>
        <v>97</v>
      </c>
      <c r="J41" s="414">
        <f t="shared" si="4"/>
        <v>108</v>
      </c>
      <c r="K41" s="414">
        <f t="shared" si="4"/>
        <v>110</v>
      </c>
      <c r="L41" s="414">
        <f t="shared" si="4"/>
        <v>126</v>
      </c>
      <c r="M41" s="414">
        <f t="shared" si="4"/>
        <v>129</v>
      </c>
      <c r="N41" s="414">
        <f t="shared" si="4"/>
        <v>133</v>
      </c>
      <c r="O41" s="246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  <c r="AG41" s="299"/>
      <c r="AH41" s="299"/>
      <c r="AI41"/>
      <c r="AJ41" s="307" t="s">
        <v>93</v>
      </c>
      <c r="AK41" s="420">
        <f>+AJ20</f>
        <v>4.4784999999999998E-2</v>
      </c>
      <c r="AL41" s="420">
        <f t="shared" si="5"/>
        <v>9.4029000000000001E-2</v>
      </c>
      <c r="AM41" s="420">
        <f t="shared" si="5"/>
        <v>0.14143</v>
      </c>
      <c r="AN41" s="420">
        <f t="shared" si="5"/>
        <v>0.19258900000000001</v>
      </c>
      <c r="AO41" s="420">
        <f t="shared" si="5"/>
        <v>0.24261100000000002</v>
      </c>
      <c r="AP41" s="420">
        <f t="shared" si="5"/>
        <v>0.29170700000000005</v>
      </c>
      <c r="AQ41" s="420">
        <f t="shared" si="5"/>
        <v>0.35262800000000005</v>
      </c>
      <c r="AR41" s="420">
        <f t="shared" si="5"/>
        <v>0.40913600000000006</v>
      </c>
      <c r="AS41" s="420">
        <f t="shared" si="5"/>
        <v>0.46141100000000007</v>
      </c>
      <c r="AT41" s="420">
        <f t="shared" si="5"/>
        <v>0.51232600000000006</v>
      </c>
      <c r="AU41" s="420">
        <f t="shared" si="5"/>
        <v>0.56314400000000009</v>
      </c>
      <c r="AV41" s="420">
        <f t="shared" si="5"/>
        <v>0.61444100000000013</v>
      </c>
      <c r="AW41" s="158"/>
      <c r="AX41" s="158"/>
      <c r="AY41" s="315" t="s">
        <v>93</v>
      </c>
      <c r="AZ41" s="442">
        <f>+VLOOKUP($A$1,data!$A$133:$BK$163,3)</f>
        <v>14.677133395543359</v>
      </c>
      <c r="BA41" s="442">
        <f>+VLOOKUP($A$1,data!$A$133:$BK$163,4)</f>
        <v>12.346171036749846</v>
      </c>
      <c r="BB41" s="442">
        <f>+VLOOKUP($A$1,data!$A$133:$BK$163,5)</f>
        <v>13.697710666110474</v>
      </c>
      <c r="BC41" s="442">
        <f>+VLOOKUP($A$1,data!$A$133:$BK$163,6)</f>
        <v>13.547840807695227</v>
      </c>
      <c r="BD41" s="442">
        <f>+VLOOKUP($A$1,data!$A$133:$BK$163,7)</f>
        <v>14.06297244451612</v>
      </c>
      <c r="BE41" s="442">
        <f>+VLOOKUP($A$1,data!$A$133:$BK$163,8)</f>
        <v>11.451130838203143</v>
      </c>
      <c r="BF41" s="442">
        <f>+VLOOKUP($A$1,data!$A$133:$BK$163,9)</f>
        <v>14.39808516710592</v>
      </c>
      <c r="BG41" s="442">
        <f>+VLOOKUP($A$1,data!$A$133:$BK$163,10)</f>
        <v>13.432082364820582</v>
      </c>
      <c r="BH41" s="442">
        <f>+VLOOKUP($A$1,data!$A$133:$BK$163,11)</f>
        <v>12.867258049706045</v>
      </c>
      <c r="BI41" s="442">
        <f>+VLOOKUP($A$1,data!$A$133:$BK$163,12)</f>
        <v>12.233929783726873</v>
      </c>
      <c r="BJ41" s="442">
        <f>+VLOOKUP($A$1,data!$A$133:$BK$163,13)</f>
        <v>14.063770189671242</v>
      </c>
      <c r="BK41" s="442">
        <f>+VLOOKUP($A$1,data!$A$133:$BK$163,14)</f>
        <v>13.285109220249463</v>
      </c>
      <c r="BL41" s="442">
        <f>+VLOOKUP($A$1,data!$A$133:$BK$163,15)</f>
        <v>14.583283353831217</v>
      </c>
      <c r="BM41" s="442">
        <f>+VLOOKUP($A$1,data!$A$133:$BK$163,16)</f>
        <v>14.840145161128184</v>
      </c>
      <c r="BN41" s="442">
        <f>+VLOOKUP($A$1,data!$A$133:$BK$163,17)</f>
        <v>14.200095740228857</v>
      </c>
      <c r="BO41" s="442">
        <f>+VLOOKUP($A$1,data!$A$133:$BK$163,18)</f>
        <v>13.601330021496574</v>
      </c>
    </row>
    <row r="42" spans="1:67" ht="21.75" thickBot="1" x14ac:dyDescent="0.4"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  <c r="AG42" s="299"/>
      <c r="AH42" s="299"/>
      <c r="AY42" s="471" t="s">
        <v>117</v>
      </c>
      <c r="AZ42" s="827" t="s">
        <v>152</v>
      </c>
      <c r="BA42" s="828"/>
      <c r="BB42" s="471" t="s">
        <v>125</v>
      </c>
      <c r="BC42" s="158"/>
      <c r="BD42" s="158"/>
    </row>
    <row r="43" spans="1:67" ht="22.5" thickTop="1" thickBot="1" x14ac:dyDescent="0.4"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  <c r="AG43" s="299"/>
      <c r="AH43" s="299"/>
      <c r="AY43" s="308" t="s">
        <v>92</v>
      </c>
      <c r="AZ43" s="825">
        <f>+VLOOKUP($A$1,data!$A$133:$BK$163,55)</f>
        <v>14.528162597525837</v>
      </c>
      <c r="BA43" s="826">
        <f>+VLOOKUP($A$1,data!$A$133:$BK$163,26)</f>
        <v>15.630748533449946</v>
      </c>
      <c r="BB43" s="473">
        <f>+AZ45-AZ43</f>
        <v>-0.92683257602926261</v>
      </c>
      <c r="BC43" s="158"/>
      <c r="BD43" s="158"/>
    </row>
    <row r="44" spans="1:67" ht="21.75" thickBot="1" x14ac:dyDescent="0.4"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  <c r="AG44" s="299"/>
      <c r="AH44" s="299"/>
      <c r="AY44" s="311" t="s">
        <v>94</v>
      </c>
      <c r="AZ44" s="829">
        <f>+AZ40</f>
        <v>15.000071957976541</v>
      </c>
      <c r="BA44" s="830"/>
      <c r="BB44" s="472">
        <f>+AZ45-AZ44</f>
        <v>-1.3987419364799667</v>
      </c>
      <c r="BC44" s="158"/>
      <c r="BD44" s="158"/>
    </row>
    <row r="45" spans="1:67" ht="21.75" thickBot="1" x14ac:dyDescent="0.4"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  <c r="AG45" s="299"/>
      <c r="AH45" s="299"/>
      <c r="AY45" s="315" t="s">
        <v>93</v>
      </c>
      <c r="AZ45" s="831">
        <f>+BO41</f>
        <v>13.601330021496574</v>
      </c>
      <c r="BA45" s="832"/>
      <c r="BB45" s="315"/>
      <c r="BC45" s="158"/>
      <c r="BD45" s="158"/>
    </row>
    <row r="46" spans="1:67" ht="21.75" thickBot="1" x14ac:dyDescent="0.4"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Y46" s="691"/>
      <c r="AZ46" s="692"/>
      <c r="BA46" s="691"/>
      <c r="BB46" s="691"/>
      <c r="BC46" s="158"/>
      <c r="BD46" s="158"/>
    </row>
    <row r="47" spans="1:67" ht="27" thickBot="1" x14ac:dyDescent="0.4">
      <c r="A47" s="248">
        <f>+A1</f>
        <v>1005</v>
      </c>
      <c r="B47" s="817" t="str">
        <f>+VLOOKUP($A$1,data!$A$4:$AH$32,2,0)</f>
        <v>ฮอด</v>
      </c>
      <c r="C47" s="818"/>
      <c r="D47" s="818"/>
      <c r="E47" s="818"/>
      <c r="F47" s="818"/>
      <c r="G47" s="818"/>
      <c r="H47" s="818"/>
      <c r="I47" s="818"/>
      <c r="J47" s="818"/>
      <c r="K47" s="818"/>
      <c r="L47" s="818"/>
      <c r="M47" s="810" t="s">
        <v>132</v>
      </c>
      <c r="N47" s="811"/>
      <c r="O47" s="811"/>
      <c r="P47" s="812"/>
      <c r="S47" s="248">
        <f>+A1</f>
        <v>1005</v>
      </c>
      <c r="T47" s="817" t="str">
        <f>+VLOOKUP($A$1,data!$A$4:$AH$32,2,0)</f>
        <v>ฮอด</v>
      </c>
      <c r="U47" s="818"/>
      <c r="V47" s="818"/>
      <c r="W47" s="818"/>
      <c r="X47" s="818"/>
      <c r="Y47" s="818"/>
      <c r="Z47" s="818"/>
      <c r="AA47" s="818"/>
      <c r="AB47" s="818"/>
      <c r="AC47" s="819"/>
      <c r="AD47" s="817" t="s">
        <v>133</v>
      </c>
      <c r="AE47" s="818"/>
      <c r="AF47" s="818"/>
      <c r="AG47" s="818"/>
      <c r="AH47" s="820"/>
      <c r="AI47" s="248">
        <f>+A1</f>
        <v>1005</v>
      </c>
      <c r="AJ47" s="817" t="str">
        <f>+VLOOKUP($A$1,data!$A$4:$AH$32,2,0)</f>
        <v>ฮอด</v>
      </c>
      <c r="AK47" s="818"/>
      <c r="AL47" s="818"/>
      <c r="AM47" s="818"/>
      <c r="AN47" s="818"/>
      <c r="AO47" s="818"/>
      <c r="AP47" s="818"/>
      <c r="AQ47" s="818"/>
      <c r="AR47" s="818"/>
      <c r="AS47" s="818"/>
      <c r="AT47" s="833" t="s">
        <v>134</v>
      </c>
      <c r="AU47" s="834"/>
      <c r="AV47" s="834"/>
      <c r="AW47" s="834"/>
      <c r="AX47" s="835"/>
    </row>
    <row r="48" spans="1:67" x14ac:dyDescent="0.35"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</row>
    <row r="49" spans="1:50" x14ac:dyDescent="0.35"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</row>
    <row r="50" spans="1:50" x14ac:dyDescent="0.35"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</row>
    <row r="51" spans="1:50" x14ac:dyDescent="0.35"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</row>
    <row r="52" spans="1:50" x14ac:dyDescent="0.35"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</row>
    <row r="53" spans="1:50" x14ac:dyDescent="0.35"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</row>
    <row r="54" spans="1:50" x14ac:dyDescent="0.35"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</row>
    <row r="55" spans="1:50" x14ac:dyDescent="0.35"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</row>
    <row r="56" spans="1:50" x14ac:dyDescent="0.35"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</row>
    <row r="57" spans="1:50" x14ac:dyDescent="0.35"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</row>
    <row r="58" spans="1:50" x14ac:dyDescent="0.35"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</row>
    <row r="59" spans="1:50" x14ac:dyDescent="0.35"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</row>
    <row r="60" spans="1:50" x14ac:dyDescent="0.35"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</row>
    <row r="61" spans="1:50" ht="21.75" thickBot="1" x14ac:dyDescent="0.4"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</row>
    <row r="62" spans="1:50" ht="21" customHeight="1" x14ac:dyDescent="0.35">
      <c r="A62" s="844" t="s">
        <v>126</v>
      </c>
      <c r="B62" s="844" t="s">
        <v>74</v>
      </c>
      <c r="C62" s="844" t="s">
        <v>75</v>
      </c>
      <c r="D62" s="844" t="s">
        <v>76</v>
      </c>
      <c r="E62" s="844" t="s">
        <v>77</v>
      </c>
      <c r="F62" s="844" t="s">
        <v>78</v>
      </c>
      <c r="G62" s="844" t="s">
        <v>79</v>
      </c>
      <c r="H62" s="844" t="s">
        <v>80</v>
      </c>
      <c r="I62" s="844" t="s">
        <v>81</v>
      </c>
      <c r="J62" s="844" t="s">
        <v>82</v>
      </c>
      <c r="K62" s="844" t="s">
        <v>83</v>
      </c>
      <c r="L62" s="844" t="s">
        <v>84</v>
      </c>
      <c r="M62" s="844" t="s">
        <v>85</v>
      </c>
      <c r="N62" s="844" t="s">
        <v>95</v>
      </c>
      <c r="O62" s="536" t="s">
        <v>89</v>
      </c>
      <c r="P62" s="536" t="s">
        <v>90</v>
      </c>
      <c r="S62" s="846" t="s">
        <v>129</v>
      </c>
      <c r="T62" s="846" t="s">
        <v>74</v>
      </c>
      <c r="U62" s="846" t="s">
        <v>75</v>
      </c>
      <c r="V62" s="846" t="s">
        <v>76</v>
      </c>
      <c r="W62" s="846" t="s">
        <v>77</v>
      </c>
      <c r="X62" s="846" t="s">
        <v>78</v>
      </c>
      <c r="Y62" s="846" t="s">
        <v>79</v>
      </c>
      <c r="Z62" s="846" t="s">
        <v>80</v>
      </c>
      <c r="AA62" s="846" t="s">
        <v>81</v>
      </c>
      <c r="AB62" s="846" t="s">
        <v>82</v>
      </c>
      <c r="AC62" s="846" t="s">
        <v>83</v>
      </c>
      <c r="AD62" s="846" t="s">
        <v>84</v>
      </c>
      <c r="AE62" s="846" t="s">
        <v>85</v>
      </c>
      <c r="AF62" s="846" t="s">
        <v>95</v>
      </c>
      <c r="AG62" s="599" t="s">
        <v>89</v>
      </c>
      <c r="AH62" s="599" t="s">
        <v>90</v>
      </c>
      <c r="AI62" s="850" t="s">
        <v>136</v>
      </c>
      <c r="AJ62" s="852" t="s">
        <v>74</v>
      </c>
      <c r="AK62" s="852" t="s">
        <v>75</v>
      </c>
      <c r="AL62" s="852" t="s">
        <v>76</v>
      </c>
      <c r="AM62" s="852" t="s">
        <v>77</v>
      </c>
      <c r="AN62" s="852" t="s">
        <v>78</v>
      </c>
      <c r="AO62" s="852" t="s">
        <v>79</v>
      </c>
      <c r="AP62" s="852" t="s">
        <v>80</v>
      </c>
      <c r="AQ62" s="852" t="s">
        <v>81</v>
      </c>
      <c r="AR62" s="852" t="s">
        <v>82</v>
      </c>
      <c r="AS62" s="852" t="s">
        <v>83</v>
      </c>
      <c r="AT62" s="852" t="s">
        <v>84</v>
      </c>
      <c r="AU62" s="852" t="s">
        <v>85</v>
      </c>
      <c r="AV62" s="852" t="s">
        <v>95</v>
      </c>
      <c r="AW62" s="615" t="s">
        <v>89</v>
      </c>
      <c r="AX62" s="615" t="s">
        <v>90</v>
      </c>
    </row>
    <row r="63" spans="1:50" ht="21.75" thickBot="1" x14ac:dyDescent="0.4">
      <c r="A63" s="845"/>
      <c r="B63" s="845"/>
      <c r="C63" s="845"/>
      <c r="D63" s="845"/>
      <c r="E63" s="845"/>
      <c r="F63" s="845"/>
      <c r="G63" s="845"/>
      <c r="H63" s="845"/>
      <c r="I63" s="845"/>
      <c r="J63" s="845"/>
      <c r="K63" s="845"/>
      <c r="L63" s="845"/>
      <c r="M63" s="845"/>
      <c r="N63" s="845"/>
      <c r="O63" s="537" t="s">
        <v>154</v>
      </c>
      <c r="P63" s="537" t="s">
        <v>91</v>
      </c>
      <c r="S63" s="847"/>
      <c r="T63" s="847"/>
      <c r="U63" s="847"/>
      <c r="V63" s="847"/>
      <c r="W63" s="847"/>
      <c r="X63" s="847"/>
      <c r="Y63" s="847"/>
      <c r="Z63" s="847"/>
      <c r="AA63" s="847"/>
      <c r="AB63" s="847"/>
      <c r="AC63" s="847"/>
      <c r="AD63" s="847"/>
      <c r="AE63" s="847"/>
      <c r="AF63" s="847"/>
      <c r="AG63" s="600" t="s">
        <v>154</v>
      </c>
      <c r="AH63" s="600" t="s">
        <v>91</v>
      </c>
      <c r="AI63" s="851"/>
      <c r="AJ63" s="853"/>
      <c r="AK63" s="853"/>
      <c r="AL63" s="853"/>
      <c r="AM63" s="853"/>
      <c r="AN63" s="853"/>
      <c r="AO63" s="853"/>
      <c r="AP63" s="853"/>
      <c r="AQ63" s="853"/>
      <c r="AR63" s="853"/>
      <c r="AS63" s="853"/>
      <c r="AT63" s="853"/>
      <c r="AU63" s="853"/>
      <c r="AV63" s="853"/>
      <c r="AW63" s="616" t="s">
        <v>154</v>
      </c>
      <c r="AX63" s="616" t="s">
        <v>91</v>
      </c>
    </row>
    <row r="64" spans="1:50" ht="22.5" thickTop="1" thickBot="1" x14ac:dyDescent="0.4">
      <c r="A64" s="543" t="s">
        <v>92</v>
      </c>
      <c r="B64" s="632">
        <f>+VLOOKUP($A$1,data!$A$165:$AU$195,35)</f>
        <v>0.87407529000000006</v>
      </c>
      <c r="C64" s="632">
        <f>+VLOOKUP($A$1,data!$A$165:$AU$195,36)</f>
        <v>0.83280931000000002</v>
      </c>
      <c r="D64" s="632">
        <f>+VLOOKUP($A$1,data!$A$165:$AU$195,37)</f>
        <v>0.85898615999999994</v>
      </c>
      <c r="E64" s="632">
        <f>+VLOOKUP($A$1,data!$A$165:$AU$195,38)</f>
        <v>0.95400023999999983</v>
      </c>
      <c r="F64" s="632">
        <f>+VLOOKUP($A$1,data!$A$165:$AU$195,39)</f>
        <v>0.86580586999999998</v>
      </c>
      <c r="G64" s="632">
        <f>+VLOOKUP($A$1,data!$A$165:$AU$195,40)</f>
        <v>0.81455530999999992</v>
      </c>
      <c r="H64" s="632">
        <f>+VLOOKUP($A$1,data!$A$165:$AU$195,41)</f>
        <v>1.12807528</v>
      </c>
      <c r="I64" s="632">
        <f>+VLOOKUP($A$1,data!$A$165:$AU$195,42)</f>
        <v>1.1943583600000001</v>
      </c>
      <c r="J64" s="632">
        <f>+VLOOKUP($A$1,data!$A$165:$AU$195,43)</f>
        <v>1.0842791399999998</v>
      </c>
      <c r="K64" s="632">
        <f>+VLOOKUP($A$1,data!$A$165:$AU$195,44)</f>
        <v>0.90461395999999994</v>
      </c>
      <c r="L64" s="632">
        <f>+VLOOKUP($A$1,data!$A$165:$AU$195,45)</f>
        <v>0.89286885000000005</v>
      </c>
      <c r="M64" s="632">
        <f>+VLOOKUP($A$1,data!$A$165:$AU$195,46)</f>
        <v>0.94371313000000012</v>
      </c>
      <c r="N64" s="632">
        <f>SUM(B64:M64)</f>
        <v>11.348140900000001</v>
      </c>
      <c r="O64" s="632">
        <f>SUM(B64:M64)</f>
        <v>11.348140900000001</v>
      </c>
      <c r="P64" s="635">
        <f>+O66-O64</f>
        <v>0.11464782999999912</v>
      </c>
      <c r="S64" s="605" t="s">
        <v>92</v>
      </c>
      <c r="T64" s="640">
        <f>+VLOOKUP($A$1,data!$A$197:$AU$227,35)</f>
        <v>0.69987651000000017</v>
      </c>
      <c r="U64" s="640">
        <f>+VLOOKUP($A$1,data!$A$197:$AU$227,36)</f>
        <v>0.60691975999999992</v>
      </c>
      <c r="V64" s="640">
        <f>+VLOOKUP($A$1,data!$A$197:$AU$227,37)</f>
        <v>0.62239031</v>
      </c>
      <c r="W64" s="640">
        <f>+VLOOKUP($A$1,data!$A$197:$AU$227,38)</f>
        <v>0.63538026999999997</v>
      </c>
      <c r="X64" s="640">
        <f>+VLOOKUP($A$1,data!$A$197:$AU$227,39)</f>
        <v>0.67113446000000021</v>
      </c>
      <c r="Y64" s="640">
        <f>+VLOOKUP($A$1,data!$A$197:$AU$227,40)</f>
        <v>0.62425334999999993</v>
      </c>
      <c r="Z64" s="640">
        <f>+VLOOKUP($A$1,data!$A$197:$AU$227,41)</f>
        <v>0.59724416999999996</v>
      </c>
      <c r="AA64" s="640">
        <f>+VLOOKUP($A$1,data!$A$197:$AU$227,42)</f>
        <v>0.62657979999999991</v>
      </c>
      <c r="AB64" s="640">
        <f>+VLOOKUP($A$1,data!$A$197:$AU$227,43)</f>
        <v>0.6911992600000002</v>
      </c>
      <c r="AC64" s="640">
        <f>+VLOOKUP($A$1,data!$A$197:$AU$227,44)</f>
        <v>0.59013888000000003</v>
      </c>
      <c r="AD64" s="640">
        <f>+VLOOKUP($A$1,data!$A$197:$AU$227,45)</f>
        <v>0.70407383999999995</v>
      </c>
      <c r="AE64" s="640">
        <f>+VLOOKUP($A$1,data!$A$197:$AU$227,46)</f>
        <v>0.61678058000000002</v>
      </c>
      <c r="AF64" s="640">
        <f>SUM(T64:AE64)</f>
        <v>7.6859711900000001</v>
      </c>
      <c r="AG64" s="640">
        <f>SUM(T64:AE64)</f>
        <v>7.6859711900000001</v>
      </c>
      <c r="AH64" s="641">
        <f>+AG66-AG64</f>
        <v>-2.8852999999999795E-3</v>
      </c>
      <c r="AI64" s="621" t="s">
        <v>92</v>
      </c>
      <c r="AJ64" s="648">
        <f>+B64-T64</f>
        <v>0.17419877999999989</v>
      </c>
      <c r="AK64" s="648">
        <f t="shared" ref="AK64:AU66" si="7">+C64-U64</f>
        <v>0.22588955000000011</v>
      </c>
      <c r="AL64" s="648">
        <f t="shared" si="7"/>
        <v>0.23659584999999994</v>
      </c>
      <c r="AM64" s="648">
        <f t="shared" si="7"/>
        <v>0.31861996999999986</v>
      </c>
      <c r="AN64" s="648">
        <f t="shared" si="7"/>
        <v>0.19467140999999977</v>
      </c>
      <c r="AO64" s="648">
        <f t="shared" si="7"/>
        <v>0.19030195999999999</v>
      </c>
      <c r="AP64" s="648">
        <f t="shared" si="7"/>
        <v>0.53083111000000005</v>
      </c>
      <c r="AQ64" s="648">
        <f t="shared" si="7"/>
        <v>0.56777856000000015</v>
      </c>
      <c r="AR64" s="648">
        <f t="shared" si="7"/>
        <v>0.3930798799999996</v>
      </c>
      <c r="AS64" s="648">
        <f t="shared" si="7"/>
        <v>0.31447507999999991</v>
      </c>
      <c r="AT64" s="648">
        <f t="shared" si="7"/>
        <v>0.1887950100000001</v>
      </c>
      <c r="AU64" s="648">
        <f t="shared" si="7"/>
        <v>0.3269325500000001</v>
      </c>
      <c r="AV64" s="648">
        <f>SUM(AJ64:AU64)</f>
        <v>3.6621697099999997</v>
      </c>
      <c r="AW64" s="648">
        <f>SUM(AJ64:AU64)</f>
        <v>3.6621697099999997</v>
      </c>
      <c r="AX64" s="651">
        <f>+AW66-AW64</f>
        <v>0.11753312999999954</v>
      </c>
    </row>
    <row r="65" spans="1:50" ht="21.75" thickBot="1" x14ac:dyDescent="0.4">
      <c r="A65" s="538" t="s">
        <v>94</v>
      </c>
      <c r="B65" s="633">
        <f>+VLOOKUP($A$1,data!$A$165:$AU$195,19)</f>
        <v>0.85165999999999997</v>
      </c>
      <c r="C65" s="633">
        <f>+VLOOKUP($A$1,data!$A$165:$AU$195,20)</f>
        <v>0.83843100000000004</v>
      </c>
      <c r="D65" s="633">
        <f>+VLOOKUP($A$1,data!$A$165:$AU$195,21)</f>
        <v>0.83121199999999995</v>
      </c>
      <c r="E65" s="633">
        <f>+VLOOKUP($A$1,data!$A$165:$AU$195,22)</f>
        <v>0.91305199999999997</v>
      </c>
      <c r="F65" s="633">
        <f>+VLOOKUP($A$1,data!$A$165:$AU$195,23)</f>
        <v>0.86703799999999998</v>
      </c>
      <c r="G65" s="633">
        <f>+VLOOKUP($A$1,data!$A$165:$AU$195,24)</f>
        <v>0.917601</v>
      </c>
      <c r="H65" s="633">
        <f>+VLOOKUP($A$1,data!$A$165:$AU$195,25)</f>
        <v>1.034162</v>
      </c>
      <c r="I65" s="633">
        <f>+VLOOKUP($A$1,data!$A$165:$AU$195,26)</f>
        <v>1.068271</v>
      </c>
      <c r="J65" s="633">
        <f>+VLOOKUP($A$1,data!$A$165:$AU$195,27)</f>
        <v>1.0062850000000001</v>
      </c>
      <c r="K65" s="633">
        <f>+VLOOKUP($A$1,data!$A$165:$AU$195,28)</f>
        <v>0.89748600000000001</v>
      </c>
      <c r="L65" s="633">
        <f>+VLOOKUP($A$1,data!$A$165:$AU$195,29)</f>
        <v>0.905524</v>
      </c>
      <c r="M65" s="633">
        <f>+VLOOKUP($A$1,data!$A$165:$AU$195,30)</f>
        <v>0.91583700000000001</v>
      </c>
      <c r="N65" s="633">
        <f>SUM(B65:M65)</f>
        <v>11.046559000000002</v>
      </c>
      <c r="O65" s="636">
        <f t="shared" ref="O65:O66" si="8">SUM(B65:M65)</f>
        <v>11.046559000000002</v>
      </c>
      <c r="P65" s="637">
        <f>+O66-O65</f>
        <v>0.41622972999999774</v>
      </c>
      <c r="S65" s="601" t="s">
        <v>94</v>
      </c>
      <c r="T65" s="642">
        <f>+VLOOKUP($A$1,data!$A$197:$AU$227,19)</f>
        <v>0.65205400000000002</v>
      </c>
      <c r="U65" s="642">
        <f>+VLOOKUP($A$1,data!$A$197:$AU$227,20)</f>
        <v>0.61351199999999995</v>
      </c>
      <c r="V65" s="642">
        <f>+VLOOKUP($A$1,data!$A$197:$AU$227,21)</f>
        <v>0.62990800000000002</v>
      </c>
      <c r="W65" s="642">
        <f>+VLOOKUP($A$1,data!$A$197:$AU$227,22)</f>
        <v>0.66400199999999998</v>
      </c>
      <c r="X65" s="642">
        <f>+VLOOKUP($A$1,data!$A$197:$AU$227,23)</f>
        <v>0.64402400000000004</v>
      </c>
      <c r="Y65" s="642">
        <f>+VLOOKUP($A$1,data!$A$197:$AU$227,24)</f>
        <v>0.64905800000000002</v>
      </c>
      <c r="Z65" s="642">
        <f>+VLOOKUP($A$1,data!$A$197:$AU$227,25)</f>
        <v>0.62721300000000002</v>
      </c>
      <c r="AA65" s="642">
        <f>+VLOOKUP($A$1,data!$A$197:$AU$227,26)</f>
        <v>0.66271500000000005</v>
      </c>
      <c r="AB65" s="642">
        <f>+VLOOKUP($A$1,data!$A$197:$AU$227,27)</f>
        <v>0.71152899999999997</v>
      </c>
      <c r="AC65" s="642">
        <f>+VLOOKUP($A$1,data!$A$197:$AU$227,28)</f>
        <v>0.64721200000000001</v>
      </c>
      <c r="AD65" s="642">
        <f>+VLOOKUP($A$1,data!$A$197:$AU$227,29)</f>
        <v>0.68115800000000004</v>
      </c>
      <c r="AE65" s="642">
        <f>+VLOOKUP($A$1,data!$A$197:$AU$227,30)</f>
        <v>0.70391300000000001</v>
      </c>
      <c r="AF65" s="642">
        <f>SUM(T65:AE65)</f>
        <v>7.886298</v>
      </c>
      <c r="AG65" s="643">
        <f t="shared" ref="AG65:AG66" si="9">SUM(T65:AE65)</f>
        <v>7.886298</v>
      </c>
      <c r="AH65" s="644">
        <f>+AG66-AG65</f>
        <v>-0.20321210999999995</v>
      </c>
      <c r="AI65" s="617" t="s">
        <v>94</v>
      </c>
      <c r="AJ65" s="649">
        <f>+B65-T65</f>
        <v>0.19960599999999995</v>
      </c>
      <c r="AK65" s="649">
        <f t="shared" si="7"/>
        <v>0.22491900000000009</v>
      </c>
      <c r="AL65" s="649">
        <f t="shared" si="7"/>
        <v>0.20130399999999993</v>
      </c>
      <c r="AM65" s="649">
        <f t="shared" si="7"/>
        <v>0.24904999999999999</v>
      </c>
      <c r="AN65" s="649">
        <f t="shared" si="7"/>
        <v>0.22301399999999993</v>
      </c>
      <c r="AO65" s="649">
        <f t="shared" si="7"/>
        <v>0.26854299999999998</v>
      </c>
      <c r="AP65" s="649">
        <f t="shared" si="7"/>
        <v>0.40694900000000001</v>
      </c>
      <c r="AQ65" s="649">
        <f t="shared" si="7"/>
        <v>0.40555599999999992</v>
      </c>
      <c r="AR65" s="649">
        <f t="shared" si="7"/>
        <v>0.29475600000000013</v>
      </c>
      <c r="AS65" s="649">
        <f t="shared" si="7"/>
        <v>0.250274</v>
      </c>
      <c r="AT65" s="649">
        <f t="shared" si="7"/>
        <v>0.22436599999999995</v>
      </c>
      <c r="AU65" s="649">
        <f t="shared" si="7"/>
        <v>0.211924</v>
      </c>
      <c r="AV65" s="649">
        <f>SUM(AJ65:AU65)</f>
        <v>3.1602610000000002</v>
      </c>
      <c r="AW65" s="652">
        <f t="shared" ref="AW65:AW66" si="10">SUM(AJ65:AU65)</f>
        <v>3.1602610000000002</v>
      </c>
      <c r="AX65" s="653">
        <f>+AW66-AW65</f>
        <v>0.61944183999999902</v>
      </c>
    </row>
    <row r="66" spans="1:50" ht="21.75" thickBot="1" x14ac:dyDescent="0.4">
      <c r="A66" s="546" t="s">
        <v>93</v>
      </c>
      <c r="B66" s="634">
        <f>+VLOOKUP($A$1,data!$A$165:$AU$195,3)</f>
        <v>0.83143323000000002</v>
      </c>
      <c r="C66" s="634">
        <f>+VLOOKUP($A$1,data!$A$165:$AU$195,4)</f>
        <v>0.9203693300000001</v>
      </c>
      <c r="D66" s="634">
        <f>+VLOOKUP($A$1,data!$A$165:$AU$195,5)</f>
        <v>0.89559997000000013</v>
      </c>
      <c r="E66" s="634">
        <f>+VLOOKUP($A$1,data!$A$165:$AU$195,6)</f>
        <v>0.95245346000000009</v>
      </c>
      <c r="F66" s="634">
        <f>+VLOOKUP($A$1,data!$A$165:$AU$195,7)</f>
        <v>0.94284661000000003</v>
      </c>
      <c r="G66" s="634">
        <f>+VLOOKUP($A$1,data!$A$165:$AU$195,8)</f>
        <v>0.94317571000000011</v>
      </c>
      <c r="H66" s="634">
        <f>+VLOOKUP($A$1,data!$A$165:$AU$195,9)</f>
        <v>1.1309667899999998</v>
      </c>
      <c r="I66" s="634">
        <f>+VLOOKUP($A$1,data!$A$165:$AU$195,10)</f>
        <v>1.05098848</v>
      </c>
      <c r="J66" s="634">
        <f>+VLOOKUP($A$1,data!$A$165:$AU$195,11)</f>
        <v>0.95645856999999979</v>
      </c>
      <c r="K66" s="634">
        <f>+VLOOKUP($A$1,data!$A$165:$AU$195,12)</f>
        <v>0.95621736999999996</v>
      </c>
      <c r="L66" s="634">
        <f>+VLOOKUP($A$1,data!$A$165:$AU$195,13)</f>
        <v>0.93221536999999988</v>
      </c>
      <c r="M66" s="634">
        <f>+VLOOKUP($A$1,data!$A$165:$AU$195,14)</f>
        <v>0.95006384000000021</v>
      </c>
      <c r="N66" s="634">
        <f>SUM(B66:M66)</f>
        <v>11.46278873</v>
      </c>
      <c r="O66" s="638">
        <f t="shared" si="8"/>
        <v>11.46278873</v>
      </c>
      <c r="P66" s="639"/>
      <c r="S66" s="608" t="s">
        <v>93</v>
      </c>
      <c r="T66" s="645">
        <f>+VLOOKUP($A$1,data!$A$197:$AU$227,3)</f>
        <v>0.62415346999999999</v>
      </c>
      <c r="U66" s="645">
        <f>+VLOOKUP($A$1,data!$A$197:$AU$227,4)</f>
        <v>0.59669557000000006</v>
      </c>
      <c r="V66" s="645">
        <f>+VLOOKUP($A$1,data!$A$197:$AU$227,5)</f>
        <v>0.75084705000000018</v>
      </c>
      <c r="W66" s="645">
        <f>+VLOOKUP($A$1,data!$A$197:$AU$227,6)</f>
        <v>0.51927781000000006</v>
      </c>
      <c r="X66" s="645">
        <f>+VLOOKUP($A$1,data!$A$197:$AU$227,7)</f>
        <v>0.55640186999999997</v>
      </c>
      <c r="Y66" s="645">
        <f>+VLOOKUP($A$1,data!$A$197:$AU$227,8)</f>
        <v>0.65780601999999999</v>
      </c>
      <c r="Z66" s="645">
        <f>+VLOOKUP($A$1,data!$A$197:$AU$227,9)</f>
        <v>0.60142024999999999</v>
      </c>
      <c r="AA66" s="645">
        <f>+VLOOKUP($A$1,data!$A$197:$AU$227,10)</f>
        <v>0.6722536899999999</v>
      </c>
      <c r="AB66" s="645">
        <f>+VLOOKUP($A$1,data!$A$197:$AU$227,11)</f>
        <v>0.63715807000000002</v>
      </c>
      <c r="AC66" s="645">
        <f>+VLOOKUP($A$1,data!$A$197:$AU$227,12)</f>
        <v>0.68052615000000016</v>
      </c>
      <c r="AD66" s="645">
        <f>+VLOOKUP($A$1,data!$A$197:$AU$227,13)</f>
        <v>0.67011272999999993</v>
      </c>
      <c r="AE66" s="645">
        <f>+VLOOKUP($A$1,data!$A$197:$AU$227,14)</f>
        <v>0.71643321000000026</v>
      </c>
      <c r="AF66" s="645">
        <f>SUM(T66:AE66)</f>
        <v>7.6830858900000001</v>
      </c>
      <c r="AG66" s="646">
        <f t="shared" si="9"/>
        <v>7.6830858900000001</v>
      </c>
      <c r="AH66" s="647"/>
      <c r="AI66" s="624" t="s">
        <v>93</v>
      </c>
      <c r="AJ66" s="650">
        <f>+B66-T66</f>
        <v>0.20727976000000004</v>
      </c>
      <c r="AK66" s="650">
        <f t="shared" si="7"/>
        <v>0.32367376000000003</v>
      </c>
      <c r="AL66" s="650">
        <f t="shared" si="7"/>
        <v>0.14475291999999995</v>
      </c>
      <c r="AM66" s="650">
        <f t="shared" si="7"/>
        <v>0.43317565000000002</v>
      </c>
      <c r="AN66" s="650">
        <f t="shared" si="7"/>
        <v>0.38644474000000006</v>
      </c>
      <c r="AO66" s="650">
        <f t="shared" si="7"/>
        <v>0.28536969000000012</v>
      </c>
      <c r="AP66" s="650">
        <f t="shared" si="7"/>
        <v>0.52954653999999979</v>
      </c>
      <c r="AQ66" s="650">
        <f t="shared" si="7"/>
        <v>0.3787347900000001</v>
      </c>
      <c r="AR66" s="650">
        <f t="shared" si="7"/>
        <v>0.31930049999999977</v>
      </c>
      <c r="AS66" s="650">
        <f>+K66-AC66</f>
        <v>0.27569121999999979</v>
      </c>
      <c r="AT66" s="650">
        <f>+L66-AD66</f>
        <v>0.26210263999999994</v>
      </c>
      <c r="AU66" s="650">
        <f>+M66-AE66</f>
        <v>0.23363062999999995</v>
      </c>
      <c r="AV66" s="650">
        <f>SUM(AJ66:AU66)</f>
        <v>3.7797028399999992</v>
      </c>
      <c r="AW66" s="654">
        <f t="shared" si="10"/>
        <v>3.7797028399999992</v>
      </c>
      <c r="AX66" s="655"/>
    </row>
    <row r="67" spans="1:50" x14ac:dyDescent="0.35">
      <c r="A67" s="427"/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28"/>
      <c r="M67" s="428"/>
      <c r="N67" s="429"/>
      <c r="O67" s="430"/>
      <c r="P67" s="426"/>
      <c r="S67" s="657" t="s">
        <v>135</v>
      </c>
      <c r="T67" s="428"/>
      <c r="U67" s="428"/>
      <c r="V67" s="428"/>
      <c r="W67" s="428"/>
      <c r="X67" s="428"/>
      <c r="Y67" s="428"/>
      <c r="Z67" s="428"/>
      <c r="AA67" s="428"/>
      <c r="AB67" s="428"/>
      <c r="AC67" s="428"/>
      <c r="AD67" s="428"/>
      <c r="AE67" s="428"/>
      <c r="AF67" s="429"/>
      <c r="AG67" s="430"/>
      <c r="AH67" s="426"/>
      <c r="AI67" s="427"/>
      <c r="AJ67" s="428"/>
      <c r="AK67" s="428"/>
      <c r="AL67" s="428"/>
      <c r="AM67" s="428"/>
      <c r="AN67" s="428"/>
      <c r="AO67" s="428"/>
      <c r="AP67" s="428"/>
      <c r="AQ67" s="428"/>
      <c r="AR67" s="428"/>
      <c r="AS67" s="428"/>
      <c r="AT67" s="428"/>
      <c r="AU67" s="428"/>
      <c r="AV67" s="429"/>
      <c r="AW67" s="430"/>
      <c r="AX67" s="426"/>
    </row>
    <row r="68" spans="1:50" x14ac:dyDescent="0.35">
      <c r="A68" s="427"/>
      <c r="B68" s="428"/>
      <c r="C68" s="428"/>
      <c r="D68" s="428"/>
      <c r="E68" s="428"/>
      <c r="F68" s="428"/>
      <c r="G68" s="428"/>
      <c r="H68" s="428"/>
      <c r="I68" s="428"/>
      <c r="J68" s="428"/>
      <c r="K68" s="428"/>
      <c r="L68" s="428"/>
      <c r="M68" s="428"/>
      <c r="N68" s="429"/>
      <c r="O68" s="430"/>
      <c r="P68" s="426"/>
      <c r="S68" s="427"/>
      <c r="T68" s="428"/>
      <c r="U68" s="428"/>
      <c r="V68" s="428"/>
      <c r="W68" s="428"/>
      <c r="X68" s="428"/>
      <c r="Y68" s="428"/>
      <c r="Z68" s="428"/>
      <c r="AA68" s="428"/>
      <c r="AB68" s="428"/>
      <c r="AC68" s="428"/>
      <c r="AD68" s="428"/>
      <c r="AE68" s="428"/>
      <c r="AF68" s="429"/>
      <c r="AG68" s="430"/>
      <c r="AH68" s="426"/>
      <c r="AI68" s="427"/>
      <c r="AJ68" s="428"/>
      <c r="AK68" s="428"/>
      <c r="AL68" s="428"/>
      <c r="AM68" s="428"/>
      <c r="AN68" s="428"/>
      <c r="AO68" s="428"/>
      <c r="AP68" s="428"/>
      <c r="AQ68" s="428"/>
      <c r="AR68" s="428"/>
      <c r="AS68" s="428"/>
      <c r="AT68" s="428"/>
      <c r="AU68" s="428"/>
      <c r="AV68" s="429"/>
      <c r="AW68" s="430"/>
      <c r="AX68" s="426"/>
    </row>
    <row r="69" spans="1:50" x14ac:dyDescent="0.35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  <c r="AW69" s="162"/>
      <c r="AX69" s="162"/>
    </row>
    <row r="70" spans="1:50" x14ac:dyDescent="0.35"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</row>
    <row r="71" spans="1:50" x14ac:dyDescent="0.35"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</row>
    <row r="72" spans="1:50" x14ac:dyDescent="0.35"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</row>
    <row r="73" spans="1:50" x14ac:dyDescent="0.35"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</row>
    <row r="74" spans="1:50" x14ac:dyDescent="0.35"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</row>
    <row r="75" spans="1:50" x14ac:dyDescent="0.35"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</row>
    <row r="76" spans="1:50" x14ac:dyDescent="0.35"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</row>
    <row r="77" spans="1:50" x14ac:dyDescent="0.35"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</row>
    <row r="78" spans="1:50" x14ac:dyDescent="0.35"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</row>
    <row r="79" spans="1:50" x14ac:dyDescent="0.35">
      <c r="Y79" s="158"/>
      <c r="Z79" s="158"/>
      <c r="AA79" s="158"/>
      <c r="AB79" s="158"/>
      <c r="AC79" s="158"/>
      <c r="AD79" s="158"/>
      <c r="AE79" s="158"/>
      <c r="AF79" s="158"/>
      <c r="AG79" s="158"/>
      <c r="AH79" s="158"/>
      <c r="AO79" s="158"/>
      <c r="AP79" s="158"/>
      <c r="AQ79" s="158"/>
      <c r="AR79" s="158"/>
      <c r="AS79" s="158"/>
      <c r="AT79" s="158"/>
      <c r="AU79" s="158"/>
      <c r="AV79" s="158"/>
      <c r="AW79" s="158"/>
      <c r="AX79" s="158"/>
    </row>
    <row r="80" spans="1:50" x14ac:dyDescent="0.35"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</row>
    <row r="81" spans="1:50" x14ac:dyDescent="0.35">
      <c r="Y81" s="158"/>
      <c r="Z81" s="158"/>
      <c r="AA81" s="158"/>
      <c r="AB81" s="158"/>
      <c r="AC81" s="158"/>
      <c r="AD81" s="158"/>
      <c r="AE81" s="158"/>
      <c r="AF81" s="158"/>
      <c r="AG81" s="158"/>
      <c r="AH81" s="158"/>
      <c r="AO81" s="158"/>
      <c r="AP81" s="158"/>
      <c r="AQ81" s="158"/>
      <c r="AR81" s="158"/>
      <c r="AS81" s="158"/>
      <c r="AT81" s="158"/>
      <c r="AU81" s="158"/>
      <c r="AV81" s="158"/>
      <c r="AW81" s="158"/>
      <c r="AX81" s="158"/>
    </row>
    <row r="82" spans="1:50" ht="21.75" thickBot="1" x14ac:dyDescent="0.4"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</row>
    <row r="83" spans="1:50" x14ac:dyDescent="0.35">
      <c r="A83"/>
      <c r="B83" s="848" t="s">
        <v>89</v>
      </c>
      <c r="C83" s="848" t="s">
        <v>96</v>
      </c>
      <c r="D83" s="848" t="s">
        <v>97</v>
      </c>
      <c r="E83" s="848" t="s">
        <v>98</v>
      </c>
      <c r="F83" s="848" t="s">
        <v>99</v>
      </c>
      <c r="G83" s="848" t="s">
        <v>100</v>
      </c>
      <c r="H83" s="848" t="s">
        <v>16</v>
      </c>
      <c r="I83" s="848" t="s">
        <v>101</v>
      </c>
      <c r="J83" s="848" t="s">
        <v>102</v>
      </c>
      <c r="K83" s="848" t="s">
        <v>103</v>
      </c>
      <c r="L83" s="848" t="s">
        <v>104</v>
      </c>
      <c r="M83" s="848" t="s">
        <v>105</v>
      </c>
      <c r="N83" s="848" t="s">
        <v>106</v>
      </c>
      <c r="S83"/>
      <c r="T83" s="846" t="s">
        <v>89</v>
      </c>
      <c r="U83" s="846" t="s">
        <v>96</v>
      </c>
      <c r="V83" s="846" t="s">
        <v>97</v>
      </c>
      <c r="W83" s="846" t="s">
        <v>98</v>
      </c>
      <c r="X83" s="846" t="s">
        <v>99</v>
      </c>
      <c r="Y83" s="846" t="s">
        <v>100</v>
      </c>
      <c r="Z83" s="846" t="s">
        <v>16</v>
      </c>
      <c r="AA83" s="846" t="s">
        <v>101</v>
      </c>
      <c r="AB83" s="846" t="s">
        <v>102</v>
      </c>
      <c r="AC83" s="846" t="s">
        <v>103</v>
      </c>
      <c r="AD83" s="846" t="s">
        <v>104</v>
      </c>
      <c r="AE83" s="846" t="s">
        <v>105</v>
      </c>
      <c r="AF83" s="846" t="s">
        <v>106</v>
      </c>
      <c r="AG83" s="158"/>
      <c r="AH83" s="158"/>
      <c r="AI83"/>
      <c r="AJ83" s="852" t="s">
        <v>89</v>
      </c>
      <c r="AK83" s="852" t="s">
        <v>96</v>
      </c>
      <c r="AL83" s="852" t="s">
        <v>97</v>
      </c>
      <c r="AM83" s="852" t="s">
        <v>98</v>
      </c>
      <c r="AN83" s="852" t="s">
        <v>99</v>
      </c>
      <c r="AO83" s="852" t="s">
        <v>100</v>
      </c>
      <c r="AP83" s="852" t="s">
        <v>16</v>
      </c>
      <c r="AQ83" s="852" t="s">
        <v>101</v>
      </c>
      <c r="AR83" s="852" t="s">
        <v>102</v>
      </c>
      <c r="AS83" s="852" t="s">
        <v>103</v>
      </c>
      <c r="AT83" s="852" t="s">
        <v>104</v>
      </c>
      <c r="AU83" s="852" t="s">
        <v>105</v>
      </c>
      <c r="AV83" s="852" t="s">
        <v>106</v>
      </c>
      <c r="AW83" s="158"/>
      <c r="AX83" s="158"/>
    </row>
    <row r="84" spans="1:50" ht="21.75" thickBot="1" x14ac:dyDescent="0.4">
      <c r="A84"/>
      <c r="B84" s="849"/>
      <c r="C84" s="849"/>
      <c r="D84" s="849"/>
      <c r="E84" s="849"/>
      <c r="F84" s="849"/>
      <c r="G84" s="849"/>
      <c r="H84" s="849"/>
      <c r="I84" s="849"/>
      <c r="J84" s="849"/>
      <c r="K84" s="849"/>
      <c r="L84" s="849"/>
      <c r="M84" s="849"/>
      <c r="N84" s="849"/>
      <c r="S84"/>
      <c r="T84" s="847"/>
      <c r="U84" s="847"/>
      <c r="V84" s="847"/>
      <c r="W84" s="847"/>
      <c r="X84" s="847"/>
      <c r="Y84" s="847"/>
      <c r="Z84" s="847"/>
      <c r="AA84" s="847"/>
      <c r="AB84" s="847"/>
      <c r="AC84" s="847"/>
      <c r="AD84" s="847"/>
      <c r="AE84" s="847"/>
      <c r="AF84" s="847"/>
      <c r="AG84" s="158"/>
      <c r="AH84" s="158"/>
      <c r="AI84"/>
      <c r="AJ84" s="853"/>
      <c r="AK84" s="853"/>
      <c r="AL84" s="853"/>
      <c r="AM84" s="853"/>
      <c r="AN84" s="853"/>
      <c r="AO84" s="853"/>
      <c r="AP84" s="853"/>
      <c r="AQ84" s="853"/>
      <c r="AR84" s="853"/>
      <c r="AS84" s="853"/>
      <c r="AT84" s="853"/>
      <c r="AU84" s="853"/>
      <c r="AV84" s="853"/>
      <c r="AW84" s="158"/>
      <c r="AX84" s="158"/>
    </row>
    <row r="85" spans="1:50" ht="22.5" thickTop="1" thickBot="1" x14ac:dyDescent="0.4">
      <c r="A85"/>
      <c r="B85" s="405" t="s">
        <v>92</v>
      </c>
      <c r="C85" s="628">
        <f>+B64</f>
        <v>0.87407529000000006</v>
      </c>
      <c r="D85" s="628">
        <f t="shared" ref="D85:N87" si="11">+C85+C64</f>
        <v>1.7068846</v>
      </c>
      <c r="E85" s="628">
        <f t="shared" si="11"/>
        <v>2.5658707600000001</v>
      </c>
      <c r="F85" s="628">
        <f t="shared" si="11"/>
        <v>3.5198710000000002</v>
      </c>
      <c r="G85" s="628">
        <f t="shared" si="11"/>
        <v>4.3856768700000002</v>
      </c>
      <c r="H85" s="628">
        <f t="shared" si="11"/>
        <v>5.2002321800000004</v>
      </c>
      <c r="I85" s="628">
        <f t="shared" si="11"/>
        <v>6.3283074600000004</v>
      </c>
      <c r="J85" s="628">
        <f t="shared" si="11"/>
        <v>7.5226658200000003</v>
      </c>
      <c r="K85" s="628">
        <f t="shared" si="11"/>
        <v>8.6069449599999999</v>
      </c>
      <c r="L85" s="628">
        <f t="shared" si="11"/>
        <v>9.5115589200000006</v>
      </c>
      <c r="M85" s="628">
        <f t="shared" si="11"/>
        <v>10.40442777</v>
      </c>
      <c r="N85" s="628">
        <f t="shared" si="11"/>
        <v>11.348140900000001</v>
      </c>
      <c r="S85"/>
      <c r="T85" s="605" t="s">
        <v>92</v>
      </c>
      <c r="U85" s="640">
        <f>+T64</f>
        <v>0.69987651000000017</v>
      </c>
      <c r="V85" s="640">
        <f t="shared" ref="V85:AF87" si="12">+U85+U64</f>
        <v>1.30679627</v>
      </c>
      <c r="W85" s="640">
        <f t="shared" si="12"/>
        <v>1.9291865800000001</v>
      </c>
      <c r="X85" s="640">
        <f t="shared" si="12"/>
        <v>2.5645668500000003</v>
      </c>
      <c r="Y85" s="640">
        <f t="shared" si="12"/>
        <v>3.2357013100000005</v>
      </c>
      <c r="Z85" s="640">
        <f t="shared" si="12"/>
        <v>3.8599546600000005</v>
      </c>
      <c r="AA85" s="640">
        <f t="shared" si="12"/>
        <v>4.4571988300000003</v>
      </c>
      <c r="AB85" s="640">
        <f t="shared" si="12"/>
        <v>5.0837786300000003</v>
      </c>
      <c r="AC85" s="640">
        <f t="shared" si="12"/>
        <v>5.7749778900000006</v>
      </c>
      <c r="AD85" s="640">
        <f t="shared" si="12"/>
        <v>6.3651167700000002</v>
      </c>
      <c r="AE85" s="640">
        <f t="shared" si="12"/>
        <v>7.0691906099999997</v>
      </c>
      <c r="AF85" s="640">
        <f t="shared" si="12"/>
        <v>7.6859711900000001</v>
      </c>
      <c r="AG85" s="158"/>
      <c r="AH85" s="158"/>
      <c r="AI85"/>
      <c r="AJ85" s="621" t="s">
        <v>92</v>
      </c>
      <c r="AK85" s="648">
        <f>+AJ64</f>
        <v>0.17419877999999989</v>
      </c>
      <c r="AL85" s="648">
        <f t="shared" ref="AL85:AV87" si="13">+AK85+AK64</f>
        <v>0.40008832999999999</v>
      </c>
      <c r="AM85" s="648">
        <f t="shared" si="13"/>
        <v>0.63668417999999993</v>
      </c>
      <c r="AN85" s="648">
        <f t="shared" si="13"/>
        <v>0.9553041499999998</v>
      </c>
      <c r="AO85" s="648">
        <f t="shared" si="13"/>
        <v>1.1499755599999997</v>
      </c>
      <c r="AP85" s="648">
        <f t="shared" si="13"/>
        <v>1.3402775199999997</v>
      </c>
      <c r="AQ85" s="648">
        <f t="shared" si="13"/>
        <v>1.8711086299999997</v>
      </c>
      <c r="AR85" s="648">
        <f t="shared" si="13"/>
        <v>2.43888719</v>
      </c>
      <c r="AS85" s="648">
        <f t="shared" si="13"/>
        <v>2.8319670699999997</v>
      </c>
      <c r="AT85" s="648">
        <f t="shared" si="13"/>
        <v>3.1464421499999995</v>
      </c>
      <c r="AU85" s="648">
        <f t="shared" si="13"/>
        <v>3.3352371599999997</v>
      </c>
      <c r="AV85" s="648">
        <f t="shared" si="13"/>
        <v>3.6621697099999997</v>
      </c>
      <c r="AW85" s="158"/>
      <c r="AX85" s="158"/>
    </row>
    <row r="86" spans="1:50" ht="21.75" thickBot="1" x14ac:dyDescent="0.4">
      <c r="A86"/>
      <c r="B86" s="538" t="s">
        <v>94</v>
      </c>
      <c r="C86" s="633">
        <f>+B65</f>
        <v>0.85165999999999997</v>
      </c>
      <c r="D86" s="633">
        <f t="shared" si="11"/>
        <v>1.690091</v>
      </c>
      <c r="E86" s="633">
        <f t="shared" si="11"/>
        <v>2.5213030000000001</v>
      </c>
      <c r="F86" s="633">
        <f t="shared" si="11"/>
        <v>3.434355</v>
      </c>
      <c r="G86" s="633">
        <f t="shared" si="11"/>
        <v>4.301393</v>
      </c>
      <c r="H86" s="633">
        <f t="shared" si="11"/>
        <v>5.2189940000000004</v>
      </c>
      <c r="I86" s="633">
        <f t="shared" si="11"/>
        <v>6.2531560000000006</v>
      </c>
      <c r="J86" s="633">
        <f t="shared" si="11"/>
        <v>7.3214270000000008</v>
      </c>
      <c r="K86" s="633">
        <f t="shared" si="11"/>
        <v>8.3277120000000018</v>
      </c>
      <c r="L86" s="633">
        <f t="shared" si="11"/>
        <v>9.2251980000000025</v>
      </c>
      <c r="M86" s="633">
        <f t="shared" si="11"/>
        <v>10.130722000000002</v>
      </c>
      <c r="N86" s="633">
        <f t="shared" si="11"/>
        <v>11.046559000000002</v>
      </c>
      <c r="S86"/>
      <c r="T86" s="601" t="s">
        <v>94</v>
      </c>
      <c r="U86" s="642">
        <f>+T65</f>
        <v>0.65205400000000002</v>
      </c>
      <c r="V86" s="642">
        <f t="shared" si="12"/>
        <v>1.265566</v>
      </c>
      <c r="W86" s="642">
        <f t="shared" si="12"/>
        <v>1.8954740000000001</v>
      </c>
      <c r="X86" s="642">
        <f t="shared" si="12"/>
        <v>2.5594760000000001</v>
      </c>
      <c r="Y86" s="642">
        <f t="shared" si="12"/>
        <v>3.2035</v>
      </c>
      <c r="Z86" s="642">
        <f t="shared" si="12"/>
        <v>3.8525580000000001</v>
      </c>
      <c r="AA86" s="642">
        <f t="shared" si="12"/>
        <v>4.4797710000000004</v>
      </c>
      <c r="AB86" s="642">
        <f t="shared" si="12"/>
        <v>5.1424860000000008</v>
      </c>
      <c r="AC86" s="642">
        <f t="shared" si="12"/>
        <v>5.8540150000000004</v>
      </c>
      <c r="AD86" s="642">
        <f t="shared" si="12"/>
        <v>6.5012270000000001</v>
      </c>
      <c r="AE86" s="642">
        <f t="shared" si="12"/>
        <v>7.182385</v>
      </c>
      <c r="AF86" s="642">
        <f t="shared" si="12"/>
        <v>7.886298</v>
      </c>
      <c r="AG86" s="158"/>
      <c r="AH86" s="158"/>
      <c r="AI86"/>
      <c r="AJ86" s="617" t="s">
        <v>94</v>
      </c>
      <c r="AK86" s="649">
        <f>+AJ65</f>
        <v>0.19960599999999995</v>
      </c>
      <c r="AL86" s="649">
        <f t="shared" si="13"/>
        <v>0.42452500000000004</v>
      </c>
      <c r="AM86" s="649">
        <f t="shared" si="13"/>
        <v>0.62582899999999997</v>
      </c>
      <c r="AN86" s="649">
        <f t="shared" si="13"/>
        <v>0.87487899999999996</v>
      </c>
      <c r="AO86" s="649">
        <f t="shared" si="13"/>
        <v>1.097893</v>
      </c>
      <c r="AP86" s="649">
        <f t="shared" si="13"/>
        <v>1.366436</v>
      </c>
      <c r="AQ86" s="649">
        <f t="shared" si="13"/>
        <v>1.773385</v>
      </c>
      <c r="AR86" s="649">
        <f t="shared" si="13"/>
        <v>2.178941</v>
      </c>
      <c r="AS86" s="649">
        <f t="shared" si="13"/>
        <v>2.473697</v>
      </c>
      <c r="AT86" s="649">
        <f t="shared" si="13"/>
        <v>2.7239710000000001</v>
      </c>
      <c r="AU86" s="649">
        <f t="shared" si="13"/>
        <v>2.948337</v>
      </c>
      <c r="AV86" s="649">
        <f t="shared" si="13"/>
        <v>3.1602610000000002</v>
      </c>
      <c r="AW86" s="158"/>
      <c r="AX86" s="158"/>
    </row>
    <row r="87" spans="1:50" ht="21.75" thickBot="1" x14ac:dyDescent="0.4">
      <c r="A87"/>
      <c r="B87" s="413" t="s">
        <v>93</v>
      </c>
      <c r="C87" s="629">
        <f>+B66</f>
        <v>0.83143323000000002</v>
      </c>
      <c r="D87" s="629">
        <f t="shared" si="11"/>
        <v>1.7518025600000002</v>
      </c>
      <c r="E87" s="629">
        <f t="shared" si="11"/>
        <v>2.6474025300000004</v>
      </c>
      <c r="F87" s="629">
        <f t="shared" si="11"/>
        <v>3.5998559900000004</v>
      </c>
      <c r="G87" s="629">
        <f t="shared" si="11"/>
        <v>4.5427026000000001</v>
      </c>
      <c r="H87" s="629">
        <f t="shared" si="11"/>
        <v>5.4858783100000004</v>
      </c>
      <c r="I87" s="629">
        <f t="shared" si="11"/>
        <v>6.6168450999999999</v>
      </c>
      <c r="J87" s="629">
        <f t="shared" si="11"/>
        <v>7.6678335799999999</v>
      </c>
      <c r="K87" s="629">
        <f t="shared" si="11"/>
        <v>8.6242921500000005</v>
      </c>
      <c r="L87" s="629">
        <f t="shared" si="11"/>
        <v>9.5805095199999997</v>
      </c>
      <c r="M87" s="629">
        <f t="shared" si="11"/>
        <v>10.512724889999999</v>
      </c>
      <c r="N87" s="629">
        <f t="shared" si="11"/>
        <v>11.46278873</v>
      </c>
      <c r="S87"/>
      <c r="T87" s="608" t="s">
        <v>93</v>
      </c>
      <c r="U87" s="645">
        <f>+T66</f>
        <v>0.62415346999999999</v>
      </c>
      <c r="V87" s="645">
        <f t="shared" si="12"/>
        <v>1.2208490400000001</v>
      </c>
      <c r="W87" s="645">
        <f t="shared" si="12"/>
        <v>1.9716960900000002</v>
      </c>
      <c r="X87" s="645">
        <f t="shared" si="12"/>
        <v>2.4909739000000002</v>
      </c>
      <c r="Y87" s="645">
        <f t="shared" si="12"/>
        <v>3.0473757700000004</v>
      </c>
      <c r="Z87" s="645">
        <f t="shared" si="12"/>
        <v>3.7051817900000001</v>
      </c>
      <c r="AA87" s="645">
        <f t="shared" si="12"/>
        <v>4.3066020400000005</v>
      </c>
      <c r="AB87" s="645">
        <f t="shared" si="12"/>
        <v>4.9788557300000003</v>
      </c>
      <c r="AC87" s="645">
        <f t="shared" si="12"/>
        <v>5.6160138000000002</v>
      </c>
      <c r="AD87" s="645">
        <f t="shared" si="12"/>
        <v>6.2965399500000006</v>
      </c>
      <c r="AE87" s="645">
        <f t="shared" si="12"/>
        <v>6.9666526800000002</v>
      </c>
      <c r="AF87" s="645">
        <f t="shared" si="12"/>
        <v>7.6830858900000001</v>
      </c>
      <c r="AG87" s="158"/>
      <c r="AH87" s="158"/>
      <c r="AI87"/>
      <c r="AJ87" s="624" t="s">
        <v>93</v>
      </c>
      <c r="AK87" s="650">
        <f>+AJ66</f>
        <v>0.20727976000000004</v>
      </c>
      <c r="AL87" s="650">
        <f t="shared" si="13"/>
        <v>0.53095352000000007</v>
      </c>
      <c r="AM87" s="650">
        <f t="shared" si="13"/>
        <v>0.67570644000000002</v>
      </c>
      <c r="AN87" s="650">
        <f t="shared" si="13"/>
        <v>1.10888209</v>
      </c>
      <c r="AO87" s="650">
        <f t="shared" si="13"/>
        <v>1.4953268300000002</v>
      </c>
      <c r="AP87" s="650">
        <f t="shared" si="13"/>
        <v>1.7806965200000002</v>
      </c>
      <c r="AQ87" s="650">
        <f t="shared" si="13"/>
        <v>2.3102430599999999</v>
      </c>
      <c r="AR87" s="650">
        <f t="shared" si="13"/>
        <v>2.6889778500000001</v>
      </c>
      <c r="AS87" s="650">
        <f t="shared" si="13"/>
        <v>3.0082783499999999</v>
      </c>
      <c r="AT87" s="650">
        <f t="shared" si="13"/>
        <v>3.2839695699999996</v>
      </c>
      <c r="AU87" s="650">
        <f t="shared" si="13"/>
        <v>3.5460722099999993</v>
      </c>
      <c r="AV87" s="650">
        <f t="shared" si="13"/>
        <v>3.7797028399999992</v>
      </c>
      <c r="AW87" s="158"/>
      <c r="AX87" s="158"/>
    </row>
    <row r="88" spans="1:50" x14ac:dyDescent="0.35">
      <c r="Y88" s="158"/>
      <c r="Z88" s="158"/>
      <c r="AA88" s="158"/>
      <c r="AB88" s="158"/>
      <c r="AC88" s="158"/>
      <c r="AD88" s="158"/>
      <c r="AE88" s="158"/>
      <c r="AF88" s="158"/>
      <c r="AG88" s="158"/>
      <c r="AH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</row>
  </sheetData>
  <mergeCells count="193">
    <mergeCell ref="AT1:AX1"/>
    <mergeCell ref="B1:L1"/>
    <mergeCell ref="AR16:AR17"/>
    <mergeCell ref="M16:M17"/>
    <mergeCell ref="N16:N17"/>
    <mergeCell ref="AN16:AN17"/>
    <mergeCell ref="BJ16:BJ17"/>
    <mergeCell ref="BK16:BK17"/>
    <mergeCell ref="BL16:BL17"/>
    <mergeCell ref="M1:P1"/>
    <mergeCell ref="AJ1:AS1"/>
    <mergeCell ref="AJ16:AJ17"/>
    <mergeCell ref="AK16:AK17"/>
    <mergeCell ref="AL16:AL17"/>
    <mergeCell ref="AZ1:BI1"/>
    <mergeCell ref="BJ1:BN1"/>
    <mergeCell ref="BG16:BG17"/>
    <mergeCell ref="BH16:BH17"/>
    <mergeCell ref="BI16:BI17"/>
    <mergeCell ref="AS16:AS17"/>
    <mergeCell ref="AT16:AT17"/>
    <mergeCell ref="AU16:AU17"/>
    <mergeCell ref="AV16:AV17"/>
    <mergeCell ref="AY16:AY17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B37:B38"/>
    <mergeCell ref="C37:C38"/>
    <mergeCell ref="D37:D38"/>
    <mergeCell ref="E37:E38"/>
    <mergeCell ref="F37:F38"/>
    <mergeCell ref="AL37:AL38"/>
    <mergeCell ref="AO16:AO17"/>
    <mergeCell ref="AP16:AP17"/>
    <mergeCell ref="AQ16:AQ17"/>
    <mergeCell ref="L16:L17"/>
    <mergeCell ref="AI16:AI17"/>
    <mergeCell ref="G37:G38"/>
    <mergeCell ref="AM16:AM17"/>
    <mergeCell ref="AM37:AM38"/>
    <mergeCell ref="J16:J17"/>
    <mergeCell ref="K16:K17"/>
    <mergeCell ref="AZ16:AZ17"/>
    <mergeCell ref="BA16:BA17"/>
    <mergeCell ref="BC16:BC17"/>
    <mergeCell ref="BD16:BD17"/>
    <mergeCell ref="BE16:BE17"/>
    <mergeCell ref="BF16:BF17"/>
    <mergeCell ref="BB16:BB17"/>
    <mergeCell ref="AN37:AN38"/>
    <mergeCell ref="H37:H38"/>
    <mergeCell ref="I37:I38"/>
    <mergeCell ref="J37:J38"/>
    <mergeCell ref="K37:K38"/>
    <mergeCell ref="L37:L38"/>
    <mergeCell ref="M37:M38"/>
    <mergeCell ref="N37:N38"/>
    <mergeCell ref="AJ37:AJ38"/>
    <mergeCell ref="AK37:AK38"/>
    <mergeCell ref="BG37:BG38"/>
    <mergeCell ref="BH37:BH38"/>
    <mergeCell ref="BA37:BA38"/>
    <mergeCell ref="BB37:BB38"/>
    <mergeCell ref="AO37:AO38"/>
    <mergeCell ref="AP37:AP38"/>
    <mergeCell ref="AQ37:AQ38"/>
    <mergeCell ref="AR37:AR38"/>
    <mergeCell ref="AS37:AS38"/>
    <mergeCell ref="AT37:AT38"/>
    <mergeCell ref="BO37:BO38"/>
    <mergeCell ref="AZ42:BA42"/>
    <mergeCell ref="AZ43:BA43"/>
    <mergeCell ref="AZ44:BA44"/>
    <mergeCell ref="AZ45:BA45"/>
    <mergeCell ref="B47:L47"/>
    <mergeCell ref="M47:P47"/>
    <mergeCell ref="T47:AC47"/>
    <mergeCell ref="AD47:AH47"/>
    <mergeCell ref="AJ47:AS47"/>
    <mergeCell ref="BI37:BI38"/>
    <mergeCell ref="BJ37:BJ38"/>
    <mergeCell ref="BK37:BK38"/>
    <mergeCell ref="BL37:BL38"/>
    <mergeCell ref="AU37:AU38"/>
    <mergeCell ref="AV37:AV38"/>
    <mergeCell ref="AY37:AY38"/>
    <mergeCell ref="AZ37:AZ38"/>
    <mergeCell ref="BM37:BM38"/>
    <mergeCell ref="BN37:BN38"/>
    <mergeCell ref="BC37:BC38"/>
    <mergeCell ref="BD37:BD38"/>
    <mergeCell ref="BE37:BE38"/>
    <mergeCell ref="BF37:BF38"/>
    <mergeCell ref="AT47:AX47"/>
    <mergeCell ref="A62:A63"/>
    <mergeCell ref="B62:B63"/>
    <mergeCell ref="C62:C63"/>
    <mergeCell ref="D62:D63"/>
    <mergeCell ref="E62:E63"/>
    <mergeCell ref="F62:F63"/>
    <mergeCell ref="G62:G63"/>
    <mergeCell ref="H62:H63"/>
    <mergeCell ref="I62:I63"/>
    <mergeCell ref="J62:J63"/>
    <mergeCell ref="K62:K63"/>
    <mergeCell ref="L62:L63"/>
    <mergeCell ref="M62:M63"/>
    <mergeCell ref="N62:N63"/>
    <mergeCell ref="S62:S63"/>
    <mergeCell ref="T62:T63"/>
    <mergeCell ref="AU62:AU63"/>
    <mergeCell ref="AV62:AV63"/>
    <mergeCell ref="Z62:Z63"/>
    <mergeCell ref="AA62:AA63"/>
    <mergeCell ref="AB62:AB63"/>
    <mergeCell ref="B83:B84"/>
    <mergeCell ref="C83:C84"/>
    <mergeCell ref="D83:D84"/>
    <mergeCell ref="E83:E84"/>
    <mergeCell ref="F83:F84"/>
    <mergeCell ref="G83:G84"/>
    <mergeCell ref="H83:H84"/>
    <mergeCell ref="I83:I84"/>
    <mergeCell ref="AT62:AT63"/>
    <mergeCell ref="AP62:AP63"/>
    <mergeCell ref="AQ62:AQ63"/>
    <mergeCell ref="AR62:AR63"/>
    <mergeCell ref="AS62:AS63"/>
    <mergeCell ref="W62:W63"/>
    <mergeCell ref="X62:X63"/>
    <mergeCell ref="Y62:Y63"/>
    <mergeCell ref="AN62:AN63"/>
    <mergeCell ref="AO62:AO63"/>
    <mergeCell ref="AF62:AF63"/>
    <mergeCell ref="AI62:AI63"/>
    <mergeCell ref="AJ62:AJ63"/>
    <mergeCell ref="AK62:AK63"/>
    <mergeCell ref="AL62:AL63"/>
    <mergeCell ref="AM62:AM63"/>
    <mergeCell ref="J83:J84"/>
    <mergeCell ref="K83:K84"/>
    <mergeCell ref="L83:L84"/>
    <mergeCell ref="M83:M84"/>
    <mergeCell ref="N83:N84"/>
    <mergeCell ref="AB83:AB84"/>
    <mergeCell ref="Z83:Z84"/>
    <mergeCell ref="AA83:AA84"/>
    <mergeCell ref="T83:T84"/>
    <mergeCell ref="U83:U84"/>
    <mergeCell ref="V83:V84"/>
    <mergeCell ref="W83:W84"/>
    <mergeCell ref="X83:X84"/>
    <mergeCell ref="Y83:Y84"/>
    <mergeCell ref="AU83:AU84"/>
    <mergeCell ref="AV83:AV84"/>
    <mergeCell ref="AO83:AO84"/>
    <mergeCell ref="AP83:AP84"/>
    <mergeCell ref="AQ83:AQ84"/>
    <mergeCell ref="AR83:AR84"/>
    <mergeCell ref="AS83:AS84"/>
    <mergeCell ref="AT83:AT84"/>
    <mergeCell ref="AC62:AC63"/>
    <mergeCell ref="AD62:AD63"/>
    <mergeCell ref="AE62:AE63"/>
    <mergeCell ref="AC83:AC84"/>
    <mergeCell ref="AD83:AD84"/>
    <mergeCell ref="AE83:AE84"/>
    <mergeCell ref="AF83:AF84"/>
    <mergeCell ref="AL83:AL84"/>
    <mergeCell ref="AM83:AM84"/>
    <mergeCell ref="AN83:AN84"/>
    <mergeCell ref="T21:U21"/>
    <mergeCell ref="T22:U22"/>
    <mergeCell ref="T23:U23"/>
    <mergeCell ref="T1:AD1"/>
    <mergeCell ref="AE1:AH1"/>
    <mergeCell ref="T19:U20"/>
    <mergeCell ref="V19:W19"/>
    <mergeCell ref="X19:Y19"/>
    <mergeCell ref="Z19:AA19"/>
    <mergeCell ref="AB19:AC19"/>
    <mergeCell ref="AD19:AE19"/>
    <mergeCell ref="AJ83:AJ84"/>
    <mergeCell ref="AK83:AK84"/>
    <mergeCell ref="U62:U63"/>
    <mergeCell ref="V62:V63"/>
  </mergeCells>
  <conditionalFormatting sqref="P21:R22 Q18:R20">
    <cfRule type="cellIs" dxfId="392" priority="15" operator="lessThan">
      <formula>0</formula>
    </cfRule>
  </conditionalFormatting>
  <conditionalFormatting sqref="O41">
    <cfRule type="cellIs" dxfId="391" priority="14" operator="lessThan">
      <formula>0</formula>
    </cfRule>
  </conditionalFormatting>
  <conditionalFormatting sqref="AX18:AX22">
    <cfRule type="cellIs" dxfId="390" priority="13" operator="lessThan">
      <formula>0</formula>
    </cfRule>
  </conditionalFormatting>
  <conditionalFormatting sqref="BN21:BN22">
    <cfRule type="cellIs" dxfId="389" priority="12" operator="lessThan">
      <formula>0</formula>
    </cfRule>
  </conditionalFormatting>
  <conditionalFormatting sqref="BB43:BB46">
    <cfRule type="cellIs" dxfId="388" priority="11" operator="greaterThan">
      <formula>0</formula>
    </cfRule>
  </conditionalFormatting>
  <conditionalFormatting sqref="AX18:AX20">
    <cfRule type="cellIs" dxfId="387" priority="10" operator="lessThan">
      <formula>0</formula>
    </cfRule>
  </conditionalFormatting>
  <conditionalFormatting sqref="BN18:BN20">
    <cfRule type="cellIs" dxfId="386" priority="9" operator="greaterThan">
      <formula>0</formula>
    </cfRule>
  </conditionalFormatting>
  <conditionalFormatting sqref="P18:P20">
    <cfRule type="cellIs" dxfId="385" priority="8" operator="lessThan">
      <formula>0</formula>
    </cfRule>
  </conditionalFormatting>
  <conditionalFormatting sqref="P67:P68">
    <cfRule type="cellIs" dxfId="384" priority="7" operator="lessThan">
      <formula>0</formula>
    </cfRule>
  </conditionalFormatting>
  <conditionalFormatting sqref="P64:P66">
    <cfRule type="cellIs" dxfId="383" priority="6" operator="lessThan">
      <formula>0</formula>
    </cfRule>
  </conditionalFormatting>
  <conditionalFormatting sqref="AH67:AH68">
    <cfRule type="cellIs" dxfId="382" priority="5" operator="lessThan">
      <formula>0</formula>
    </cfRule>
  </conditionalFormatting>
  <conditionalFormatting sqref="AH64:AH66">
    <cfRule type="cellIs" dxfId="381" priority="4" operator="greaterThan">
      <formula>0</formula>
    </cfRule>
  </conditionalFormatting>
  <conditionalFormatting sqref="AX67:AX68">
    <cfRule type="cellIs" dxfId="380" priority="3" operator="lessThan">
      <formula>0</formula>
    </cfRule>
  </conditionalFormatting>
  <conditionalFormatting sqref="AX64:AX66">
    <cfRule type="cellIs" dxfId="379" priority="2" operator="lessThan">
      <formula>0</formula>
    </cfRule>
  </conditionalFormatting>
  <conditionalFormatting sqref="S24:AH25 S21:T23 V21:AH23">
    <cfRule type="cellIs" dxfId="378" priority="1" operator="lessThan">
      <formula>0</formula>
    </cfRule>
  </conditionalFormatting>
  <pageMargins left="0.39370078740157483" right="0.19685039370078741" top="0.74803149606299213" bottom="0.38" header="0.31496062992125984" footer="0.31496062992125984"/>
  <pageSetup paperSize="9" scale="80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8"/>
  <sheetViews>
    <sheetView showGridLines="0" topLeftCell="A40" workbookViewId="0">
      <selection activeCell="K20" sqref="K20"/>
    </sheetView>
  </sheetViews>
  <sheetFormatPr defaultColWidth="9.125" defaultRowHeight="21" x14ac:dyDescent="0.35"/>
  <cols>
    <col min="1" max="1" width="23" style="158" customWidth="1"/>
    <col min="2" max="2" width="12.375" style="158" customWidth="1"/>
    <col min="3" max="3" width="17.75" style="158" bestFit="1" customWidth="1"/>
    <col min="4" max="4" width="15" style="158" bestFit="1" customWidth="1"/>
    <col min="5" max="5" width="11.375" style="158" bestFit="1" customWidth="1"/>
    <col min="6" max="6" width="16.25" style="158" bestFit="1" customWidth="1"/>
    <col min="7" max="7" width="11.625" style="158" bestFit="1" customWidth="1"/>
    <col min="8" max="8" width="17.75" style="158" bestFit="1" customWidth="1"/>
    <col min="9" max="9" width="16" style="158" customWidth="1"/>
    <col min="10" max="10" width="13.625" style="158" customWidth="1"/>
    <col min="11" max="11" width="17.625" style="158" bestFit="1" customWidth="1"/>
    <col min="12" max="16384" width="9.125" style="158"/>
  </cols>
  <sheetData>
    <row r="1" spans="1:12" ht="26.25" x14ac:dyDescent="0.4">
      <c r="A1" s="802" t="s">
        <v>70</v>
      </c>
      <c r="B1" s="802"/>
      <c r="C1" s="802"/>
      <c r="D1" s="802"/>
      <c r="E1" s="802"/>
      <c r="F1" s="802"/>
      <c r="G1" s="802"/>
      <c r="H1" s="802"/>
      <c r="I1" s="802"/>
      <c r="J1" s="802"/>
      <c r="K1" s="802"/>
    </row>
    <row r="2" spans="1:12" x14ac:dyDescent="0.35">
      <c r="J2" s="158" t="s">
        <v>71</v>
      </c>
      <c r="K2" s="174">
        <f ca="1">+TODAY()</f>
        <v>43039</v>
      </c>
    </row>
    <row r="3" spans="1:12" s="176" customFormat="1" ht="30.75" customHeight="1" x14ac:dyDescent="0.2">
      <c r="A3" s="175">
        <v>1006</v>
      </c>
      <c r="B3" s="807" t="str">
        <f>+VLOOKUP($A3,data!$A$4:$AH$32,2,0)</f>
        <v>สันกำแพง</v>
      </c>
      <c r="C3" s="808" t="e">
        <f>+VLOOKUP(#REF!,data!$A$4:$AH$32,2,FALSE)</f>
        <v>#REF!</v>
      </c>
      <c r="D3" s="808" t="e">
        <f>+VLOOKUP(#REF!,data!$A$4:$AH$32,2,FALSE)</f>
        <v>#REF!</v>
      </c>
      <c r="E3" s="808" t="e">
        <f>+VLOOKUP(#REF!,data!$A$4:$AH$32,2,FALSE)</f>
        <v>#REF!</v>
      </c>
      <c r="F3" s="808" t="e">
        <f>+VLOOKUP(#REF!,data!$A$4:$AH$32,2,FALSE)</f>
        <v>#REF!</v>
      </c>
      <c r="G3" s="808" t="e">
        <f>+VLOOKUP(#REF!,data!$A$4:$AH$32,2,FALSE)</f>
        <v>#REF!</v>
      </c>
      <c r="H3" s="808" t="e">
        <f>+VLOOKUP(#REF!,data!$A$4:$AH$32,2,FALSE)</f>
        <v>#REF!</v>
      </c>
      <c r="I3" s="808" t="e">
        <f>+VLOOKUP(#REF!,data!$A$4:$AH$32,2,FALSE)</f>
        <v>#REF!</v>
      </c>
      <c r="J3" s="808" t="e">
        <f>+VLOOKUP(#REF!,data!$A$4:$AH$32,2,FALSE)</f>
        <v>#REF!</v>
      </c>
      <c r="K3" s="809" t="e">
        <f>+VLOOKUP(#REF!,data!$A$4:$AH$32,2,FALSE)</f>
        <v>#REF!</v>
      </c>
    </row>
    <row r="4" spans="1:12" ht="27" customHeight="1" x14ac:dyDescent="0.35">
      <c r="A4" s="804" t="s">
        <v>23</v>
      </c>
      <c r="B4" s="803" t="s">
        <v>153</v>
      </c>
      <c r="C4" s="803"/>
      <c r="D4" s="803"/>
      <c r="E4" s="803"/>
      <c r="F4" s="803"/>
      <c r="G4" s="803"/>
      <c r="H4" s="803"/>
      <c r="I4" s="803"/>
      <c r="J4" s="803"/>
      <c r="K4" s="803"/>
      <c r="L4" s="157"/>
    </row>
    <row r="5" spans="1:12" ht="27" customHeight="1" x14ac:dyDescent="0.35">
      <c r="A5" s="805"/>
      <c r="B5" s="803" t="s">
        <v>24</v>
      </c>
      <c r="C5" s="803"/>
      <c r="D5" s="803"/>
      <c r="E5" s="803"/>
      <c r="F5" s="803"/>
      <c r="G5" s="803" t="s">
        <v>27</v>
      </c>
      <c r="H5" s="803"/>
      <c r="I5" s="803"/>
      <c r="J5" s="803"/>
      <c r="K5" s="803"/>
    </row>
    <row r="6" spans="1:12" s="162" customFormat="1" ht="27" customHeight="1" x14ac:dyDescent="0.35">
      <c r="A6" s="805"/>
      <c r="B6" s="159" t="s">
        <v>25</v>
      </c>
      <c r="C6" s="160" t="s">
        <v>73</v>
      </c>
      <c r="D6" s="160" t="s">
        <v>13</v>
      </c>
      <c r="E6" s="160" t="s">
        <v>14</v>
      </c>
      <c r="F6" s="161" t="s">
        <v>26</v>
      </c>
      <c r="G6" s="159" t="s">
        <v>25</v>
      </c>
      <c r="H6" s="160" t="s">
        <v>73</v>
      </c>
      <c r="I6" s="160" t="s">
        <v>13</v>
      </c>
      <c r="J6" s="160" t="s">
        <v>14</v>
      </c>
      <c r="K6" s="161" t="s">
        <v>26</v>
      </c>
    </row>
    <row r="7" spans="1:12" s="162" customFormat="1" ht="27" customHeight="1" x14ac:dyDescent="0.35">
      <c r="A7" s="806"/>
      <c r="B7" s="163" t="s">
        <v>32</v>
      </c>
      <c r="C7" s="164" t="s">
        <v>33</v>
      </c>
      <c r="D7" s="164" t="s">
        <v>34</v>
      </c>
      <c r="E7" s="164" t="s">
        <v>35</v>
      </c>
      <c r="F7" s="165" t="s">
        <v>36</v>
      </c>
      <c r="G7" s="163" t="s">
        <v>32</v>
      </c>
      <c r="H7" s="164" t="s">
        <v>33</v>
      </c>
      <c r="I7" s="164" t="s">
        <v>34</v>
      </c>
      <c r="J7" s="164" t="s">
        <v>35</v>
      </c>
      <c r="K7" s="165" t="s">
        <v>36</v>
      </c>
    </row>
    <row r="8" spans="1:12" s="162" customFormat="1" ht="27" customHeight="1" x14ac:dyDescent="0.35">
      <c r="A8" s="183"/>
      <c r="B8" s="184"/>
      <c r="C8" s="185"/>
      <c r="D8" s="185"/>
      <c r="E8" s="185"/>
      <c r="F8" s="186"/>
      <c r="G8" s="184"/>
      <c r="H8" s="185"/>
      <c r="I8" s="185"/>
      <c r="J8" s="185"/>
      <c r="K8" s="186"/>
    </row>
    <row r="9" spans="1:12" ht="26.25" x14ac:dyDescent="0.4">
      <c r="A9" s="187" t="s">
        <v>31</v>
      </c>
      <c r="B9" s="179">
        <f>+VLOOKUP($A$3,data!$A$4:$AH$32,7,0)</f>
        <v>12902</v>
      </c>
      <c r="C9" s="180">
        <f>+VLOOKUP($A$3,data!$A$4:$AH$32,8,0)/10^6</f>
        <v>2.0314920000000001</v>
      </c>
      <c r="D9" s="181">
        <f>+VLOOKUP($A$3,data!$A$4:$AH$32,9,0)</f>
        <v>0.45092210215096129</v>
      </c>
      <c r="E9" s="180">
        <f>+VLOOKUP($A$3,data!$A$4:$AH$32,10,0)/10^6</f>
        <v>27.965824299999998</v>
      </c>
      <c r="F9" s="182">
        <f>+E9/C9</f>
        <v>13.766150346641776</v>
      </c>
      <c r="G9" s="179">
        <f>+VLOOKUP($A$3,data!$A$4:$AH$32,23,0)</f>
        <v>13852</v>
      </c>
      <c r="H9" s="180">
        <f>+VLOOKUP($A$3,data!$A$4:$AH$32,24,0)/10^6</f>
        <v>2.075418</v>
      </c>
      <c r="I9" s="181">
        <f>+VLOOKUP($A$3,data!$A$4:$AH$32,25,0)</f>
        <v>0.42506366990571631</v>
      </c>
      <c r="J9" s="180">
        <f>+VLOOKUP($A$3,data!$A$4:$AH$32,26,0)/10^6</f>
        <v>28.170469659999995</v>
      </c>
      <c r="K9" s="182">
        <f>+J9/H9</f>
        <v>13.573395653309355</v>
      </c>
    </row>
    <row r="10" spans="1:12" ht="26.25" x14ac:dyDescent="0.4">
      <c r="A10" s="187" t="s">
        <v>4</v>
      </c>
      <c r="B10" s="189">
        <f>+B9/B20</f>
        <v>0.84948643666052148</v>
      </c>
      <c r="C10" s="190"/>
      <c r="D10" s="190"/>
      <c r="E10" s="190"/>
      <c r="F10" s="191"/>
      <c r="G10" s="189">
        <f>+G9/G20</f>
        <v>0.85601285378815972</v>
      </c>
      <c r="H10" s="190"/>
      <c r="I10" s="190"/>
      <c r="J10" s="190"/>
      <c r="K10" s="191"/>
    </row>
    <row r="11" spans="1:12" ht="26.25" x14ac:dyDescent="0.4">
      <c r="A11" s="188"/>
      <c r="B11" s="192"/>
      <c r="C11" s="193"/>
      <c r="D11" s="193"/>
      <c r="E11" s="193"/>
      <c r="F11" s="194"/>
      <c r="G11" s="192"/>
      <c r="H11" s="193"/>
      <c r="I11" s="193"/>
      <c r="J11" s="193"/>
      <c r="K11" s="194"/>
    </row>
    <row r="12" spans="1:12" ht="26.25" x14ac:dyDescent="0.4">
      <c r="A12" s="187"/>
      <c r="B12" s="195"/>
      <c r="C12" s="190"/>
      <c r="D12" s="190"/>
      <c r="E12" s="190"/>
      <c r="F12" s="191"/>
      <c r="G12" s="195"/>
      <c r="H12" s="190"/>
      <c r="I12" s="190"/>
      <c r="J12" s="190"/>
      <c r="K12" s="191"/>
    </row>
    <row r="13" spans="1:12" ht="26.25" x14ac:dyDescent="0.4">
      <c r="A13" s="187" t="s">
        <v>28</v>
      </c>
      <c r="B13" s="179">
        <f>+VLOOKUP($A$3,data!$A$4:$AH$32,11,0)</f>
        <v>1624</v>
      </c>
      <c r="C13" s="180">
        <f>+VLOOKUP($A$3,data!$A$4:$AH$32,12,0)/10^6</f>
        <v>0.43208299999999999</v>
      </c>
      <c r="D13" s="181">
        <f>+VLOOKUP($A$3,data!$A$4:$AH$32,13,0)</f>
        <v>0.75472683525399453</v>
      </c>
      <c r="E13" s="180">
        <f>+VLOOKUP($A$3,data!$A$4:$AH$32,14,0)/10^6</f>
        <v>8.8772710500000009</v>
      </c>
      <c r="F13" s="182">
        <f>+E13/C13</f>
        <v>20.545291182481147</v>
      </c>
      <c r="G13" s="179">
        <f>+VLOOKUP($A$3,data!$A$4:$AH$32,27,0)</f>
        <v>1681</v>
      </c>
      <c r="H13" s="180">
        <f>+VLOOKUP($A$3,data!$A$4:$AH$32,28,0)/10^6</f>
        <v>0.43781399999999998</v>
      </c>
      <c r="I13" s="181">
        <f>+VLOOKUP($A$3,data!$A$4:$AH$32,29,0)</f>
        <v>0.72586409135183316</v>
      </c>
      <c r="J13" s="180">
        <f>+VLOOKUP($A$3,data!$A$4:$AH$32,30,0)/10^6</f>
        <v>9.038216460000001</v>
      </c>
      <c r="K13" s="182">
        <f>+J13/H13</f>
        <v>20.643964012114736</v>
      </c>
    </row>
    <row r="14" spans="1:12" ht="26.25" x14ac:dyDescent="0.4">
      <c r="A14" s="187" t="s">
        <v>29</v>
      </c>
      <c r="B14" s="189">
        <f>+B13/B20</f>
        <v>0.1069265209375823</v>
      </c>
      <c r="C14" s="190"/>
      <c r="D14" s="190"/>
      <c r="E14" s="190"/>
      <c r="F14" s="191"/>
      <c r="G14" s="189">
        <f>+G13/G20</f>
        <v>0.10388085527128908</v>
      </c>
      <c r="H14" s="190"/>
      <c r="I14" s="190"/>
      <c r="J14" s="190"/>
      <c r="K14" s="191"/>
    </row>
    <row r="15" spans="1:12" ht="26.25" x14ac:dyDescent="0.4">
      <c r="A15" s="188"/>
      <c r="B15" s="192"/>
      <c r="C15" s="193"/>
      <c r="D15" s="193"/>
      <c r="E15" s="193"/>
      <c r="F15" s="194"/>
      <c r="G15" s="192"/>
      <c r="H15" s="193"/>
      <c r="I15" s="193"/>
      <c r="J15" s="193"/>
      <c r="K15" s="194"/>
    </row>
    <row r="16" spans="1:12" ht="26.25" x14ac:dyDescent="0.4">
      <c r="A16" s="187"/>
      <c r="B16" s="195"/>
      <c r="C16" s="190"/>
      <c r="D16" s="190"/>
      <c r="E16" s="190"/>
      <c r="F16" s="191"/>
      <c r="G16" s="195"/>
      <c r="H16" s="190"/>
      <c r="I16" s="190"/>
      <c r="J16" s="190"/>
      <c r="K16" s="191"/>
    </row>
    <row r="17" spans="1:11" ht="26.25" x14ac:dyDescent="0.4">
      <c r="A17" s="187" t="s">
        <v>20</v>
      </c>
      <c r="B17" s="179">
        <f>+VLOOKUP($A$3,data!$A$4:$AH$32,15,0)</f>
        <v>662</v>
      </c>
      <c r="C17" s="180">
        <f>+VLOOKUP($A$3,data!$A$4:$AH$32,16,0)/10^6</f>
        <v>0.30804999999999999</v>
      </c>
      <c r="D17" s="181">
        <f>+VLOOKUP($A$3,data!$A$4:$AH$32,17,0)</f>
        <v>1.2739209097958129</v>
      </c>
      <c r="E17" s="180">
        <f>+VLOOKUP($A$3,data!$A$4:$AH$32,18,0)/10^6</f>
        <v>8.6356471999999993</v>
      </c>
      <c r="F17" s="182">
        <f>+E17/C17</f>
        <v>28.033264729751661</v>
      </c>
      <c r="G17" s="179">
        <f>+VLOOKUP($A$3,data!$A$4:$AH$32,31,0)</f>
        <v>649</v>
      </c>
      <c r="H17" s="180">
        <f>+VLOOKUP($A$3,data!$A$4:$AH$32,32,0)/10^6</f>
        <v>0.31371900000000003</v>
      </c>
      <c r="I17" s="181">
        <f>+VLOOKUP($A$3,data!$A$4:$AH$32,33,0)</f>
        <v>1.3112190840412525</v>
      </c>
      <c r="J17" s="180">
        <f>+VLOOKUP($A$3,data!$A$4:$AH$32,34,0)/10^6</f>
        <v>8.7950543500000009</v>
      </c>
      <c r="K17" s="182">
        <f>+J17/H17</f>
        <v>28.034815710875019</v>
      </c>
    </row>
    <row r="18" spans="1:11" ht="26.25" x14ac:dyDescent="0.4">
      <c r="A18" s="187" t="s">
        <v>30</v>
      </c>
      <c r="B18" s="189">
        <f>+B17/B20</f>
        <v>4.3587042401896231E-2</v>
      </c>
      <c r="C18" s="190"/>
      <c r="D18" s="190"/>
      <c r="E18" s="190"/>
      <c r="F18" s="191"/>
      <c r="G18" s="189">
        <f>+G17/G20</f>
        <v>4.010629094055123E-2</v>
      </c>
      <c r="H18" s="190"/>
      <c r="I18" s="190"/>
      <c r="J18" s="190"/>
      <c r="K18" s="191"/>
    </row>
    <row r="19" spans="1:11" ht="23.25" x14ac:dyDescent="0.35">
      <c r="A19" s="178"/>
      <c r="B19" s="166"/>
      <c r="C19" s="167"/>
      <c r="D19" s="167"/>
      <c r="E19" s="167"/>
      <c r="F19" s="168"/>
      <c r="G19" s="166"/>
      <c r="H19" s="167"/>
      <c r="I19" s="167"/>
      <c r="J19" s="167"/>
      <c r="K19" s="168"/>
    </row>
    <row r="20" spans="1:11" ht="32.25" customHeight="1" x14ac:dyDescent="0.35">
      <c r="A20" s="177" t="s">
        <v>21</v>
      </c>
      <c r="B20" s="179">
        <f>+VLOOKUP($A$3,data!$A$4:$AH$32,3,0)</f>
        <v>15188</v>
      </c>
      <c r="C20" s="180">
        <f>+VLOOKUP($A$3,data!$A$4:$AH$32,4,0)/10^6</f>
        <v>2.7716249999999998</v>
      </c>
      <c r="D20" s="181">
        <f>+VLOOKUP($A$3,data!$A$4:$AH$32,5,0)</f>
        <v>0.52103013247460761</v>
      </c>
      <c r="E20" s="180">
        <f>+VLOOKUP($A$3,data!$A$4:$AH$32,6,0)/10^6</f>
        <v>45.478742550000007</v>
      </c>
      <c r="F20" s="182">
        <f>+E20/C20</f>
        <v>16.408692572047087</v>
      </c>
      <c r="G20" s="179">
        <f>+VLOOKUP($A$3,data!$A$4:$AH$32,19,0)</f>
        <v>16182</v>
      </c>
      <c r="H20" s="180">
        <f>+VLOOKUP($A$3,data!$A$4:$AH$32,20,0)/10^6</f>
        <v>2.8269510000000002</v>
      </c>
      <c r="I20" s="181">
        <f>+VLOOKUP($A$3,data!$A$4:$AH$32,21,0)</f>
        <v>0.49378841140431706</v>
      </c>
      <c r="J20" s="180">
        <f>+VLOOKUP($A$3,data!$A$4:$AH$32,22,0)/10^6</f>
        <v>46.003740469999997</v>
      </c>
      <c r="K20" s="182">
        <f>+J20/H20</f>
        <v>16.273271262926027</v>
      </c>
    </row>
    <row r="21" spans="1:11" ht="21" customHeight="1" x14ac:dyDescent="0.35">
      <c r="A21" s="178"/>
      <c r="B21" s="169"/>
      <c r="C21" s="170"/>
      <c r="D21" s="170"/>
      <c r="E21" s="170"/>
      <c r="F21" s="171"/>
      <c r="G21" s="169"/>
      <c r="H21" s="170"/>
      <c r="I21" s="170"/>
      <c r="J21" s="170"/>
      <c r="K21" s="171"/>
    </row>
    <row r="22" spans="1:11" x14ac:dyDescent="0.35">
      <c r="A22" s="158" t="s">
        <v>72</v>
      </c>
      <c r="B22" s="172"/>
      <c r="C22" s="172"/>
      <c r="D22" s="172"/>
      <c r="E22" s="172"/>
      <c r="F22" s="173"/>
    </row>
    <row r="28" spans="1:11" ht="33.75" x14ac:dyDescent="0.35">
      <c r="A28" s="801" t="str">
        <f>+B3</f>
        <v>สันกำแพง</v>
      </c>
      <c r="B28" s="801"/>
      <c r="C28" s="801"/>
      <c r="D28" s="801"/>
      <c r="E28" s="801"/>
      <c r="F28" s="801"/>
      <c r="G28" s="801"/>
      <c r="H28" s="801"/>
      <c r="I28" s="801"/>
      <c r="J28" s="801"/>
      <c r="K28" s="801"/>
    </row>
  </sheetData>
  <mergeCells count="7">
    <mergeCell ref="A28:K28"/>
    <mergeCell ref="A1:K1"/>
    <mergeCell ref="B3:K3"/>
    <mergeCell ref="A4:A7"/>
    <mergeCell ref="B4:K4"/>
    <mergeCell ref="B5:F5"/>
    <mergeCell ref="G5:K5"/>
  </mergeCells>
  <pageMargins left="0.70866141732283472" right="0.70866141732283472" top="0.62992125984251968" bottom="0.39370078740157483" header="0.31496062992125984" footer="0.31496062992125984"/>
  <pageSetup paperSize="9" scale="7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58</vt:i4>
      </vt:variant>
      <vt:variant>
        <vt:lpstr>ช่วงที่มีชื่อ</vt:lpstr>
      </vt:variant>
      <vt:variant>
        <vt:i4>1</vt:i4>
      </vt:variant>
    </vt:vector>
  </HeadingPairs>
  <TitlesOfParts>
    <vt:vector size="59" baseType="lpstr">
      <vt:lpstr>12m</vt:lpstr>
      <vt:lpstr>data</vt:lpstr>
      <vt:lpstr>ภาพรวม</vt:lpstr>
      <vt:lpstr>00_g</vt:lpstr>
      <vt:lpstr>11</vt:lpstr>
      <vt:lpstr>11_g</vt:lpstr>
      <vt:lpstr>12</vt:lpstr>
      <vt:lpstr>12_g</vt:lpstr>
      <vt:lpstr>13</vt:lpstr>
      <vt:lpstr>13_g</vt:lpstr>
      <vt:lpstr>14</vt:lpstr>
      <vt:lpstr>14_g</vt:lpstr>
      <vt:lpstr>15</vt:lpstr>
      <vt:lpstr>15_g</vt:lpstr>
      <vt:lpstr>16</vt:lpstr>
      <vt:lpstr>16_g</vt:lpstr>
      <vt:lpstr>17</vt:lpstr>
      <vt:lpstr>17_g</vt:lpstr>
      <vt:lpstr>18</vt:lpstr>
      <vt:lpstr>18_g</vt:lpstr>
      <vt:lpstr>19</vt:lpstr>
      <vt:lpstr>19_g</vt:lpstr>
      <vt:lpstr>20</vt:lpstr>
      <vt:lpstr>20_g</vt:lpstr>
      <vt:lpstr>21</vt:lpstr>
      <vt:lpstr>21_g</vt:lpstr>
      <vt:lpstr>22</vt:lpstr>
      <vt:lpstr>22_g</vt:lpstr>
      <vt:lpstr>23</vt:lpstr>
      <vt:lpstr>23_g</vt:lpstr>
      <vt:lpstr>24</vt:lpstr>
      <vt:lpstr>24_g</vt:lpstr>
      <vt:lpstr>25</vt:lpstr>
      <vt:lpstr>25_g</vt:lpstr>
      <vt:lpstr>26</vt:lpstr>
      <vt:lpstr>26_g</vt:lpstr>
      <vt:lpstr>27</vt:lpstr>
      <vt:lpstr>27_g</vt:lpstr>
      <vt:lpstr>28</vt:lpstr>
      <vt:lpstr>28_g</vt:lpstr>
      <vt:lpstr>29</vt:lpstr>
      <vt:lpstr>29_g</vt:lpstr>
      <vt:lpstr>30</vt:lpstr>
      <vt:lpstr>30_g</vt:lpstr>
      <vt:lpstr>31</vt:lpstr>
      <vt:lpstr>31_g</vt:lpstr>
      <vt:lpstr>32</vt:lpstr>
      <vt:lpstr>32_g</vt:lpstr>
      <vt:lpstr>33</vt:lpstr>
      <vt:lpstr>33_g</vt:lpstr>
      <vt:lpstr>34</vt:lpstr>
      <vt:lpstr>34_g</vt:lpstr>
      <vt:lpstr>35</vt:lpstr>
      <vt:lpstr>35_g</vt:lpstr>
      <vt:lpstr>36</vt:lpstr>
      <vt:lpstr>36_g</vt:lpstr>
      <vt:lpstr>37</vt:lpstr>
      <vt:lpstr>37_g</vt:lpstr>
      <vt:lpstr>'00_g'!Print_Area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รุ่งนภา</dc:creator>
  <cp:lastModifiedBy>ไวทยา</cp:lastModifiedBy>
  <cp:lastPrinted>2017-10-31T13:56:08Z</cp:lastPrinted>
  <dcterms:created xsi:type="dcterms:W3CDTF">2017-04-21T10:15:03Z</dcterms:created>
  <dcterms:modified xsi:type="dcterms:W3CDTF">2017-10-31T13:56:15Z</dcterms:modified>
</cp:coreProperties>
</file>